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trlProps/ctrlProp3.xml" ContentType="application/vnd.ms-excel.controlproperties+xml"/>
  <Override PartName="/xl/slicers/slicer1.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ml.chartshape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13.xml" ContentType="application/vnd.openxmlformats-officedocument.drawingml.chart+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ml.chartshapes+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Ex1.xml" ContentType="application/vnd.ms-office.chartex+xml"/>
  <Override PartName="/xl/charts/style16.xml" ContentType="application/vnd.ms-office.chartstyle+xml"/>
  <Override PartName="/xl/charts/colors16.xml" ContentType="application/vnd.ms-office.chartcolorstyle+xml"/>
  <Override PartName="/xl/charts/chartEx2.xml" ContentType="application/vnd.ms-office.chartex+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Ex3.xml" ContentType="application/vnd.ms-office.chartex+xml"/>
  <Override PartName="/xl/charts/style21.xml" ContentType="application/vnd.ms-office.chartstyle+xml"/>
  <Override PartName="/xl/charts/colors21.xml" ContentType="application/vnd.ms-office.chartcolorstyle+xml"/>
  <Override PartName="/xl/charts/chartEx4.xml" ContentType="application/vnd.ms-office.chartex+xml"/>
  <Override PartName="/xl/charts/style22.xml" ContentType="application/vnd.ms-office.chartstyle+xml"/>
  <Override PartName="/xl/charts/colors22.xml" ContentType="application/vnd.ms-office.chartcolorstyle+xml"/>
  <Override PartName="/xl/charts/chartEx5.xml" ContentType="application/vnd.ms-office.chartex+xml"/>
  <Override PartName="/xl/charts/style23.xml" ContentType="application/vnd.ms-office.chartstyle+xml"/>
  <Override PartName="/xl/charts/colors23.xml" ContentType="application/vnd.ms-office.chartcolorstyle+xml"/>
  <Override PartName="/xl/charts/chartEx6.xml" ContentType="application/vnd.ms-office.chartex+xml"/>
  <Override PartName="/xl/charts/style24.xml" ContentType="application/vnd.ms-office.chartstyle+xml"/>
  <Override PartName="/xl/charts/colors24.xml" ContentType="application/vnd.ms-office.chartcolorstyle+xml"/>
  <Override PartName="/xl/charts/chart2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9.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22.xml" ContentType="application/vnd.openxmlformats-officedocument.drawingml.chart+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0.xml" ContentType="application/vnd.openxmlformats-officedocument.drawingml.chartshapes+xml"/>
  <Override PartName="/xl/charts/chart2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1.xml" ContentType="application/vnd.openxmlformats-officedocument.drawingml.chartshapes+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2.xml" ContentType="application/vnd.openxmlformats-officedocument.drawingml.chartshapes+xml"/>
  <Override PartName="/xl/charts/chart26.xml" ContentType="application/vnd.openxmlformats-officedocument.drawingml.chart+xml"/>
  <Override PartName="/xl/charts/style29.xml" ContentType="application/vnd.ms-office.chartstyle+xml"/>
  <Override PartName="/xl/charts/colors29.xml" ContentType="application/vnd.ms-office.chartcolorstyle+xml"/>
  <Override PartName="/xl/charts/chart27.xml" ContentType="application/vnd.openxmlformats-officedocument.drawingml.chart+xml"/>
  <Override PartName="/xl/charts/style30.xml" ContentType="application/vnd.ms-office.chartstyle+xml"/>
  <Override PartName="/xl/charts/colors30.xml" ContentType="application/vnd.ms-office.chartcolorstyle+xml"/>
  <Override PartName="/xl/charts/chart28.xml" ContentType="application/vnd.openxmlformats-officedocument.drawingml.chart+xml"/>
  <Override PartName="/xl/charts/style31.xml" ContentType="application/vnd.ms-office.chartstyle+xml"/>
  <Override PartName="/xl/charts/colors31.xml" ContentType="application/vnd.ms-office.chartcolorstyle+xml"/>
  <Override PartName="/xl/charts/chart29.xml" ContentType="application/vnd.openxmlformats-officedocument.drawingml.chart+xml"/>
  <Override PartName="/xl/charts/style32.xml" ContentType="application/vnd.ms-office.chartstyle+xml"/>
  <Override PartName="/xl/charts/colors32.xml" ContentType="application/vnd.ms-office.chartcolorstyle+xml"/>
  <Override PartName="/xl/charts/chart30.xml" ContentType="application/vnd.openxmlformats-officedocument.drawingml.chart+xml"/>
  <Override PartName="/xl/charts/style33.xml" ContentType="application/vnd.ms-office.chartstyle+xml"/>
  <Override PartName="/xl/charts/colors33.xml" ContentType="application/vnd.ms-office.chartcolorstyle+xml"/>
  <Override PartName="/xl/charts/chart31.xml" ContentType="application/vnd.openxmlformats-officedocument.drawingml.chart+xml"/>
  <Override PartName="/xl/charts/style34.xml" ContentType="application/vnd.ms-office.chartstyle+xml"/>
  <Override PartName="/xl/charts/colors34.xml" ContentType="application/vnd.ms-office.chartcolorstyle+xml"/>
  <Override PartName="/xl/charts/chart32.xml" ContentType="application/vnd.openxmlformats-officedocument.drawingml.chart+xml"/>
  <Override PartName="/xl/charts/style35.xml" ContentType="application/vnd.ms-office.chartstyle+xml"/>
  <Override PartName="/xl/charts/colors35.xml" ContentType="application/vnd.ms-office.chartcolorstyle+xml"/>
  <Override PartName="/xl/charts/chart33.xml" ContentType="application/vnd.openxmlformats-officedocument.drawingml.chart+xml"/>
  <Override PartName="/xl/charts/style36.xml" ContentType="application/vnd.ms-office.chartstyle+xml"/>
  <Override PartName="/xl/charts/colors36.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charts/chart36.xml" ContentType="application/vnd.openxmlformats-officedocument.drawingml.chart+xml"/>
  <Override PartName="/xl/charts/style38.xml" ContentType="application/vnd.ms-office.chartstyle+xml"/>
  <Override PartName="/xl/charts/colors38.xml" ContentType="application/vnd.ms-office.chartcolorstyle+xml"/>
  <Override PartName="/xl/charts/chart37.xml" ContentType="application/vnd.openxmlformats-officedocument.drawingml.chart+xml"/>
  <Override PartName="/xl/charts/style39.xml" ContentType="application/vnd.ms-office.chartstyle+xml"/>
  <Override PartName="/xl/charts/colors39.xml" ContentType="application/vnd.ms-office.chartcolorstyle+xml"/>
  <Override PartName="/xl/charts/chart38.xml" ContentType="application/vnd.openxmlformats-officedocument.drawingml.chart+xml"/>
  <Override PartName="/xl/charts/style40.xml" ContentType="application/vnd.ms-office.chartstyle+xml"/>
  <Override PartName="/xl/charts/colors40.xml" ContentType="application/vnd.ms-office.chartcolorstyle+xml"/>
  <Override PartName="/xl/charts/chart39.xml" ContentType="application/vnd.openxmlformats-officedocument.drawingml.chart+xml"/>
  <Override PartName="/xl/charts/style41.xml" ContentType="application/vnd.ms-office.chartstyle+xml"/>
  <Override PartName="/xl/charts/colors41.xml" ContentType="application/vnd.ms-office.chartcolorstyle+xml"/>
  <Override PartName="/xl/charts/chart40.xml" ContentType="application/vnd.openxmlformats-officedocument.drawingml.chart+xml"/>
  <Override PartName="/xl/charts/style42.xml" ContentType="application/vnd.ms-office.chartstyle+xml"/>
  <Override PartName="/xl/charts/colors42.xml" ContentType="application/vnd.ms-office.chartcolorstyle+xml"/>
  <Override PartName="/xl/charts/chart41.xml" ContentType="application/vnd.openxmlformats-officedocument.drawingml.chart+xml"/>
  <Override PartName="/xl/charts/style43.xml" ContentType="application/vnd.ms-office.chartstyle+xml"/>
  <Override PartName="/xl/charts/colors43.xml" ContentType="application/vnd.ms-office.chartcolorstyle+xml"/>
  <Override PartName="/xl/charts/chart42.xml" ContentType="application/vnd.openxmlformats-officedocument.drawingml.chart+xml"/>
  <Override PartName="/xl/charts/style44.xml" ContentType="application/vnd.ms-office.chartstyle+xml"/>
  <Override PartName="/xl/charts/colors44.xml" ContentType="application/vnd.ms-office.chartcolorstyle+xml"/>
  <Override PartName="/xl/charts/chart43.xml" ContentType="application/vnd.openxmlformats-officedocument.drawingml.chart+xml"/>
  <Override PartName="/xl/charts/style45.xml" ContentType="application/vnd.ms-office.chartstyle+xml"/>
  <Override PartName="/xl/charts/colors45.xml" ContentType="application/vnd.ms-office.chartcolorstyle+xml"/>
  <Override PartName="/xl/charts/chart44.xml" ContentType="application/vnd.openxmlformats-officedocument.drawingml.chart+xml"/>
  <Override PartName="/xl/charts/style46.xml" ContentType="application/vnd.ms-office.chartstyle+xml"/>
  <Override PartName="/xl/charts/colors46.xml" ContentType="application/vnd.ms-office.chartcolorstyle+xml"/>
  <Override PartName="/xl/charts/chart45.xml" ContentType="application/vnd.openxmlformats-officedocument.drawingml.chart+xml"/>
  <Override PartName="/xl/charts/style47.xml" ContentType="application/vnd.ms-office.chartstyle+xml"/>
  <Override PartName="/xl/charts/colors47.xml" ContentType="application/vnd.ms-office.chartcolorstyle+xml"/>
  <Override PartName="/xl/charts/chart46.xml" ContentType="application/vnd.openxmlformats-officedocument.drawingml.chart+xml"/>
  <Override PartName="/xl/charts/style48.xml" ContentType="application/vnd.ms-office.chartstyle+xml"/>
  <Override PartName="/xl/charts/colors48.xml" ContentType="application/vnd.ms-office.chartcolorstyle+xml"/>
  <Override PartName="/xl/charts/chart47.xml" ContentType="application/vnd.openxmlformats-officedocument.drawingml.chart+xml"/>
  <Override PartName="/xl/charts/style49.xml" ContentType="application/vnd.ms-office.chartstyle+xml"/>
  <Override PartName="/xl/charts/colors49.xml" ContentType="application/vnd.ms-office.chartcolorstyle+xml"/>
  <Override PartName="/xl/charts/chart48.xml" ContentType="application/vnd.openxmlformats-officedocument.drawingml.chart+xml"/>
  <Override PartName="/xl/charts/style50.xml" ContentType="application/vnd.ms-office.chartstyle+xml"/>
  <Override PartName="/xl/charts/colors50.xml" ContentType="application/vnd.ms-office.chartcolorstyle+xml"/>
  <Override PartName="/xl/charts/chart49.xml" ContentType="application/vnd.openxmlformats-officedocument.drawingml.chart+xml"/>
  <Override PartName="/xl/charts/style51.xml" ContentType="application/vnd.ms-office.chartstyle+xml"/>
  <Override PartName="/xl/charts/colors51.xml" ContentType="application/vnd.ms-office.chartcolorstyle+xml"/>
  <Override PartName="/xl/charts/chart50.xml" ContentType="application/vnd.openxmlformats-officedocument.drawingml.chart+xml"/>
  <Override PartName="/xl/charts/style52.xml" ContentType="application/vnd.ms-office.chartstyle+xml"/>
  <Override PartName="/xl/charts/colors52.xml" ContentType="application/vnd.ms-office.chartcolorstyle+xml"/>
  <Override PartName="/xl/charts/chart51.xml" ContentType="application/vnd.openxmlformats-officedocument.drawingml.chart+xml"/>
  <Override PartName="/xl/drawings/drawing23.xml" ContentType="application/vnd.openxmlformats-officedocument.drawing+xml"/>
  <Override PartName="/xl/ctrlProps/ctrlProp12.xml" ContentType="application/vnd.ms-excel.controlproperties+xml"/>
  <Override PartName="/xl/charts/chart52.xml" ContentType="application/vnd.openxmlformats-officedocument.drawingml.chart+xml"/>
  <Override PartName="/xl/theme/themeOverride2.xml" ContentType="application/vnd.openxmlformats-officedocument.themeOverride+xml"/>
  <Override PartName="/xl/drawings/drawing24.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xml" ContentType="application/vnd.openxmlformats-officedocument.themeOverride+xml"/>
  <Override PartName="/xl/charts/chart56.xml" ContentType="application/vnd.openxmlformats-officedocument.drawingml.chart+xml"/>
  <Override PartName="/xl/theme/themeOverride6.xml" ContentType="application/vnd.openxmlformats-officedocument.themeOverride+xml"/>
  <Override PartName="/xl/charts/chart57.xml" ContentType="application/vnd.openxmlformats-officedocument.drawingml.chart+xml"/>
  <Override PartName="/xl/theme/themeOverride7.xml" ContentType="application/vnd.openxmlformats-officedocument.themeOverride+xml"/>
  <Override PartName="/xl/drawings/drawing25.xml" ContentType="application/vnd.openxmlformats-officedocument.drawingml.chartshapes+xml"/>
  <Override PartName="/xl/charts/chart58.xml" ContentType="application/vnd.openxmlformats-officedocument.drawingml.chart+xml"/>
  <Override PartName="/xl/theme/themeOverride8.xml" ContentType="application/vnd.openxmlformats-officedocument.themeOverride+xml"/>
  <Override PartName="/xl/charts/chart59.xml" ContentType="application/vnd.openxmlformats-officedocument.drawingml.chart+xml"/>
  <Override PartName="/xl/theme/themeOverride9.xml" ContentType="application/vnd.openxmlformats-officedocument.themeOverride+xml"/>
  <Override PartName="/xl/drawings/drawing26.xml" ContentType="application/vnd.openxmlformats-officedocument.drawing+xml"/>
  <Override PartName="/xl/ctrlProps/ctrlProp13.xml" ContentType="application/vnd.ms-excel.controlproperties+xml"/>
  <Override PartName="/xl/charts/chart60.xml" ContentType="application/vnd.openxmlformats-officedocument.drawingml.chart+xml"/>
  <Override PartName="/xl/theme/themeOverride10.xml" ContentType="application/vnd.openxmlformats-officedocument.themeOverride+xml"/>
  <Override PartName="/xl/drawings/drawing27.xml" ContentType="application/vnd.openxmlformats-officedocument.drawingml.chartshapes+xml"/>
  <Override PartName="/xl/charts/chart61.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11.xml" ContentType="application/vnd.openxmlformats-officedocument.themeOverride+xml"/>
  <Override PartName="/xl/charts/chart62.xml" ContentType="application/vnd.openxmlformats-officedocument.drawingml.chart+xml"/>
  <Override PartName="/xl/theme/themeOverride12.xml" ContentType="application/vnd.openxmlformats-officedocument.themeOverride+xml"/>
  <Override PartName="/xl/charts/chart63.xml" ContentType="application/vnd.openxmlformats-officedocument.drawingml.chart+xml"/>
  <Override PartName="/xl/theme/themeOverride13.xml" ContentType="application/vnd.openxmlformats-officedocument.themeOverride+xml"/>
  <Override PartName="/xl/drawings/drawing28.xml" ContentType="application/vnd.openxmlformats-officedocument.drawingml.chartshapes+xml"/>
  <Override PartName="/xl/charts/chart64.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14.xml" ContentType="application/vnd.openxmlformats-officedocument.themeOverride+xml"/>
  <Override PartName="/xl/charts/chart65.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15.xml" ContentType="application/vnd.openxmlformats-officedocument.themeOverride+xml"/>
  <Override PartName="/xl/charts/chart66.xml" ContentType="application/vnd.openxmlformats-officedocument.drawingml.chart+xml"/>
  <Override PartName="/xl/theme/themeOverride16.xml" ContentType="application/vnd.openxmlformats-officedocument.themeOverride+xml"/>
  <Override PartName="/xl/charts/chart67.xml" ContentType="application/vnd.openxmlformats-officedocument.drawingml.chart+xml"/>
  <Override PartName="/xl/theme/themeOverride17.xml" ContentType="application/vnd.openxmlformats-officedocument.themeOverride+xml"/>
  <Override PartName="/xl/drawings/drawing29.xml" ContentType="application/vnd.openxmlformats-officedocument.drawing+xml"/>
  <Override PartName="/xl/charts/chart68.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18.xml" ContentType="application/vnd.openxmlformats-officedocument.themeOverride+xml"/>
  <Override PartName="/xl/charts/chart69.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19.xml" ContentType="application/vnd.openxmlformats-officedocument.themeOverride+xml"/>
  <Override PartName="/xl/charts/chart70.xml" ContentType="application/vnd.openxmlformats-officedocument.drawingml.chart+xml"/>
  <Override PartName="/xl/theme/themeOverride20.xml" ContentType="application/vnd.openxmlformats-officedocument.themeOverride+xml"/>
  <Override PartName="/xl/charts/chart7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21.xml" ContentType="application/vnd.openxmlformats-officedocument.themeOverride+xml"/>
  <Override PartName="/xl/charts/chart7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22.xml" ContentType="application/vnd.openxmlformats-officedocument.themeOverride+xml"/>
  <Override PartName="/xl/charts/chart7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23.xml" ContentType="application/vnd.openxmlformats-officedocument.themeOverride+xml"/>
  <Override PartName="/xl/charts/chart7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24.xml" ContentType="application/vnd.openxmlformats-officedocument.themeOverride+xml"/>
  <Override PartName="/xl/drawings/drawing30.xml" ContentType="application/vnd.openxmlformats-officedocument.drawing+xml"/>
  <Override PartName="/xl/ctrlProps/ctrlProp14.xml" ContentType="application/vnd.ms-excel.controlproperties+xml"/>
  <Override PartName="/xl/charts/chart7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31.xml" ContentType="application/vnd.openxmlformats-officedocument.drawingml.chartshapes+xml"/>
  <Override PartName="/xl/charts/chart76.xml" ContentType="application/vnd.openxmlformats-officedocument.drawingml.chart+xml"/>
  <Override PartName="/xl/charts/style66.xml" ContentType="application/vnd.ms-office.chartstyle+xml"/>
  <Override PartName="/xl/charts/colors66.xml" ContentType="application/vnd.ms-office.chartcolorstyle+xml"/>
  <Override PartName="/xl/charts/chart7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trlProps/ctrlProp15.xml" ContentType="application/vnd.ms-excel.controlproperties+xml"/>
  <Override PartName="/xl/charts/chart7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34.xml" ContentType="application/vnd.openxmlformats-officedocument.drawingml.chartshapes+xml"/>
  <Override PartName="/xl/charts/chart79.xml" ContentType="application/vnd.openxmlformats-officedocument.drawingml.chart+xml"/>
  <Override PartName="/xl/charts/style69.xml" ContentType="application/vnd.ms-office.chartstyle+xml"/>
  <Override PartName="/xl/charts/colors69.xml" ContentType="application/vnd.ms-office.chartcolorstyle+xml"/>
  <Override PartName="/xl/charts/chart8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trlProps/ctrlProp16.xml" ContentType="application/vnd.ms-excel.controlproperties+xml"/>
  <Override PartName="/xl/charts/chart81.xml" ContentType="application/vnd.openxmlformats-officedocument.drawingml.chart+xml"/>
  <Override PartName="/xl/theme/themeOverride25.xml" ContentType="application/vnd.openxmlformats-officedocument.themeOverride+xml"/>
  <Override PartName="/xl/drawings/drawing37.xml" ContentType="application/vnd.openxmlformats-officedocument.drawingml.chartshapes+xml"/>
  <Override PartName="/xl/charts/chart8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38.xml" ContentType="application/vnd.openxmlformats-officedocument.drawingml.chartshapes+xml"/>
  <Override PartName="/xl/charts/chart83.xml" ContentType="application/vnd.openxmlformats-officedocument.drawingml.chart+xml"/>
  <Override PartName="/xl/charts/style72.xml" ContentType="application/vnd.ms-office.chartstyle+xml"/>
  <Override PartName="/xl/charts/colors72.xml" ContentType="application/vnd.ms-office.chartcolorstyle+xml"/>
  <Override PartName="/xl/charts/chart84.xml" ContentType="application/vnd.openxmlformats-officedocument.drawingml.chart+xml"/>
  <Override PartName="/xl/charts/style73.xml" ContentType="application/vnd.ms-office.chartstyle+xml"/>
  <Override PartName="/xl/charts/colors73.xml" ContentType="application/vnd.ms-office.chartcolorstyle+xml"/>
  <Override PartName="/xl/pivotTables/pivotTable1.xml" ContentType="application/vnd.openxmlformats-officedocument.spreadsheetml.pivotTable+xml"/>
  <Override PartName="/xl/drawings/drawing39.xml" ContentType="application/vnd.openxmlformats-officedocument.drawing+xml"/>
  <Override PartName="/xl/slicers/slicer2.xml" ContentType="application/vnd.ms-excel.slicer+xml"/>
  <Override PartName="/xl/charts/chart85.xml" ContentType="application/vnd.openxmlformats-officedocument.drawingml.chart+xml"/>
  <Override PartName="/xl/charts/style74.xml" ContentType="application/vnd.ms-office.chartstyle+xml"/>
  <Override PartName="/xl/charts/colors74.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0.xml" ContentType="application/vnd.openxmlformats-officedocument.drawing+xml"/>
  <Override PartName="/xl/slicers/slicer3.xml" ContentType="application/vnd.ms-excel.slicer+xml"/>
  <Override PartName="/xl/charts/chart8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harts/chart8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45.xml" ContentType="application/vnd.openxmlformats-officedocument.drawingml.chartshapes+xml"/>
  <Override PartName="/xl/charts/chart8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46.xml" ContentType="application/vnd.openxmlformats-officedocument.drawingml.chartshapes+xml"/>
  <Override PartName="/xl/charts/chart8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47.xml" ContentType="application/vnd.openxmlformats-officedocument.drawingml.chartshapes+xml"/>
  <Override PartName="/xl/charts/chart90.xml" ContentType="application/vnd.openxmlformats-officedocument.drawingml.chart+xml"/>
  <Override PartName="/xl/charts/style79.xml" ContentType="application/vnd.ms-office.chartstyle+xml"/>
  <Override PartName="/xl/charts/colors79.xml" ContentType="application/vnd.ms-office.chartcolorstyle+xml"/>
  <Override PartName="/xl/charts/chartEx7.xml" ContentType="application/vnd.ms-office.chartex+xml"/>
  <Override PartName="/xl/charts/style80.xml" ContentType="application/vnd.ms-office.chartstyle+xml"/>
  <Override PartName="/xl/charts/colors80.xml" ContentType="application/vnd.ms-office.chartcolorstyle+xml"/>
  <Override PartName="/xl/charts/chartEx8.xml" ContentType="application/vnd.ms-office.chartex+xml"/>
  <Override PartName="/xl/charts/style81.xml" ContentType="application/vnd.ms-office.chartstyle+xml"/>
  <Override PartName="/xl/charts/colors81.xml" ContentType="application/vnd.ms-office.chartcolorstyle+xml"/>
  <Override PartName="/xl/charts/chart91.xml" ContentType="application/vnd.openxmlformats-officedocument.drawingml.chart+xml"/>
  <Override PartName="/xl/charts/style82.xml" ContentType="application/vnd.ms-office.chartstyle+xml"/>
  <Override PartName="/xl/charts/colors82.xml" ContentType="application/vnd.ms-office.chartcolorstyle+xml"/>
  <Override PartName="/xl/charts/chartEx9.xml" ContentType="application/vnd.ms-office.chartex+xml"/>
  <Override PartName="/xl/charts/style83.xml" ContentType="application/vnd.ms-office.chartstyle+xml"/>
  <Override PartName="/xl/charts/colors83.xml" ContentType="application/vnd.ms-office.chartcolorstyle+xml"/>
  <Override PartName="/xl/charts/chartEx10.xml" ContentType="application/vnd.ms-office.chartex+xml"/>
  <Override PartName="/xl/charts/style84.xml" ContentType="application/vnd.ms-office.chartstyle+xml"/>
  <Override PartName="/xl/charts/colors84.xml" ContentType="application/vnd.ms-office.chartcolorstyle+xml"/>
  <Override PartName="/xl/charts/chartEx11.xml" ContentType="application/vnd.ms-office.chartex+xml"/>
  <Override PartName="/xl/charts/style85.xml" ContentType="application/vnd.ms-office.chartstyle+xml"/>
  <Override PartName="/xl/charts/colors85.xml" ContentType="application/vnd.ms-office.chartcolorstyle+xml"/>
  <Override PartName="/xl/charts/chartEx12.xml" ContentType="application/vnd.ms-office.chartex+xml"/>
  <Override PartName="/xl/charts/style86.xml" ContentType="application/vnd.ms-office.chartstyle+xml"/>
  <Override PartName="/xl/charts/colors86.xml" ContentType="application/vnd.ms-office.chartcolorstyle+xml"/>
  <Override PartName="/xl/charts/chart92.xml" ContentType="application/vnd.openxmlformats-officedocument.drawingml.chart+xml"/>
  <Override PartName="/xl/charts/style87.xml" ContentType="application/vnd.ms-office.chartstyle+xml"/>
  <Override PartName="/xl/charts/colors87.xml" ContentType="application/vnd.ms-office.chartcolorstyle+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48.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harts/chart96.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49.xml" ContentType="application/vnd.openxmlformats-officedocument.drawingml.chartshapes+xml"/>
  <Override PartName="/xl/charts/chart97.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50.xml" ContentType="application/vnd.openxmlformats-officedocument.drawingml.chartshapes+xml"/>
  <Override PartName="/xl/charts/chart98.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51.xml" ContentType="application/vnd.openxmlformats-officedocument.drawingml.chartshapes+xml"/>
  <Override PartName="/xl/charts/chart99.xml" ContentType="application/vnd.openxmlformats-officedocument.drawingml.chart+xml"/>
  <Override PartName="/xl/charts/style91.xml" ContentType="application/vnd.ms-office.chartstyle+xml"/>
  <Override PartName="/xl/charts/colors91.xml" ContentType="application/vnd.ms-office.chartcolorstyle+xml"/>
  <Override PartName="/xl/charts/chart100.xml" ContentType="application/vnd.openxmlformats-officedocument.drawingml.chart+xml"/>
  <Override PartName="/xl/charts/style92.xml" ContentType="application/vnd.ms-office.chartstyle+xml"/>
  <Override PartName="/xl/charts/colors92.xml" ContentType="application/vnd.ms-office.chartcolorstyle+xml"/>
  <Override PartName="/xl/charts/chart101.xml" ContentType="application/vnd.openxmlformats-officedocument.drawingml.chart+xml"/>
  <Override PartName="/xl/charts/style93.xml" ContentType="application/vnd.ms-office.chartstyle+xml"/>
  <Override PartName="/xl/charts/colors93.xml" ContentType="application/vnd.ms-office.chartcolorstyle+xml"/>
  <Override PartName="/xl/charts/chart102.xml" ContentType="application/vnd.openxmlformats-officedocument.drawingml.chart+xml"/>
  <Override PartName="/xl/charts/style94.xml" ContentType="application/vnd.ms-office.chartstyle+xml"/>
  <Override PartName="/xl/charts/colors94.xml" ContentType="application/vnd.ms-office.chartcolorstyle+xml"/>
  <Override PartName="/xl/charts/chart103.xml" ContentType="application/vnd.openxmlformats-officedocument.drawingml.chart+xml"/>
  <Override PartName="/xl/charts/style95.xml" ContentType="application/vnd.ms-office.chartstyle+xml"/>
  <Override PartName="/xl/charts/colors95.xml" ContentType="application/vnd.ms-office.chartcolorstyle+xml"/>
  <Override PartName="/xl/charts/chart104.xml" ContentType="application/vnd.openxmlformats-officedocument.drawingml.chart+xml"/>
  <Override PartName="/xl/charts/style96.xml" ContentType="application/vnd.ms-office.chartstyle+xml"/>
  <Override PartName="/xl/charts/colors96.xml" ContentType="application/vnd.ms-office.chartcolorstyle+xml"/>
  <Override PartName="/xl/charts/chart105.xml" ContentType="application/vnd.openxmlformats-officedocument.drawingml.chart+xml"/>
  <Override PartName="/xl/charts/style97.xml" ContentType="application/vnd.ms-office.chartstyle+xml"/>
  <Override PartName="/xl/charts/colors97.xml" ContentType="application/vnd.ms-office.chartcolorstyle+xml"/>
  <Override PartName="/xl/charts/chart106.xml" ContentType="application/vnd.openxmlformats-officedocument.drawingml.chart+xml"/>
  <Override PartName="/xl/charts/style98.xml" ContentType="application/vnd.ms-office.chartstyle+xml"/>
  <Override PartName="/xl/charts/colors98.xml" ContentType="application/vnd.ms-office.chartcolorstyle+xml"/>
  <Override PartName="/xl/charts/chart107.xml" ContentType="application/vnd.openxmlformats-officedocument.drawingml.chart+xml"/>
  <Override PartName="/xl/charts/style99.xml" ContentType="application/vnd.ms-office.chartstyle+xml"/>
  <Override PartName="/xl/charts/colors99.xml" ContentType="application/vnd.ms-office.chartcolorstyle+xml"/>
  <Override PartName="/xl/charts/chart108.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9.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10.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11.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12.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13.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14.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15.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16.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7.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8.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9.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20.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21.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22.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ctrlProps/ctrlProp28.xml" ContentType="application/vnd.ms-excel.controlproperties+xml"/>
  <Override PartName="/xl/charts/chart126.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26.xml" ContentType="application/vnd.openxmlformats-officedocument.themeOverride+xml"/>
  <Override PartName="/xl/charts/chart127.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27.xml" ContentType="application/vnd.openxmlformats-officedocument.themeOverride+xml"/>
  <Override PartName="/xl/charts/chart128.xml" ContentType="application/vnd.openxmlformats-officedocument.drawingml.chart+xml"/>
  <Override PartName="/xl/theme/themeOverride28.xml" ContentType="application/vnd.openxmlformats-officedocument.themeOverride+xml"/>
  <Override PartName="/xl/charts/chart129.xml" ContentType="application/vnd.openxmlformats-officedocument.drawingml.chart+xml"/>
  <Override PartName="/xl/theme/themeOverride29.xml" ContentType="application/vnd.openxmlformats-officedocument.themeOverride+xml"/>
  <Override PartName="/xl/drawings/drawing54.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30.xml" ContentType="application/vnd.openxmlformats-officedocument.drawingml.chart+xml"/>
  <Override PartName="/xl/theme/themeOverride30.xml" ContentType="application/vnd.openxmlformats-officedocument.themeOverride+xml"/>
  <Override PartName="/xl/drawings/drawing55.xml" ContentType="application/vnd.openxmlformats-officedocument.drawingml.chartshapes+xml"/>
  <Override PartName="/xl/charts/chart131.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31.xml" ContentType="application/vnd.openxmlformats-officedocument.themeOverride+xml"/>
  <Override PartName="/xl/charts/chart132.xml" ContentType="application/vnd.openxmlformats-officedocument.drawingml.chart+xml"/>
  <Override PartName="/xl/theme/themeOverride32.xml" ContentType="application/vnd.openxmlformats-officedocument.themeOverride+xml"/>
  <Override PartName="/xl/charts/chart133.xml" ContentType="application/vnd.openxmlformats-officedocument.drawingml.chart+xml"/>
  <Override PartName="/xl/theme/themeOverride33.xml" ContentType="application/vnd.openxmlformats-officedocument.themeOverride+xml"/>
  <Override PartName="/xl/drawings/drawing56.xml" ContentType="application/vnd.openxmlformats-officedocument.drawingml.chartshapes+xml"/>
  <Override PartName="/xl/charts/chart134.xml" ContentType="application/vnd.openxmlformats-officedocument.drawingml.chart+xml"/>
  <Override PartName="/xl/theme/themeOverride34.xml" ContentType="application/vnd.openxmlformats-officedocument.themeOverride+xml"/>
  <Override PartName="/xl/drawings/drawing57.xml" ContentType="application/vnd.openxmlformats-officedocument.drawingml.chartshapes+xml"/>
  <Override PartName="/xl/charts/chart135.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35.xml" ContentType="application/vnd.openxmlformats-officedocument.themeOverride+xml"/>
  <Override PartName="/xl/charts/chart136.xml" ContentType="application/vnd.openxmlformats-officedocument.drawingml.chart+xml"/>
  <Override PartName="/xl/theme/themeOverride36.xml" ContentType="application/vnd.openxmlformats-officedocument.themeOverride+xml"/>
  <Override PartName="/xl/charts/chart137.xml" ContentType="application/vnd.openxmlformats-officedocument.drawingml.chart+xml"/>
  <Override PartName="/xl/theme/themeOverride37.xml" ContentType="application/vnd.openxmlformats-officedocument.themeOverride+xml"/>
  <Override PartName="/xl/drawings/drawing58.xml" ContentType="application/vnd.openxmlformats-officedocument.drawingml.chartshapes+xml"/>
  <Override PartName="/xl/charts/chart138.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38.xml" ContentType="application/vnd.openxmlformats-officedocument.themeOverride+xml"/>
  <Override PartName="/xl/charts/chart139.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39.xml" ContentType="application/vnd.openxmlformats-officedocument.themeOverride+xml"/>
  <Override PartName="/xl/charts/chart140.xml" ContentType="application/vnd.openxmlformats-officedocument.drawingml.chart+xml"/>
  <Override PartName="/xl/theme/themeOverride40.xml" ContentType="application/vnd.openxmlformats-officedocument.themeOverride+xml"/>
  <Override PartName="/xl/charts/chart141.xml" ContentType="application/vnd.openxmlformats-officedocument.drawingml.chart+xml"/>
  <Override PartName="/xl/theme/themeOverride41.xml" ContentType="application/vnd.openxmlformats-officedocument.themeOverride+xml"/>
  <Override PartName="/xl/charts/chart142.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42.xml" ContentType="application/vnd.openxmlformats-officedocument.themeOverride+xml"/>
  <Override PartName="/xl/charts/chart143.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43.xml" ContentType="application/vnd.openxmlformats-officedocument.themeOverride+xml"/>
  <Override PartName="/xl/charts/chart144.xml" ContentType="application/vnd.openxmlformats-officedocument.drawingml.chart+xml"/>
  <Override PartName="/xl/theme/themeOverride44.xml" ContentType="application/vnd.openxmlformats-officedocument.themeOverride+xml"/>
  <Override PartName="/xl/charts/chart145.xml" ContentType="application/vnd.openxmlformats-officedocument.drawingml.chart+xml"/>
  <Override PartName="/xl/theme/themeOverride45.xml" ContentType="application/vnd.openxmlformats-officedocument.themeOverride+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146.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46.xml" ContentType="application/vnd.openxmlformats-officedocument.themeOverride+xml"/>
  <Override PartName="/xl/charts/chart147.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47.xml" ContentType="application/vnd.openxmlformats-officedocument.themeOverride+xml"/>
  <Override PartName="/xl/drawings/drawing63.xml" ContentType="application/vnd.openxmlformats-officedocument.drawing+xml"/>
  <Override PartName="/xl/charts/chart148.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48.xml" ContentType="application/vnd.openxmlformats-officedocument.themeOverride+xml"/>
  <Override PartName="/xl/charts/chart149.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49.xml" ContentType="application/vnd.openxmlformats-officedocument.themeOverride+xml"/>
  <Override PartName="/xl/charts/chart150.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50.xml" ContentType="application/vnd.openxmlformats-officedocument.themeOverride+xml"/>
  <Override PartName="/xl/drawings/drawing64.xml" ContentType="application/vnd.openxmlformats-officedocument.drawing+xml"/>
  <Override PartName="/xl/charts/chart151.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52.xml" ContentType="application/vnd.openxmlformats-officedocument.drawingml.chart+xml"/>
  <Override PartName="/xl/theme/themeOverride51.xml" ContentType="application/vnd.openxmlformats-officedocument.themeOverride+xml"/>
  <Override PartName="/xl/charts/chart153.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52.xml" ContentType="application/vnd.openxmlformats-officedocument.themeOverride+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aveExternalLinkValues="0" codeName="EsteLivro" hidePivotFieldList="1"/>
  <mc:AlternateContent xmlns:mc="http://schemas.openxmlformats.org/markup-compatibility/2006">
    <mc:Choice Requires="x15">
      <x15ac:absPath xmlns:x15ac="http://schemas.microsoft.com/office/spreadsheetml/2010/11/ac" url="Z:\G_EME_INFOESTAT\4_produtos\4_series\1_Quadros de Pessoal\2013_2023\Dashboard\FINAIS\"/>
    </mc:Choice>
  </mc:AlternateContent>
  <xr:revisionPtr revIDLastSave="0" documentId="13_ncr:1_{912FF9C9-7456-47D0-B3F3-0FEED5767614}" xr6:coauthVersionLast="36" xr6:coauthVersionMax="36" xr10:uidLastSave="{00000000-0000-0000-0000-000000000000}"/>
  <workbookProtection workbookAlgorithmName="SHA-512" workbookHashValue="2CKbpGFlHakYUc0z8lph53RhJxG4eBjpFzjMWOXCrJumlgv5Ledn7uI9yC+BSbB7qAW1muXDlwXZS36qu/+D6w==" workbookSaltValue="lkVPHJD17FRC9obONViOMw==" workbookSpinCount="100000" lockStructure="1"/>
  <bookViews>
    <workbookView xWindow="15" yWindow="0" windowWidth="11775" windowHeight="10365" tabRatio="932" firstSheet="1" activeTab="1" xr2:uid="{00000000-000D-0000-FFFF-FFFF00000000}"/>
  </bookViews>
  <sheets>
    <sheet name="Capa_Serie" sheetId="64" state="hidden" r:id="rId1"/>
    <sheet name="Capa_Indice" sheetId="95" r:id="rId2"/>
    <sheet name="Introdução e Metainformação" sheetId="90" r:id="rId3"/>
    <sheet name="ficha técnica" sheetId="58" state="hidden" r:id="rId4"/>
    <sheet name="índice de quadros" sheetId="17" state="hidden" r:id="rId5"/>
    <sheet name="Introdução" sheetId="116" state="hidden" r:id="rId6"/>
    <sheet name="Estrutura Empresarial_Sep" sheetId="59" state="hidden" r:id="rId7"/>
    <sheet name="Estrutura Empresarial" sheetId="66" r:id="rId8"/>
    <sheet name="Estrutura Empresarial_Rem" sheetId="87" r:id="rId9"/>
    <sheet name="Distritos" sheetId="78" r:id="rId10"/>
    <sheet name="NUTS 2024" sheetId="107" r:id="rId11"/>
    <sheet name="Caracteristicas TCO_1" sheetId="113" r:id="rId12"/>
    <sheet name="Caracteristicas TCO_2" sheetId="115" r:id="rId13"/>
    <sheet name="Desigualdade_Contratacao" sheetId="86" r:id="rId14"/>
    <sheet name="q1_q2_q5_q6_Fig" sheetId="72" state="hidden" r:id="rId15"/>
    <sheet name="q11_q13_q15_q17_Fig" sheetId="74" state="hidden" r:id="rId16"/>
    <sheet name="q22_q23_q33_q34_Fig" sheetId="75" state="hidden" r:id="rId17"/>
    <sheet name="q23_q34_Fig" sheetId="88" state="hidden" r:id="rId18"/>
    <sheet name="q22_q33_Fig" sheetId="76" state="hidden" r:id="rId19"/>
    <sheet name="q14a" sheetId="98" state="hidden" r:id="rId20"/>
    <sheet name="q23_Aux" sheetId="91" state="hidden" r:id="rId21"/>
    <sheet name="q34_Aux" sheetId="92" state="hidden" r:id="rId22"/>
    <sheet name="q3_q7_q11_q15_q24_q35_Fig" sheetId="79" state="hidden" r:id="rId23"/>
    <sheet name="q4_8_12_16_25_36_Fig" sheetId="105" state="hidden" r:id="rId24"/>
    <sheet name="Imagem - Legenda" sheetId="106" state="hidden" r:id="rId25"/>
    <sheet name="q19_q28_q29_q39_Fig" sheetId="112" state="hidden" r:id="rId26"/>
    <sheet name="q17_a_q19_q26_a_q29_q37_q40_Fig" sheetId="80" state="hidden" r:id="rId27"/>
    <sheet name="q17a" sheetId="97" state="hidden" r:id="rId28"/>
    <sheet name="q26_Aux" sheetId="93" state="hidden" r:id="rId29"/>
    <sheet name="q37_Aux" sheetId="94" state="hidden" r:id="rId30"/>
    <sheet name="q21_q31_Fig" sheetId="82" state="hidden" r:id="rId31"/>
    <sheet name="q20_q30_q41_Fig" sheetId="84" state="hidden" r:id="rId32"/>
    <sheet name="q32_Fig" sheetId="85" state="hidden" r:id="rId33"/>
    <sheet name="Aux" sheetId="68" state="hidden" r:id="rId34"/>
    <sheet name="COMBO BOX" sheetId="73" state="hidden" r:id="rId35"/>
    <sheet name="q1" sheetId="19" state="hidden" r:id="rId36"/>
    <sheet name="q2" sheetId="20" state="hidden" r:id="rId37"/>
    <sheet name="q3" sheetId="21" state="hidden" r:id="rId38"/>
    <sheet name="q4" sheetId="99" state="hidden" r:id="rId39"/>
    <sheet name="q5" sheetId="23" state="hidden" r:id="rId40"/>
    <sheet name="q6" sheetId="24" state="hidden" r:id="rId41"/>
    <sheet name="q7" sheetId="25" state="hidden" r:id="rId42"/>
    <sheet name="q8" sheetId="100" state="hidden" r:id="rId43"/>
    <sheet name="Emprego" sheetId="61" state="hidden" r:id="rId44"/>
    <sheet name="q9" sheetId="27" state="hidden" r:id="rId45"/>
    <sheet name="q10" sheetId="28" state="hidden" r:id="rId46"/>
    <sheet name="q11" sheetId="29" state="hidden" r:id="rId47"/>
    <sheet name="q12" sheetId="101" state="hidden" r:id="rId48"/>
    <sheet name="q13" sheetId="31" state="hidden" r:id="rId49"/>
    <sheet name="q14" sheetId="32" state="hidden" r:id="rId50"/>
    <sheet name="q15" sheetId="4" state="hidden" r:id="rId51"/>
    <sheet name="q16" sheetId="102" state="hidden" r:id="rId52"/>
    <sheet name="q17" sheetId="1" state="hidden" r:id="rId53"/>
    <sheet name="q18" sheetId="2" state="hidden" r:id="rId54"/>
    <sheet name="q19" sheetId="108" state="hidden" r:id="rId55"/>
    <sheet name="q20" sheetId="5" state="hidden" r:id="rId56"/>
    <sheet name="Remunerações" sheetId="62" state="hidden" r:id="rId57"/>
    <sheet name="q21" sheetId="48" state="hidden" r:id="rId58"/>
    <sheet name="q22" sheetId="50" state="hidden" r:id="rId59"/>
    <sheet name="q23" sheetId="51" state="hidden" r:id="rId60"/>
    <sheet name="q24" sheetId="52" state="hidden" r:id="rId61"/>
    <sheet name="q25" sheetId="103" state="hidden" r:id="rId62"/>
    <sheet name="q26" sheetId="53" state="hidden" r:id="rId63"/>
    <sheet name="q27" sheetId="54" state="hidden" r:id="rId64"/>
    <sheet name="q28" sheetId="109" state="hidden" r:id="rId65"/>
    <sheet name="q29" sheetId="110" state="hidden" r:id="rId66"/>
    <sheet name="q30" sheetId="55" state="hidden" r:id="rId67"/>
    <sheet name="q31" sheetId="43" state="hidden" r:id="rId68"/>
    <sheet name="q32 " sheetId="41" state="hidden" r:id="rId69"/>
    <sheet name="q33" sheetId="14" state="hidden" r:id="rId70"/>
    <sheet name="q34" sheetId="15" state="hidden" r:id="rId71"/>
    <sheet name="q35" sheetId="16" state="hidden" r:id="rId72"/>
    <sheet name="q36" sheetId="104" state="hidden" r:id="rId73"/>
    <sheet name="q37" sheetId="33" state="hidden" r:id="rId74"/>
    <sheet name="q38" sheetId="34" state="hidden" r:id="rId75"/>
    <sheet name="q39" sheetId="111" state="hidden" r:id="rId76"/>
    <sheet name="q40" sheetId="56" state="hidden" r:id="rId77"/>
    <sheet name="q41" sheetId="35" state="hidden" r:id="rId78"/>
    <sheet name="Conceitos e nomenclaturas" sheetId="63" state="hidden" r:id="rId79"/>
    <sheet name="Conceitos1" sheetId="117" state="hidden" r:id="rId80"/>
    <sheet name="Conceitos2" sheetId="118" state="hidden" r:id="rId81"/>
    <sheet name="Nomenclaturas" sheetId="119" state="hidden" r:id="rId82"/>
  </sheets>
  <externalReferences>
    <externalReference r:id="rId83"/>
  </externalReferences>
  <definedNames>
    <definedName name="_xlchart.v5.0" hidden="1">q3_q7_q11_q15_q24_q35_Fig!$AS$19</definedName>
    <definedName name="_xlchart.v5.1" hidden="1">q3_q7_q11_q15_q24_q35_Fig!$AS$20:$AS$37</definedName>
    <definedName name="_xlchart.v5.10" hidden="1">q3_q7_q11_q15_q24_q35_Fig!$BB$19</definedName>
    <definedName name="_xlchart.v5.11" hidden="1">q3_q7_q11_q15_q24_q35_Fig!$BB$20:$BB$37</definedName>
    <definedName name="_xlchart.v5.12" hidden="1">q3_q7_q11_q15_q24_q35_Fig!$AL$19</definedName>
    <definedName name="_xlchart.v5.13" hidden="1">q3_q7_q11_q15_q24_q35_Fig!$AL$20:$AL$37</definedName>
    <definedName name="_xlchart.v5.14" hidden="1">q3_q7_q11_q15_q24_q35_Fig!$AN$19</definedName>
    <definedName name="_xlchart.v5.15" hidden="1">q3_q7_q11_q15_q24_q35_Fig!$AN$20:$AN$37</definedName>
    <definedName name="_xlchart.v5.16" hidden="1">q3_q7_q11_q15_q24_q35_Fig!$AL$19</definedName>
    <definedName name="_xlchart.v5.17" hidden="1">q3_q7_q11_q15_q24_q35_Fig!$AL$20:$AL$37</definedName>
    <definedName name="_xlchart.v5.18" hidden="1">q3_q7_q11_q15_q24_q35_Fig!$AM$19</definedName>
    <definedName name="_xlchart.v5.19" hidden="1">q3_q7_q11_q15_q24_q35_Fig!$AM$20:$AM$37</definedName>
    <definedName name="_xlchart.v5.2" hidden="1">q3_q7_q11_q15_q24_q35_Fig!$AT$19</definedName>
    <definedName name="_xlchart.v5.20" hidden="1">q3_q7_q11_q15_q24_q35_Fig!$AN$19</definedName>
    <definedName name="_xlchart.v5.21" hidden="1">q3_q7_q11_q15_q24_q35_Fig!$AS$19</definedName>
    <definedName name="_xlchart.v5.22" hidden="1">q3_q7_q11_q15_q24_q35_Fig!$AS$20:$AS$37</definedName>
    <definedName name="_xlchart.v5.23" hidden="1">q3_q7_q11_q15_q24_q35_Fig!$AU$19</definedName>
    <definedName name="_xlchart.v5.24" hidden="1">q3_q7_q11_q15_q24_q35_Fig!$AU$20:$AU$37</definedName>
    <definedName name="_xlchart.v5.25" hidden="1">q3_q7_q11_q15_q24_q35_Fig!$AL$19</definedName>
    <definedName name="_xlchart.v5.26" hidden="1">q3_q7_q11_q15_q24_q35_Fig!$AL$20:$AL$37</definedName>
    <definedName name="_xlchart.v5.27" hidden="1">q3_q7_q11_q15_q24_q35_Fig!$AM$19</definedName>
    <definedName name="_xlchart.v5.28" hidden="1">q3_q7_q11_q15_q24_q35_Fig!$AM$20:$AM$37</definedName>
    <definedName name="_xlchart.v5.29" hidden="1">q3_q7_q11_q15_q24_q35_Fig!$AN$19</definedName>
    <definedName name="_xlchart.v5.3" hidden="1">q3_q7_q11_q15_q24_q35_Fig!$AT$20:$AT$37</definedName>
    <definedName name="_xlchart.v5.30" hidden="1">q3_q7_q11_q15_q24_q35_Fig!$AS$19</definedName>
    <definedName name="_xlchart.v5.31" hidden="1">q3_q7_q11_q15_q24_q35_Fig!$AS$20:$AS$37</definedName>
    <definedName name="_xlchart.v5.32" hidden="1">q3_q7_q11_q15_q24_q35_Fig!$AU$19</definedName>
    <definedName name="_xlchart.v5.33" hidden="1">q3_q7_q11_q15_q24_q35_Fig!$AU$20:$AU$37</definedName>
    <definedName name="_xlchart.v5.34" hidden="1">q3_q7_q11_q15_q24_q35_Fig!$AL$19</definedName>
    <definedName name="_xlchart.v5.35" hidden="1">q3_q7_q11_q15_q24_q35_Fig!$AL$20:$AL$37</definedName>
    <definedName name="_xlchart.v5.36" hidden="1">q3_q7_q11_q15_q24_q35_Fig!$AN$19</definedName>
    <definedName name="_xlchart.v5.37" hidden="1">q3_q7_q11_q15_q24_q35_Fig!$AN$20:$AN$37</definedName>
    <definedName name="_xlchart.v5.38" hidden="1">q3_q7_q11_q15_q24_q35_Fig!$AS$19</definedName>
    <definedName name="_xlchart.v5.39" hidden="1">q3_q7_q11_q15_q24_q35_Fig!$AS$20:$AS$37</definedName>
    <definedName name="_xlchart.v5.4" hidden="1">q3_q7_q11_q15_q24_q35_Fig!$AZ$19</definedName>
    <definedName name="_xlchart.v5.40" hidden="1">q3_q7_q11_q15_q24_q35_Fig!$AT$19</definedName>
    <definedName name="_xlchart.v5.41" hidden="1">q3_q7_q11_q15_q24_q35_Fig!$AT$20:$AT$37</definedName>
    <definedName name="_xlchart.v5.42" hidden="1">q3_q7_q11_q15_q24_q35_Fig!$AZ$19</definedName>
    <definedName name="_xlchart.v5.43" hidden="1">q3_q7_q11_q15_q24_q35_Fig!$AZ$20:$AZ$37</definedName>
    <definedName name="_xlchart.v5.44" hidden="1">q3_q7_q11_q15_q24_q35_Fig!$BB$19</definedName>
    <definedName name="_xlchart.v5.45" hidden="1">q3_q7_q11_q15_q24_q35_Fig!$BB$20:$BB$37</definedName>
    <definedName name="_xlchart.v5.46" hidden="1">q3_q7_q11_q15_q24_q35_Fig!$AZ$19</definedName>
    <definedName name="_xlchart.v5.47" hidden="1">q3_q7_q11_q15_q24_q35_Fig!$AZ$20:$AZ$38</definedName>
    <definedName name="_xlchart.v5.48" hidden="1">q3_q7_q11_q15_q24_q35_Fig!$BA$19</definedName>
    <definedName name="_xlchart.v5.49" hidden="1">q3_q7_q11_q15_q24_q35_Fig!$BA$20:$BA$38</definedName>
    <definedName name="_xlchart.v5.5" hidden="1">q3_q7_q11_q15_q24_q35_Fig!$AZ$20:$AZ$38</definedName>
    <definedName name="_xlchart.v5.6" hidden="1">q3_q7_q11_q15_q24_q35_Fig!$BA$19</definedName>
    <definedName name="_xlchart.v5.7" hidden="1">q3_q7_q11_q15_q24_q35_Fig!$BA$20:$BA$38</definedName>
    <definedName name="_xlchart.v5.8" hidden="1">q3_q7_q11_q15_q24_q35_Fig!$AZ$19</definedName>
    <definedName name="_xlchart.v5.9" hidden="1">q3_q7_q11_q15_q24_q35_Fig!$AZ$20:$AZ$37</definedName>
    <definedName name="acidentes" localSheetId="11">#REF!</definedName>
    <definedName name="acidentes" localSheetId="12">#REF!</definedName>
    <definedName name="acidentes" localSheetId="10">#REF!</definedName>
    <definedName name="acidentes">#REF!</definedName>
    <definedName name="_xlnm.Print_Area" localSheetId="1">Capa_Indice!$A$1:$L$57</definedName>
    <definedName name="_xlnm.Print_Area" localSheetId="0">Capa_Serie!$A$1:$L$53</definedName>
    <definedName name="_xlnm.Print_Area" localSheetId="11">'Caracteristicas TCO_1'!$A$1:$W$54</definedName>
    <definedName name="_xlnm.Print_Area" localSheetId="12">'Caracteristicas TCO_2'!$A$1:$W$54</definedName>
    <definedName name="_xlnm.Print_Area" localSheetId="79">Conceitos1!$A$1:$J$51</definedName>
    <definedName name="_xlnm.Print_Area" localSheetId="80">Conceitos2!$A$1:$J$55</definedName>
    <definedName name="_xlnm.Print_Area" localSheetId="13">Desigualdade_Contratacao!$A$1:$W$53</definedName>
    <definedName name="_xlnm.Print_Area" localSheetId="9">Distritos!$A$1:$W$57</definedName>
    <definedName name="_xlnm.Print_Area" localSheetId="7">'Estrutura Empresarial'!$A$1:$W$53</definedName>
    <definedName name="_xlnm.Print_Area" localSheetId="8">'Estrutura Empresarial_Rem'!$A$1:$W$53</definedName>
    <definedName name="_xlnm.Print_Area" localSheetId="4">'índice de quadros'!$A$1:$A$43</definedName>
    <definedName name="_xlnm.Print_Area" localSheetId="5">Introdução!$A$1:$J$54</definedName>
    <definedName name="_xlnm.Print_Area" localSheetId="2">'Introdução e Metainformação'!$A$1:$U$13</definedName>
    <definedName name="_xlnm.Print_Area" localSheetId="81">Nomenclaturas!$A$1:$J$56</definedName>
    <definedName name="_xlnm.Print_Area" localSheetId="10">'NUTS 2024'!$A$1:$W$57</definedName>
    <definedName name="_xlnm.Print_Area" localSheetId="35">'q1'!$A$1:$M$50</definedName>
    <definedName name="_xlnm.Print_Area" localSheetId="45">'q10'!$A$1:$L$18</definedName>
    <definedName name="_xlnm.Print_Area" localSheetId="46">'q11'!$A$1:$L$24</definedName>
    <definedName name="_xlnm.Print_Area" localSheetId="47">'q12'!$A$1:$L$34</definedName>
    <definedName name="_xlnm.Print_Area" localSheetId="48">'q13'!$A$1:$M$50</definedName>
    <definedName name="_xlnm.Print_Area" localSheetId="49">'q14'!$A$1:$M$42</definedName>
    <definedName name="_xlnm.Print_Area" localSheetId="19">q14a!$A$1:$M$42</definedName>
    <definedName name="_xlnm.Print_Area" localSheetId="50">'q15'!$A$1:$L$24</definedName>
    <definedName name="_xlnm.Print_Area" localSheetId="51">'q16'!$A$1:$L$34</definedName>
    <definedName name="_xlnm.Print_Area" localSheetId="52">'q17'!$A$1:$M$44</definedName>
    <definedName name="_xlnm.Print_Area" localSheetId="27">q17a!$A$1:$M$44</definedName>
    <definedName name="_xlnm.Print_Area" localSheetId="53">'q18'!$A$1:$M$32</definedName>
    <definedName name="_xlnm.Print_Area" localSheetId="54">'q19'!$A$1:$M$56</definedName>
    <definedName name="_xlnm.Print_Area" localSheetId="36">'q2'!$A$1:$L$18</definedName>
    <definedName name="_xlnm.Print_Area" localSheetId="55">'q20'!$A$1:$L$13</definedName>
    <definedName name="_xlnm.Print_Area" localSheetId="57">'q21'!$A$1:$L$27</definedName>
    <definedName name="_xlnm.Print_Area" localSheetId="58">'q22'!$A$1:$M$51</definedName>
    <definedName name="_xlnm.Print_Area" localSheetId="59">'q23'!$A$1:$M$42</definedName>
    <definedName name="_xlnm.Print_Area" localSheetId="20">q23_Aux!$A$1:$M$42</definedName>
    <definedName name="_xlnm.Print_Area" localSheetId="60">'q24'!$A$1:$L$25</definedName>
    <definedName name="_xlnm.Print_Area" localSheetId="61">'q25'!$A$1:$L$35</definedName>
    <definedName name="_xlnm.Print_Area" localSheetId="62">'q26'!$A$1:$M$45</definedName>
    <definedName name="_xlnm.Print_Area" localSheetId="28">q26_Aux!$A$1:$M$45</definedName>
    <definedName name="_xlnm.Print_Area" localSheetId="63">'q27'!$A$1:$M$33</definedName>
    <definedName name="_xlnm.Print_Area" localSheetId="64">'q28'!$A$1:$M$57</definedName>
    <definedName name="_xlnm.Print_Area" localSheetId="65">'q29'!$A$1:$M$57</definedName>
    <definedName name="_xlnm.Print_Area" localSheetId="37">'q3'!$A$1:$L$24</definedName>
    <definedName name="_xlnm.Print_Area" localSheetId="66">'q30'!$A$1:$L$14</definedName>
    <definedName name="_xlnm.Print_Area" localSheetId="67">'q31'!$A$1:$L$28</definedName>
    <definedName name="_xlnm.Print_Area" localSheetId="68">'q32 '!$A$1:$L$24</definedName>
    <definedName name="_xlnm.Print_Area" localSheetId="69">'q33'!$A$1:$M$51</definedName>
    <definedName name="_xlnm.Print_Area" localSheetId="70">'q34'!$A$1:$M$42</definedName>
    <definedName name="_xlnm.Print_Area" localSheetId="21">q34_Aux!$A$1:$M$42</definedName>
    <definedName name="_xlnm.Print_Area" localSheetId="71">'q35'!$A$1:$L$25</definedName>
    <definedName name="_xlnm.Print_Area" localSheetId="72">'q36'!$A$1:$L$35</definedName>
    <definedName name="_xlnm.Print_Area" localSheetId="73">'q37'!$A$1:$M$45</definedName>
    <definedName name="_xlnm.Print_Area" localSheetId="29">q37_Aux!$A$1:$M$45</definedName>
    <definedName name="_xlnm.Print_Area" localSheetId="74">'q38'!$A$1:$M$33</definedName>
    <definedName name="_xlnm.Print_Area" localSheetId="75">'q39'!$A$1:$M$57</definedName>
    <definedName name="_xlnm.Print_Area" localSheetId="38">'q4'!$A$1:$L$34</definedName>
    <definedName name="_xlnm.Print_Area" localSheetId="76">'q40'!$A$1:$N$37</definedName>
    <definedName name="_xlnm.Print_Area" localSheetId="77">'q41'!$A$1:$L$14</definedName>
    <definedName name="_xlnm.Print_Area" localSheetId="39">'q5'!$A$1:$M$50</definedName>
    <definedName name="_xlnm.Print_Area" localSheetId="40">'q6'!$A$1:$L$18</definedName>
    <definedName name="_xlnm.Print_Area" localSheetId="41">'q7'!$A$1:$L$24</definedName>
    <definedName name="_xlnm.Print_Area" localSheetId="42">'q8'!$A$1:$L$34</definedName>
    <definedName name="_xlnm.Print_Area" localSheetId="44">'q9'!$A$1:$M$50</definedName>
    <definedName name="Bolas" localSheetId="11">INDEX(#REF!, MATCH(#REF!,#REF!,0))</definedName>
    <definedName name="Bolas" localSheetId="12">INDEX(#REF!, MATCH(#REF!,#REF!,0))</definedName>
    <definedName name="Bolas" localSheetId="10">INDEX(#REF!, MATCH(#REF!,#REF!,0))</definedName>
    <definedName name="Bolas">INDEX(#REF!, MATCH(#REF!,#REF!,0))</definedName>
    <definedName name="CAE" localSheetId="11">#REF!</definedName>
    <definedName name="CAE" localSheetId="12">#REF!</definedName>
    <definedName name="CAE" localSheetId="10">#REF!</definedName>
    <definedName name="CAE">#REF!</definedName>
    <definedName name="Changes" localSheetId="11">#REF!</definedName>
    <definedName name="Changes" localSheetId="12">#REF!</definedName>
    <definedName name="Changes" localSheetId="10">#REF!</definedName>
    <definedName name="Changes">#REF!</definedName>
    <definedName name="Comments" localSheetId="11">#REF!</definedName>
    <definedName name="Comments" localSheetId="12">#REF!</definedName>
    <definedName name="Comments" localSheetId="10">#REF!</definedName>
    <definedName name="Comments">#REF!</definedName>
    <definedName name="Contact" localSheetId="11">#REF!</definedName>
    <definedName name="Contact" localSheetId="12">#REF!</definedName>
    <definedName name="Contact" localSheetId="10">#REF!</definedName>
    <definedName name="Contact">#REF!</definedName>
    <definedName name="Country" localSheetId="11">#REF!</definedName>
    <definedName name="Country" localSheetId="12">#REF!</definedName>
    <definedName name="Country" localSheetId="10">#REF!</definedName>
    <definedName name="Country">#REF!</definedName>
    <definedName name="CUSTOS" localSheetId="11">#REF!</definedName>
    <definedName name="CUSTOS" localSheetId="12">#REF!</definedName>
    <definedName name="CUSTOS" localSheetId="10">#REF!</definedName>
    <definedName name="CUSTOS">#REF!</definedName>
    <definedName name="CV_employed" localSheetId="11">#REF!</definedName>
    <definedName name="CV_employed" localSheetId="12">#REF!</definedName>
    <definedName name="CV_employed" localSheetId="10">#REF!</definedName>
    <definedName name="CV_employed">#REF!</definedName>
    <definedName name="CV_parttime" localSheetId="11">#REF!</definedName>
    <definedName name="CV_parttime" localSheetId="12">#REF!</definedName>
    <definedName name="CV_parttime" localSheetId="10">#REF!</definedName>
    <definedName name="CV_parttime">#REF!</definedName>
    <definedName name="CV_unemployed" localSheetId="11">#REF!</definedName>
    <definedName name="CV_unemployed" localSheetId="12">#REF!</definedName>
    <definedName name="CV_unemployed" localSheetId="10">#REF!</definedName>
    <definedName name="CV_unemployed">#REF!</definedName>
    <definedName name="CV_unemploymentRate" localSheetId="11">#REF!</definedName>
    <definedName name="CV_unemploymentRate" localSheetId="12">#REF!</definedName>
    <definedName name="CV_unemploymentRate" localSheetId="10">#REF!</definedName>
    <definedName name="CV_unemploymentRate">#REF!</definedName>
    <definedName name="CV_UsualHours" localSheetId="11">#REF!</definedName>
    <definedName name="CV_UsualHours" localSheetId="12">#REF!</definedName>
    <definedName name="CV_UsualHours" localSheetId="10">#REF!</definedName>
    <definedName name="CV_UsualHours">#REF!</definedName>
    <definedName name="dgalsjdgAD" localSheetId="11">#REF!</definedName>
    <definedName name="dgalsjdgAD" localSheetId="12">#REF!</definedName>
    <definedName name="dgalsjdgAD" localSheetId="10">#REF!</definedName>
    <definedName name="dgalsjdgAD">#REF!</definedName>
    <definedName name="DimensãoUL" localSheetId="11">#REF!</definedName>
    <definedName name="DimensãoUL" localSheetId="12">#REF!</definedName>
    <definedName name="DimensãoUL" localSheetId="10">#REF!</definedName>
    <definedName name="DimensãoUL">#REF!</definedName>
    <definedName name="dsadsa" localSheetId="11">#REF!</definedName>
    <definedName name="dsadsa" localSheetId="12">#REF!</definedName>
    <definedName name="dsadsa" localSheetId="10">#REF!</definedName>
    <definedName name="dsadsa">#REF!</definedName>
    <definedName name="email" localSheetId="11">#REF!</definedName>
    <definedName name="email" localSheetId="12">#REF!</definedName>
    <definedName name="email" localSheetId="10">#REF!</definedName>
    <definedName name="email">#REF!</definedName>
    <definedName name="Globais" localSheetId="11">#REF!</definedName>
    <definedName name="Globais" localSheetId="12">#REF!</definedName>
    <definedName name="Globais" localSheetId="10">#REF!</definedName>
    <definedName name="Globais">#REF!</definedName>
    <definedName name="hdbtrgs" localSheetId="11">#REF!</definedName>
    <definedName name="hdbtrgs" localSheetId="12">#REF!</definedName>
    <definedName name="hdbtrgs" localSheetId="10">#REF!</definedName>
    <definedName name="hdbtrgs">#REF!</definedName>
    <definedName name="Limit_a_q" localSheetId="11">#REF!</definedName>
    <definedName name="Limit_a_q" localSheetId="12">#REF!</definedName>
    <definedName name="Limit_a_q" localSheetId="10">#REF!</definedName>
    <definedName name="Limit_a_q">#REF!</definedName>
    <definedName name="Limit_b_a" localSheetId="11">#REF!</definedName>
    <definedName name="Limit_b_a" localSheetId="12">#REF!</definedName>
    <definedName name="Limit_b_a" localSheetId="10">#REF!</definedName>
    <definedName name="Limit_b_a">#REF!</definedName>
    <definedName name="Limit_b_q" localSheetId="11">#REF!</definedName>
    <definedName name="Limit_b_q" localSheetId="12">#REF!</definedName>
    <definedName name="Limit_b_q" localSheetId="10">#REF!</definedName>
    <definedName name="Limit_b_q">#REF!</definedName>
    <definedName name="md" localSheetId="11">#REF!</definedName>
    <definedName name="md" localSheetId="12">#REF!</definedName>
    <definedName name="md" localSheetId="10">#REF!</definedName>
    <definedName name="md">#REF!</definedName>
    <definedName name="mom3b" localSheetId="11">#REF!</definedName>
    <definedName name="mom3b" localSheetId="12">#REF!</definedName>
    <definedName name="mom3b" localSheetId="10">#REF!</definedName>
    <definedName name="mom3b">#REF!</definedName>
    <definedName name="mom8b" localSheetId="11">#REF!</definedName>
    <definedName name="mom8b" localSheetId="12">#REF!</definedName>
    <definedName name="mom8b" localSheetId="10">#REF!</definedName>
    <definedName name="mom8b">#REF!</definedName>
    <definedName name="mom9b" localSheetId="11">#REF!</definedName>
    <definedName name="mom9b" localSheetId="12">#REF!</definedName>
    <definedName name="mom9b" localSheetId="10">#REF!</definedName>
    <definedName name="mom9b">#REF!</definedName>
    <definedName name="mySortCriteria">[1]Calculation!$E$7</definedName>
    <definedName name="NR_NonContacts" localSheetId="11">#REF!</definedName>
    <definedName name="NR_NonContacts" localSheetId="12">#REF!</definedName>
    <definedName name="NR_NonContacts" localSheetId="10">#REF!</definedName>
    <definedName name="NR_NonContacts">#REF!</definedName>
    <definedName name="NR_Other" localSheetId="11">#REF!</definedName>
    <definedName name="NR_Other" localSheetId="12">#REF!</definedName>
    <definedName name="NR_Other" localSheetId="10">#REF!</definedName>
    <definedName name="NR_Other">#REF!</definedName>
    <definedName name="NR_Refusals" localSheetId="11">#REF!</definedName>
    <definedName name="NR_Refusals" localSheetId="12">#REF!</definedName>
    <definedName name="NR_Refusals" localSheetId="10">#REF!</definedName>
    <definedName name="NR_Refusals">#REF!</definedName>
    <definedName name="NR_Total" localSheetId="11">#REF!</definedName>
    <definedName name="NR_Total" localSheetId="12">#REF!</definedName>
    <definedName name="NR_Total" localSheetId="10">#REF!</definedName>
    <definedName name="NR_Total">#REF!</definedName>
    <definedName name="NUTII" localSheetId="11">#REF!</definedName>
    <definedName name="NUTII" localSheetId="12">#REF!</definedName>
    <definedName name="NUTII" localSheetId="10">#REF!</definedName>
    <definedName name="NUTII">#REF!</definedName>
    <definedName name="Quarter" localSheetId="11">#REF!</definedName>
    <definedName name="Quarter" localSheetId="12">#REF!</definedName>
    <definedName name="Quarter" localSheetId="10">#REF!</definedName>
    <definedName name="Quarter">#REF!</definedName>
    <definedName name="REM_GANHO" localSheetId="11">#REF!</definedName>
    <definedName name="REM_GANHO" localSheetId="12">#REF!</definedName>
    <definedName name="REM_GANHO" localSheetId="10">#REF!</definedName>
    <definedName name="REM_GANHO">#REF!</definedName>
    <definedName name="REMBASE" localSheetId="11">#REF!</definedName>
    <definedName name="REMBASE" localSheetId="12">#REF!</definedName>
    <definedName name="REMBASE" localSheetId="10">#REF!</definedName>
    <definedName name="REMBASE">#REF!</definedName>
    <definedName name="RMMG" localSheetId="11">#REF!</definedName>
    <definedName name="RMMG" localSheetId="12">#REF!</definedName>
    <definedName name="RMMG" localSheetId="10">#REF!</definedName>
    <definedName name="RMMG">#REF!</definedName>
    <definedName name="SegmentaçãoDeDados_Selecionar_CAE">#N/A</definedName>
    <definedName name="SegmentaçãoDeDados_Sexo">#N/A</definedName>
    <definedName name="SegmentaçãoDeDados_Tipo_de_remuneração">#N/A</definedName>
    <definedName name="SegmentaçãoDeDados_Tipo_Remuneração">#N/A</definedName>
    <definedName name="setas" localSheetId="11">INDEX(#REF!,MATCH(#REF!,#REF!),0)</definedName>
    <definedName name="setas" localSheetId="12">INDEX(#REF!,MATCH(#REF!,#REF!),0)</definedName>
    <definedName name="setas" localSheetId="10">INDEX(#REF!,MATCH(#REF!,#REF!),0)</definedName>
    <definedName name="setas">INDEX(#REF!,MATCH(#REF!,#REF!),0)</definedName>
    <definedName name="Telephone" localSheetId="11">#REF!</definedName>
    <definedName name="Telephone" localSheetId="12">#REF!</definedName>
    <definedName name="Telephone" localSheetId="10">#REF!</definedName>
    <definedName name="Telephone">#REF!</definedName>
    <definedName name="ue" localSheetId="11">#REF!</definedName>
    <definedName name="ue" localSheetId="12">#REF!</definedName>
    <definedName name="ue" localSheetId="10">#REF!</definedName>
    <definedName name="ue">#REF!</definedName>
    <definedName name="Year" localSheetId="11">#REF!</definedName>
    <definedName name="Year" localSheetId="12">#REF!</definedName>
    <definedName name="Year" localSheetId="10">#REF!</definedName>
    <definedName name="Year">#REF!</definedName>
  </definedNames>
  <calcPr calcId="191029"/>
  <pivotCaches>
    <pivotCache cacheId="8" r:id="rId84"/>
    <pivotCache cacheId="9" r:id="rId85"/>
  </pivotCaches>
  <extLst>
    <ext xmlns:x14="http://schemas.microsoft.com/office/spreadsheetml/2009/9/main" uri="{BBE1A952-AA13-448e-AADC-164F8A28A991}">
      <x14:slicerCaches>
        <x14:slicerCache r:id="rId86"/>
        <x14:slicerCache r:id="rId87"/>
        <x14:slicerCache r:id="rId88"/>
        <x14:slicerCache r:id="rId89"/>
      </x14:slicerCaches>
    </ext>
    <ext xmlns:x14="http://schemas.microsoft.com/office/spreadsheetml/2009/9/main" uri="{79F54976-1DA5-4618-B147-4CDE4B953A38}">
      <x14:workbookPr/>
    </ext>
  </extLst>
</workbook>
</file>

<file path=xl/calcChain.xml><?xml version="1.0" encoding="utf-8"?>
<calcChain xmlns="http://schemas.openxmlformats.org/spreadsheetml/2006/main">
  <c r="T109" i="80" l="1"/>
  <c r="U109" i="80"/>
  <c r="V109" i="80"/>
  <c r="W109" i="80"/>
  <c r="X109" i="80"/>
  <c r="Y109" i="80"/>
  <c r="S109" i="80"/>
  <c r="AF71" i="105"/>
  <c r="AE71" i="105"/>
  <c r="AF37" i="105"/>
  <c r="AE37" i="105"/>
  <c r="AF5" i="105"/>
  <c r="AE5" i="105"/>
  <c r="Y93" i="74"/>
  <c r="O111" i="74"/>
  <c r="R93" i="74"/>
  <c r="O98" i="74"/>
  <c r="M21" i="84" l="1"/>
  <c r="M16" i="84"/>
  <c r="M20" i="84"/>
  <c r="S10" i="84"/>
  <c r="S6" i="84"/>
  <c r="B41" i="85"/>
  <c r="B42" i="85"/>
  <c r="N80" i="85"/>
  <c r="M80" i="85"/>
  <c r="N79" i="85"/>
  <c r="M79" i="85"/>
  <c r="O22" i="82"/>
  <c r="P23" i="82"/>
  <c r="N22" i="82"/>
  <c r="O7" i="82"/>
  <c r="N7" i="82"/>
  <c r="O8" i="82"/>
  <c r="P8" i="82"/>
  <c r="D71" i="75" l="1"/>
  <c r="R104" i="74"/>
  <c r="R107" i="74"/>
  <c r="T99" i="74"/>
  <c r="T98" i="74"/>
  <c r="T96" i="74"/>
  <c r="T95" i="74"/>
  <c r="S99" i="74"/>
  <c r="S98" i="74"/>
  <c r="R98" i="74"/>
  <c r="S96" i="74"/>
  <c r="S95" i="74"/>
  <c r="R95" i="74"/>
  <c r="Z99" i="74"/>
  <c r="Z98" i="74"/>
  <c r="X99" i="74"/>
  <c r="X98" i="74"/>
  <c r="Y98" i="74"/>
  <c r="Z96" i="74"/>
  <c r="Z95" i="74"/>
  <c r="X96" i="74"/>
  <c r="X95" i="74"/>
  <c r="Y95" i="74"/>
  <c r="Q111" i="74"/>
  <c r="Q112" i="74"/>
  <c r="E113" i="74"/>
  <c r="F113" i="74"/>
  <c r="G113" i="74"/>
  <c r="H113" i="74"/>
  <c r="I113" i="74"/>
  <c r="J113" i="74"/>
  <c r="K113" i="74"/>
  <c r="L113" i="74"/>
  <c r="M113" i="74"/>
  <c r="N113" i="74"/>
  <c r="D113" i="74"/>
  <c r="Y91" i="74"/>
  <c r="R91" i="74"/>
  <c r="P110" i="74"/>
  <c r="P97" i="74"/>
  <c r="D98" i="74"/>
  <c r="R107" i="72"/>
  <c r="R104" i="72"/>
  <c r="X91" i="72"/>
  <c r="Z99" i="72"/>
  <c r="Z98" i="72"/>
  <c r="Z96" i="72"/>
  <c r="Z95" i="72"/>
  <c r="T99" i="72"/>
  <c r="T98" i="72"/>
  <c r="T96" i="72"/>
  <c r="T95" i="72"/>
  <c r="A179" i="68" l="1"/>
  <c r="A173" i="68"/>
  <c r="S269" i="80" l="1"/>
  <c r="S267" i="80"/>
  <c r="T269" i="80" l="1"/>
  <c r="T267" i="80"/>
  <c r="U267" i="80"/>
  <c r="U269" i="80"/>
  <c r="V269" i="80"/>
  <c r="V267" i="80" l="1"/>
  <c r="Z255" i="80"/>
  <c r="Z256" i="80"/>
  <c r="Z257" i="80"/>
  <c r="Z258" i="80"/>
  <c r="Z259" i="80"/>
  <c r="Z260" i="80"/>
  <c r="Z261" i="80"/>
  <c r="Z262" i="80"/>
  <c r="Z263" i="80"/>
  <c r="Z254" i="80"/>
  <c r="R252" i="80" l="1"/>
  <c r="M308" i="80"/>
  <c r="L308" i="80"/>
  <c r="K308" i="80"/>
  <c r="J308" i="80"/>
  <c r="I308" i="80"/>
  <c r="H308" i="80"/>
  <c r="G308" i="80"/>
  <c r="F308" i="80"/>
  <c r="E308" i="80"/>
  <c r="D308" i="80"/>
  <c r="C308" i="80"/>
  <c r="M307" i="80"/>
  <c r="L307" i="80"/>
  <c r="K307" i="80"/>
  <c r="J307" i="80"/>
  <c r="I307" i="80"/>
  <c r="H307" i="80"/>
  <c r="G307" i="80"/>
  <c r="F307" i="80"/>
  <c r="E307" i="80"/>
  <c r="D307" i="80"/>
  <c r="C307" i="80"/>
  <c r="B307" i="80"/>
  <c r="M306" i="80"/>
  <c r="L306" i="80"/>
  <c r="K306" i="80"/>
  <c r="J306" i="80"/>
  <c r="I306" i="80"/>
  <c r="H306" i="80"/>
  <c r="G306" i="80"/>
  <c r="F306" i="80"/>
  <c r="E306" i="80"/>
  <c r="D306" i="80"/>
  <c r="C306" i="80"/>
  <c r="B306" i="80"/>
  <c r="M305" i="80"/>
  <c r="L305" i="80"/>
  <c r="K305" i="80"/>
  <c r="J305" i="80"/>
  <c r="I305" i="80"/>
  <c r="H305" i="80"/>
  <c r="G305" i="80"/>
  <c r="F305" i="80"/>
  <c r="E305" i="80"/>
  <c r="D305" i="80"/>
  <c r="C305" i="80"/>
  <c r="B305" i="80"/>
  <c r="M304" i="80"/>
  <c r="L304" i="80"/>
  <c r="K304" i="80"/>
  <c r="J304" i="80"/>
  <c r="I304" i="80"/>
  <c r="H304" i="80"/>
  <c r="G304" i="80"/>
  <c r="F304" i="80"/>
  <c r="E304" i="80"/>
  <c r="D304" i="80"/>
  <c r="C304" i="80"/>
  <c r="B304" i="80"/>
  <c r="M303" i="80"/>
  <c r="L303" i="80"/>
  <c r="K303" i="80"/>
  <c r="J303" i="80"/>
  <c r="I303" i="80"/>
  <c r="H303" i="80"/>
  <c r="G303" i="80"/>
  <c r="F303" i="80"/>
  <c r="E303" i="80"/>
  <c r="D303" i="80"/>
  <c r="C303" i="80"/>
  <c r="B303" i="80"/>
  <c r="M302" i="80"/>
  <c r="L302" i="80"/>
  <c r="K302" i="80"/>
  <c r="J302" i="80"/>
  <c r="I302" i="80"/>
  <c r="H302" i="80"/>
  <c r="G302" i="80"/>
  <c r="F302" i="80"/>
  <c r="E302" i="80"/>
  <c r="D302" i="80"/>
  <c r="C302" i="80"/>
  <c r="B302" i="80"/>
  <c r="M301" i="80"/>
  <c r="L301" i="80"/>
  <c r="K301" i="80"/>
  <c r="J301" i="80"/>
  <c r="I301" i="80"/>
  <c r="H301" i="80"/>
  <c r="G301" i="80"/>
  <c r="F301" i="80"/>
  <c r="E301" i="80"/>
  <c r="D301" i="80"/>
  <c r="C301" i="80"/>
  <c r="B301" i="80"/>
  <c r="M300" i="80"/>
  <c r="L300" i="80"/>
  <c r="K300" i="80"/>
  <c r="J300" i="80"/>
  <c r="I300" i="80"/>
  <c r="H300" i="80"/>
  <c r="G300" i="80"/>
  <c r="F300" i="80"/>
  <c r="E300" i="80"/>
  <c r="D300" i="80"/>
  <c r="C300" i="80"/>
  <c r="B300" i="80"/>
  <c r="M299" i="80"/>
  <c r="L299" i="80"/>
  <c r="K299" i="80"/>
  <c r="J299" i="80"/>
  <c r="I299" i="80"/>
  <c r="H299" i="80"/>
  <c r="G299" i="80"/>
  <c r="F299" i="80"/>
  <c r="E299" i="80"/>
  <c r="D299" i="80"/>
  <c r="C299" i="80"/>
  <c r="B299" i="80"/>
  <c r="M298" i="80"/>
  <c r="L298" i="80"/>
  <c r="K298" i="80"/>
  <c r="J298" i="80"/>
  <c r="I298" i="80"/>
  <c r="H298" i="80"/>
  <c r="G298" i="80"/>
  <c r="F298" i="80"/>
  <c r="E298" i="80"/>
  <c r="D298" i="80"/>
  <c r="C298" i="80"/>
  <c r="B298" i="80"/>
  <c r="M297" i="80"/>
  <c r="L297" i="80"/>
  <c r="K297" i="80"/>
  <c r="J297" i="80"/>
  <c r="I297" i="80"/>
  <c r="H297" i="80"/>
  <c r="G297" i="80"/>
  <c r="F297" i="80"/>
  <c r="E297" i="80"/>
  <c r="D297" i="80"/>
  <c r="C297" i="80"/>
  <c r="M293" i="80"/>
  <c r="L293" i="80"/>
  <c r="K293" i="80"/>
  <c r="J293" i="80"/>
  <c r="I293" i="80"/>
  <c r="H293" i="80"/>
  <c r="G293" i="80"/>
  <c r="F293" i="80"/>
  <c r="E293" i="80"/>
  <c r="D293" i="80"/>
  <c r="C293" i="80"/>
  <c r="M292" i="80"/>
  <c r="L292" i="80"/>
  <c r="K292" i="80"/>
  <c r="J292" i="80"/>
  <c r="I292" i="80"/>
  <c r="H292" i="80"/>
  <c r="G292" i="80"/>
  <c r="F292" i="80"/>
  <c r="E292" i="80"/>
  <c r="D292" i="80"/>
  <c r="C292" i="80"/>
  <c r="B292" i="80"/>
  <c r="M291" i="80"/>
  <c r="L291" i="80"/>
  <c r="K291" i="80"/>
  <c r="J291" i="80"/>
  <c r="I291" i="80"/>
  <c r="H291" i="80"/>
  <c r="G291" i="80"/>
  <c r="F291" i="80"/>
  <c r="E291" i="80"/>
  <c r="D291" i="80"/>
  <c r="C291" i="80"/>
  <c r="B291" i="80"/>
  <c r="M290" i="80"/>
  <c r="L290" i="80"/>
  <c r="K290" i="80"/>
  <c r="J290" i="80"/>
  <c r="I290" i="80"/>
  <c r="H290" i="80"/>
  <c r="G290" i="80"/>
  <c r="F290" i="80"/>
  <c r="E290" i="80"/>
  <c r="D290" i="80"/>
  <c r="C290" i="80"/>
  <c r="B290" i="80"/>
  <c r="M289" i="80"/>
  <c r="L289" i="80"/>
  <c r="K289" i="80"/>
  <c r="J289" i="80"/>
  <c r="I289" i="80"/>
  <c r="H289" i="80"/>
  <c r="G289" i="80"/>
  <c r="F289" i="80"/>
  <c r="E289" i="80"/>
  <c r="D289" i="80"/>
  <c r="C289" i="80"/>
  <c r="B289" i="80"/>
  <c r="M288" i="80"/>
  <c r="L288" i="80"/>
  <c r="K288" i="80"/>
  <c r="J288" i="80"/>
  <c r="I288" i="80"/>
  <c r="H288" i="80"/>
  <c r="G288" i="80"/>
  <c r="F288" i="80"/>
  <c r="E288" i="80"/>
  <c r="D288" i="80"/>
  <c r="C288" i="80"/>
  <c r="B288" i="80"/>
  <c r="M287" i="80"/>
  <c r="L287" i="80"/>
  <c r="K287" i="80"/>
  <c r="J287" i="80"/>
  <c r="I287" i="80"/>
  <c r="H287" i="80"/>
  <c r="G287" i="80"/>
  <c r="F287" i="80"/>
  <c r="E287" i="80"/>
  <c r="D287" i="80"/>
  <c r="C287" i="80"/>
  <c r="B287" i="80"/>
  <c r="M286" i="80"/>
  <c r="L286" i="80"/>
  <c r="K286" i="80"/>
  <c r="J286" i="80"/>
  <c r="I286" i="80"/>
  <c r="H286" i="80"/>
  <c r="G286" i="80"/>
  <c r="F286" i="80"/>
  <c r="E286" i="80"/>
  <c r="D286" i="80"/>
  <c r="C286" i="80"/>
  <c r="B286" i="80"/>
  <c r="M285" i="80"/>
  <c r="L285" i="80"/>
  <c r="K285" i="80"/>
  <c r="J285" i="80"/>
  <c r="I285" i="80"/>
  <c r="H285" i="80"/>
  <c r="G285" i="80"/>
  <c r="F285" i="80"/>
  <c r="E285" i="80"/>
  <c r="D285" i="80"/>
  <c r="C285" i="80"/>
  <c r="B285" i="80"/>
  <c r="M284" i="80"/>
  <c r="L284" i="80"/>
  <c r="K284" i="80"/>
  <c r="J284" i="80"/>
  <c r="I284" i="80"/>
  <c r="H284" i="80"/>
  <c r="G284" i="80"/>
  <c r="F284" i="80"/>
  <c r="E284" i="80"/>
  <c r="D284" i="80"/>
  <c r="C284" i="80"/>
  <c r="B284" i="80"/>
  <c r="M283" i="80"/>
  <c r="L283" i="80"/>
  <c r="K283" i="80"/>
  <c r="J283" i="80"/>
  <c r="I283" i="80"/>
  <c r="H283" i="80"/>
  <c r="G283" i="80"/>
  <c r="F283" i="80"/>
  <c r="E283" i="80"/>
  <c r="D283" i="80"/>
  <c r="C283" i="80"/>
  <c r="B283" i="80"/>
  <c r="M282" i="80"/>
  <c r="L282" i="80"/>
  <c r="K282" i="80"/>
  <c r="J282" i="80"/>
  <c r="I282" i="80"/>
  <c r="H282" i="80"/>
  <c r="G282" i="80"/>
  <c r="F282" i="80"/>
  <c r="E282" i="80"/>
  <c r="D282" i="80"/>
  <c r="C282" i="80"/>
  <c r="M279" i="80"/>
  <c r="L279" i="80"/>
  <c r="K279" i="80"/>
  <c r="J279" i="80"/>
  <c r="I279" i="80"/>
  <c r="H279" i="80"/>
  <c r="G279" i="80"/>
  <c r="F279" i="80"/>
  <c r="E279" i="80"/>
  <c r="D279" i="80"/>
  <c r="C279" i="80"/>
  <c r="M278" i="80"/>
  <c r="L278" i="80"/>
  <c r="K278" i="80"/>
  <c r="J278" i="80"/>
  <c r="I278" i="80"/>
  <c r="H278" i="80"/>
  <c r="G278" i="80"/>
  <c r="F278" i="80"/>
  <c r="E278" i="80"/>
  <c r="D278" i="80"/>
  <c r="C278" i="80"/>
  <c r="B278" i="80"/>
  <c r="M277" i="80"/>
  <c r="L277" i="80"/>
  <c r="K277" i="80"/>
  <c r="J277" i="80"/>
  <c r="I277" i="80"/>
  <c r="H277" i="80"/>
  <c r="G277" i="80"/>
  <c r="F277" i="80"/>
  <c r="E277" i="80"/>
  <c r="D277" i="80"/>
  <c r="C277" i="80"/>
  <c r="B277" i="80"/>
  <c r="M276" i="80"/>
  <c r="L276" i="80"/>
  <c r="K276" i="80"/>
  <c r="J276" i="80"/>
  <c r="I276" i="80"/>
  <c r="H276" i="80"/>
  <c r="G276" i="80"/>
  <c r="F276" i="80"/>
  <c r="E276" i="80"/>
  <c r="D276" i="80"/>
  <c r="C276" i="80"/>
  <c r="B276" i="80"/>
  <c r="M275" i="80"/>
  <c r="L275" i="80"/>
  <c r="K275" i="80"/>
  <c r="J275" i="80"/>
  <c r="I275" i="80"/>
  <c r="H275" i="80"/>
  <c r="G275" i="80"/>
  <c r="F275" i="80"/>
  <c r="E275" i="80"/>
  <c r="D275" i="80"/>
  <c r="C275" i="80"/>
  <c r="B275" i="80"/>
  <c r="M274" i="80"/>
  <c r="L274" i="80"/>
  <c r="K274" i="80"/>
  <c r="J274" i="80"/>
  <c r="I274" i="80"/>
  <c r="H274" i="80"/>
  <c r="G274" i="80"/>
  <c r="F274" i="80"/>
  <c r="E274" i="80"/>
  <c r="D274" i="80"/>
  <c r="C274" i="80"/>
  <c r="B274" i="80"/>
  <c r="M273" i="80"/>
  <c r="L273" i="80"/>
  <c r="K273" i="80"/>
  <c r="J273" i="80"/>
  <c r="I273" i="80"/>
  <c r="H273" i="80"/>
  <c r="G273" i="80"/>
  <c r="F273" i="80"/>
  <c r="E273" i="80"/>
  <c r="D273" i="80"/>
  <c r="C273" i="80"/>
  <c r="B273" i="80"/>
  <c r="M272" i="80"/>
  <c r="L272" i="80"/>
  <c r="K272" i="80"/>
  <c r="J272" i="80"/>
  <c r="I272" i="80"/>
  <c r="H272" i="80"/>
  <c r="G272" i="80"/>
  <c r="F272" i="80"/>
  <c r="E272" i="80"/>
  <c r="D272" i="80"/>
  <c r="C272" i="80"/>
  <c r="B272" i="80"/>
  <c r="M271" i="80"/>
  <c r="L271" i="80"/>
  <c r="K271" i="80"/>
  <c r="J271" i="80"/>
  <c r="I271" i="80"/>
  <c r="H271" i="80"/>
  <c r="G271" i="80"/>
  <c r="F271" i="80"/>
  <c r="E271" i="80"/>
  <c r="D271" i="80"/>
  <c r="C271" i="80"/>
  <c r="B271" i="80"/>
  <c r="M270" i="80"/>
  <c r="L270" i="80"/>
  <c r="K270" i="80"/>
  <c r="J270" i="80"/>
  <c r="I270" i="80"/>
  <c r="H270" i="80"/>
  <c r="G270" i="80"/>
  <c r="F270" i="80"/>
  <c r="E270" i="80"/>
  <c r="D270" i="80"/>
  <c r="C270" i="80"/>
  <c r="B270" i="80"/>
  <c r="M269" i="80"/>
  <c r="L269" i="80"/>
  <c r="K269" i="80"/>
  <c r="J269" i="80"/>
  <c r="I269" i="80"/>
  <c r="H269" i="80"/>
  <c r="G269" i="80"/>
  <c r="F269" i="80"/>
  <c r="E269" i="80"/>
  <c r="D269" i="80"/>
  <c r="C269" i="80"/>
  <c r="B269" i="80"/>
  <c r="M268" i="80"/>
  <c r="L268" i="80"/>
  <c r="K268" i="80"/>
  <c r="J268" i="80"/>
  <c r="I268" i="80"/>
  <c r="H268" i="80"/>
  <c r="G268" i="80"/>
  <c r="F268" i="80"/>
  <c r="E268" i="80"/>
  <c r="D268" i="80"/>
  <c r="C268" i="80"/>
  <c r="M264" i="80"/>
  <c r="L264" i="80"/>
  <c r="K264" i="80"/>
  <c r="J264" i="80"/>
  <c r="I264" i="80"/>
  <c r="H264" i="80"/>
  <c r="G264" i="80"/>
  <c r="F264" i="80"/>
  <c r="E264" i="80"/>
  <c r="D264" i="80"/>
  <c r="C264" i="80"/>
  <c r="M263" i="80"/>
  <c r="L263" i="80"/>
  <c r="K263" i="80"/>
  <c r="J263" i="80"/>
  <c r="I263" i="80"/>
  <c r="H263" i="80"/>
  <c r="G263" i="80"/>
  <c r="F263" i="80"/>
  <c r="E263" i="80"/>
  <c r="D263" i="80"/>
  <c r="C263" i="80"/>
  <c r="B263" i="80"/>
  <c r="M262" i="80"/>
  <c r="L262" i="80"/>
  <c r="K262" i="80"/>
  <c r="J262" i="80"/>
  <c r="I262" i="80"/>
  <c r="H262" i="80"/>
  <c r="G262" i="80"/>
  <c r="F262" i="80"/>
  <c r="E262" i="80"/>
  <c r="D262" i="80"/>
  <c r="C262" i="80"/>
  <c r="B262" i="80"/>
  <c r="M261" i="80"/>
  <c r="L261" i="80"/>
  <c r="K261" i="80"/>
  <c r="J261" i="80"/>
  <c r="I261" i="80"/>
  <c r="H261" i="80"/>
  <c r="G261" i="80"/>
  <c r="F261" i="80"/>
  <c r="E261" i="80"/>
  <c r="D261" i="80"/>
  <c r="C261" i="80"/>
  <c r="B261" i="80"/>
  <c r="M260" i="80"/>
  <c r="L260" i="80"/>
  <c r="K260" i="80"/>
  <c r="J260" i="80"/>
  <c r="I260" i="80"/>
  <c r="H260" i="80"/>
  <c r="G260" i="80"/>
  <c r="F260" i="80"/>
  <c r="E260" i="80"/>
  <c r="D260" i="80"/>
  <c r="C260" i="80"/>
  <c r="B260" i="80"/>
  <c r="M259" i="80"/>
  <c r="L259" i="80"/>
  <c r="K259" i="80"/>
  <c r="J259" i="80"/>
  <c r="I259" i="80"/>
  <c r="H259" i="80"/>
  <c r="G259" i="80"/>
  <c r="F259" i="80"/>
  <c r="E259" i="80"/>
  <c r="D259" i="80"/>
  <c r="C259" i="80"/>
  <c r="B259" i="80"/>
  <c r="M258" i="80"/>
  <c r="L258" i="80"/>
  <c r="K258" i="80"/>
  <c r="J258" i="80"/>
  <c r="I258" i="80"/>
  <c r="H258" i="80"/>
  <c r="G258" i="80"/>
  <c r="F258" i="80"/>
  <c r="E258" i="80"/>
  <c r="D258" i="80"/>
  <c r="C258" i="80"/>
  <c r="B258" i="80"/>
  <c r="M257" i="80"/>
  <c r="L257" i="80"/>
  <c r="K257" i="80"/>
  <c r="J257" i="80"/>
  <c r="I257" i="80"/>
  <c r="H257" i="80"/>
  <c r="G257" i="80"/>
  <c r="F257" i="80"/>
  <c r="E257" i="80"/>
  <c r="D257" i="80"/>
  <c r="C257" i="80"/>
  <c r="B257" i="80"/>
  <c r="M256" i="80"/>
  <c r="L256" i="80"/>
  <c r="K256" i="80"/>
  <c r="J256" i="80"/>
  <c r="I256" i="80"/>
  <c r="H256" i="80"/>
  <c r="G256" i="80"/>
  <c r="F256" i="80"/>
  <c r="E256" i="80"/>
  <c r="D256" i="80"/>
  <c r="C256" i="80"/>
  <c r="B256" i="80"/>
  <c r="M255" i="80"/>
  <c r="L255" i="80"/>
  <c r="K255" i="80"/>
  <c r="J255" i="80"/>
  <c r="I255" i="80"/>
  <c r="H255" i="80"/>
  <c r="G255" i="80"/>
  <c r="F255" i="80"/>
  <c r="E255" i="80"/>
  <c r="D255" i="80"/>
  <c r="C255" i="80"/>
  <c r="B255" i="80"/>
  <c r="M254" i="80"/>
  <c r="L254" i="80"/>
  <c r="K254" i="80"/>
  <c r="J254" i="80"/>
  <c r="I254" i="80"/>
  <c r="H254" i="80"/>
  <c r="G254" i="80"/>
  <c r="F254" i="80"/>
  <c r="E254" i="80"/>
  <c r="D254" i="80"/>
  <c r="C254" i="80"/>
  <c r="B254" i="80"/>
  <c r="M253" i="80"/>
  <c r="L253" i="80"/>
  <c r="K253" i="80"/>
  <c r="J253" i="80"/>
  <c r="I253" i="80"/>
  <c r="H253" i="80"/>
  <c r="G253" i="80"/>
  <c r="F253" i="80"/>
  <c r="E253" i="80"/>
  <c r="D253" i="80"/>
  <c r="C253" i="80"/>
  <c r="R15" i="112"/>
  <c r="Y288" i="80" l="1"/>
  <c r="S288" i="80"/>
  <c r="W255" i="80"/>
  <c r="S271" i="80"/>
  <c r="T263" i="80"/>
  <c r="T257" i="80"/>
  <c r="U262" i="80"/>
  <c r="U256" i="80"/>
  <c r="V261" i="80"/>
  <c r="V255" i="80"/>
  <c r="W260" i="80"/>
  <c r="T262" i="80"/>
  <c r="T256" i="80"/>
  <c r="U261" i="80"/>
  <c r="U255" i="80"/>
  <c r="V260" i="80"/>
  <c r="W254" i="80"/>
  <c r="W259" i="80"/>
  <c r="T261" i="80"/>
  <c r="T255" i="80"/>
  <c r="U260" i="80"/>
  <c r="V254" i="80"/>
  <c r="V259" i="80"/>
  <c r="W264" i="80"/>
  <c r="Z289" i="80" s="1"/>
  <c r="W258" i="80"/>
  <c r="T260" i="80"/>
  <c r="U254" i="80"/>
  <c r="U259" i="80"/>
  <c r="V264" i="80"/>
  <c r="V258" i="80"/>
  <c r="W263" i="80"/>
  <c r="W257" i="80"/>
  <c r="T254" i="80"/>
  <c r="T259" i="80"/>
  <c r="U264" i="80"/>
  <c r="U258" i="80"/>
  <c r="Y258" i="80" s="1"/>
  <c r="V263" i="80"/>
  <c r="V257" i="80"/>
  <c r="W262" i="80"/>
  <c r="W256" i="80"/>
  <c r="T264" i="80"/>
  <c r="T258" i="80"/>
  <c r="U263" i="80"/>
  <c r="U257" i="80"/>
  <c r="V262" i="80"/>
  <c r="V256" i="80"/>
  <c r="W261" i="80"/>
  <c r="B70" i="112"/>
  <c r="B69" i="112"/>
  <c r="B68" i="112"/>
  <c r="B67" i="112"/>
  <c r="B66" i="112"/>
  <c r="B65" i="112"/>
  <c r="B64" i="112"/>
  <c r="B63" i="112"/>
  <c r="B62" i="112"/>
  <c r="B61" i="112"/>
  <c r="B55" i="112"/>
  <c r="B54" i="112"/>
  <c r="B53" i="112"/>
  <c r="B52" i="112"/>
  <c r="B51" i="112"/>
  <c r="B50" i="112"/>
  <c r="B49" i="112"/>
  <c r="B48" i="112"/>
  <c r="B47" i="112"/>
  <c r="B46" i="112"/>
  <c r="B41" i="112"/>
  <c r="B40" i="112"/>
  <c r="B39" i="112"/>
  <c r="B38" i="112"/>
  <c r="B37" i="112"/>
  <c r="B36" i="112"/>
  <c r="B35" i="112"/>
  <c r="B34" i="112"/>
  <c r="B33" i="112"/>
  <c r="B32" i="112"/>
  <c r="B26" i="112"/>
  <c r="B25" i="112"/>
  <c r="B24" i="112"/>
  <c r="B23" i="112"/>
  <c r="B22" i="112"/>
  <c r="B21" i="112"/>
  <c r="B20" i="112"/>
  <c r="B19" i="112"/>
  <c r="B18" i="112"/>
  <c r="B17" i="112"/>
  <c r="Y263" i="80" l="1"/>
  <c r="Y257" i="80"/>
  <c r="AA272" i="80"/>
  <c r="AA273" i="80"/>
  <c r="Y264" i="80"/>
  <c r="S290" i="80" s="1"/>
  <c r="Y259" i="80"/>
  <c r="Y260" i="80"/>
  <c r="Y255" i="80"/>
  <c r="Y261" i="80"/>
  <c r="Y256" i="80"/>
  <c r="Y262" i="80"/>
  <c r="AA269" i="80"/>
  <c r="AA270" i="80"/>
  <c r="AA267" i="80"/>
  <c r="AA266" i="80"/>
  <c r="Y254" i="80"/>
  <c r="X260" i="80"/>
  <c r="X255" i="80"/>
  <c r="X261" i="80"/>
  <c r="X256" i="80"/>
  <c r="X258" i="80"/>
  <c r="X262" i="80"/>
  <c r="X257" i="80"/>
  <c r="X254" i="80"/>
  <c r="X259" i="80"/>
  <c r="X263" i="80"/>
  <c r="M71" i="112"/>
  <c r="L71" i="112"/>
  <c r="K71" i="112"/>
  <c r="J71" i="112"/>
  <c r="I71" i="112"/>
  <c r="H71" i="112"/>
  <c r="G71" i="112"/>
  <c r="F71" i="112"/>
  <c r="E71" i="112"/>
  <c r="D71" i="112"/>
  <c r="C71" i="112"/>
  <c r="M70" i="112"/>
  <c r="L70" i="112"/>
  <c r="K70" i="112"/>
  <c r="J70" i="112"/>
  <c r="I70" i="112"/>
  <c r="H70" i="112"/>
  <c r="G70" i="112"/>
  <c r="F70" i="112"/>
  <c r="E70" i="112"/>
  <c r="D70" i="112"/>
  <c r="C70" i="112"/>
  <c r="M69" i="112"/>
  <c r="L69" i="112"/>
  <c r="K69" i="112"/>
  <c r="J69" i="112"/>
  <c r="I69" i="112"/>
  <c r="H69" i="112"/>
  <c r="G69" i="112"/>
  <c r="F69" i="112"/>
  <c r="E69" i="112"/>
  <c r="D69" i="112"/>
  <c r="C69" i="112"/>
  <c r="M68" i="112"/>
  <c r="L68" i="112"/>
  <c r="K68" i="112"/>
  <c r="J68" i="112"/>
  <c r="I68" i="112"/>
  <c r="H68" i="112"/>
  <c r="G68" i="112"/>
  <c r="F68" i="112"/>
  <c r="E68" i="112"/>
  <c r="D68" i="112"/>
  <c r="C68" i="112"/>
  <c r="M67" i="112"/>
  <c r="L67" i="112"/>
  <c r="K67" i="112"/>
  <c r="J67" i="112"/>
  <c r="I67" i="112"/>
  <c r="H67" i="112"/>
  <c r="G67" i="112"/>
  <c r="F67" i="112"/>
  <c r="E67" i="112"/>
  <c r="D67" i="112"/>
  <c r="C67" i="112"/>
  <c r="M66" i="112"/>
  <c r="L66" i="112"/>
  <c r="K66" i="112"/>
  <c r="J66" i="112"/>
  <c r="I66" i="112"/>
  <c r="H66" i="112"/>
  <c r="G66" i="112"/>
  <c r="F66" i="112"/>
  <c r="E66" i="112"/>
  <c r="D66" i="112"/>
  <c r="C66" i="112"/>
  <c r="M65" i="112"/>
  <c r="L65" i="112"/>
  <c r="K65" i="112"/>
  <c r="J65" i="112"/>
  <c r="I65" i="112"/>
  <c r="H65" i="112"/>
  <c r="G65" i="112"/>
  <c r="F65" i="112"/>
  <c r="E65" i="112"/>
  <c r="D65" i="112"/>
  <c r="C65" i="112"/>
  <c r="M64" i="112"/>
  <c r="L64" i="112"/>
  <c r="K64" i="112"/>
  <c r="J64" i="112"/>
  <c r="I64" i="112"/>
  <c r="H64" i="112"/>
  <c r="G64" i="112"/>
  <c r="F64" i="112"/>
  <c r="E64" i="112"/>
  <c r="D64" i="112"/>
  <c r="C64" i="112"/>
  <c r="M63" i="112"/>
  <c r="L63" i="112"/>
  <c r="K63" i="112"/>
  <c r="J63" i="112"/>
  <c r="I63" i="112"/>
  <c r="H63" i="112"/>
  <c r="G63" i="112"/>
  <c r="F63" i="112"/>
  <c r="E63" i="112"/>
  <c r="D63" i="112"/>
  <c r="C63" i="112"/>
  <c r="M62" i="112"/>
  <c r="L62" i="112"/>
  <c r="K62" i="112"/>
  <c r="J62" i="112"/>
  <c r="I62" i="112"/>
  <c r="H62" i="112"/>
  <c r="G62" i="112"/>
  <c r="F62" i="112"/>
  <c r="E62" i="112"/>
  <c r="D62" i="112"/>
  <c r="C62" i="112"/>
  <c r="M61" i="112"/>
  <c r="L61" i="112"/>
  <c r="K61" i="112"/>
  <c r="J61" i="112"/>
  <c r="I61" i="112"/>
  <c r="H61" i="112"/>
  <c r="G61" i="112"/>
  <c r="F61" i="112"/>
  <c r="E61" i="112"/>
  <c r="D61" i="112"/>
  <c r="C61" i="112"/>
  <c r="M60" i="112"/>
  <c r="L60" i="112"/>
  <c r="K60" i="112"/>
  <c r="J60" i="112"/>
  <c r="I60" i="112"/>
  <c r="H60" i="112"/>
  <c r="G60" i="112"/>
  <c r="F60" i="112"/>
  <c r="E60" i="112"/>
  <c r="V20" i="112" s="1"/>
  <c r="D60" i="112"/>
  <c r="C60" i="112"/>
  <c r="V21" i="112" s="1"/>
  <c r="M56" i="112"/>
  <c r="L56" i="112"/>
  <c r="K56" i="112"/>
  <c r="J56" i="112"/>
  <c r="I56" i="112"/>
  <c r="H56" i="112"/>
  <c r="G56" i="112"/>
  <c r="F56" i="112"/>
  <c r="E56" i="112"/>
  <c r="D56" i="112"/>
  <c r="C56" i="112"/>
  <c r="M55" i="112"/>
  <c r="L55" i="112"/>
  <c r="K55" i="112"/>
  <c r="J55" i="112"/>
  <c r="I55" i="112"/>
  <c r="H55" i="112"/>
  <c r="G55" i="112"/>
  <c r="F55" i="112"/>
  <c r="E55" i="112"/>
  <c r="D55" i="112"/>
  <c r="C55" i="112"/>
  <c r="M54" i="112"/>
  <c r="L54" i="112"/>
  <c r="K54" i="112"/>
  <c r="J54" i="112"/>
  <c r="I54" i="112"/>
  <c r="H54" i="112"/>
  <c r="G54" i="112"/>
  <c r="F54" i="112"/>
  <c r="E54" i="112"/>
  <c r="D54" i="112"/>
  <c r="C54" i="112"/>
  <c r="M53" i="112"/>
  <c r="L53" i="112"/>
  <c r="K53" i="112"/>
  <c r="J53" i="112"/>
  <c r="I53" i="112"/>
  <c r="H53" i="112"/>
  <c r="G53" i="112"/>
  <c r="F53" i="112"/>
  <c r="E53" i="112"/>
  <c r="D53" i="112"/>
  <c r="C53" i="112"/>
  <c r="M52" i="112"/>
  <c r="L52" i="112"/>
  <c r="K52" i="112"/>
  <c r="J52" i="112"/>
  <c r="I52" i="112"/>
  <c r="H52" i="112"/>
  <c r="G52" i="112"/>
  <c r="F52" i="112"/>
  <c r="E52" i="112"/>
  <c r="D52" i="112"/>
  <c r="C52" i="112"/>
  <c r="M51" i="112"/>
  <c r="L51" i="112"/>
  <c r="K51" i="112"/>
  <c r="J51" i="112"/>
  <c r="I51" i="112"/>
  <c r="H51" i="112"/>
  <c r="G51" i="112"/>
  <c r="F51" i="112"/>
  <c r="E51" i="112"/>
  <c r="D51" i="112"/>
  <c r="C51" i="112"/>
  <c r="M50" i="112"/>
  <c r="L50" i="112"/>
  <c r="K50" i="112"/>
  <c r="J50" i="112"/>
  <c r="I50" i="112"/>
  <c r="H50" i="112"/>
  <c r="G50" i="112"/>
  <c r="F50" i="112"/>
  <c r="E50" i="112"/>
  <c r="D50" i="112"/>
  <c r="C50" i="112"/>
  <c r="M49" i="112"/>
  <c r="L49" i="112"/>
  <c r="K49" i="112"/>
  <c r="J49" i="112"/>
  <c r="I49" i="112"/>
  <c r="H49" i="112"/>
  <c r="G49" i="112"/>
  <c r="F49" i="112"/>
  <c r="E49" i="112"/>
  <c r="D49" i="112"/>
  <c r="C49" i="112"/>
  <c r="M48" i="112"/>
  <c r="L48" i="112"/>
  <c r="K48" i="112"/>
  <c r="J48" i="112"/>
  <c r="I48" i="112"/>
  <c r="H48" i="112"/>
  <c r="G48" i="112"/>
  <c r="F48" i="112"/>
  <c r="E48" i="112"/>
  <c r="D48" i="112"/>
  <c r="C48" i="112"/>
  <c r="M47" i="112"/>
  <c r="L47" i="112"/>
  <c r="K47" i="112"/>
  <c r="J47" i="112"/>
  <c r="I47" i="112"/>
  <c r="H47" i="112"/>
  <c r="G47" i="112"/>
  <c r="F47" i="112"/>
  <c r="E47" i="112"/>
  <c r="D47" i="112"/>
  <c r="C47" i="112"/>
  <c r="M46" i="112"/>
  <c r="L46" i="112"/>
  <c r="K46" i="112"/>
  <c r="J46" i="112"/>
  <c r="I46" i="112"/>
  <c r="H46" i="112"/>
  <c r="G46" i="112"/>
  <c r="F46" i="112"/>
  <c r="E46" i="112"/>
  <c r="D46" i="112"/>
  <c r="C46" i="112"/>
  <c r="M45" i="112"/>
  <c r="L45" i="112"/>
  <c r="K45" i="112"/>
  <c r="J45" i="112"/>
  <c r="I45" i="112"/>
  <c r="H45" i="112"/>
  <c r="G45" i="112"/>
  <c r="F45" i="112"/>
  <c r="E45" i="112"/>
  <c r="D45" i="112"/>
  <c r="C45" i="112"/>
  <c r="W18" i="112" s="1"/>
  <c r="M42" i="112"/>
  <c r="L42" i="112"/>
  <c r="K42" i="112"/>
  <c r="J42" i="112"/>
  <c r="I42" i="112"/>
  <c r="H42" i="112"/>
  <c r="G42" i="112"/>
  <c r="F42" i="112"/>
  <c r="E42" i="112"/>
  <c r="D42" i="112"/>
  <c r="C42" i="112"/>
  <c r="M41" i="112"/>
  <c r="L41" i="112"/>
  <c r="K41" i="112"/>
  <c r="J41" i="112"/>
  <c r="I41" i="112"/>
  <c r="H41" i="112"/>
  <c r="G41" i="112"/>
  <c r="F41" i="112"/>
  <c r="E41" i="112"/>
  <c r="D41" i="112"/>
  <c r="C41" i="112"/>
  <c r="M40" i="112"/>
  <c r="L40" i="112"/>
  <c r="K40" i="112"/>
  <c r="J40" i="112"/>
  <c r="I40" i="112"/>
  <c r="H40" i="112"/>
  <c r="G40" i="112"/>
  <c r="F40" i="112"/>
  <c r="E40" i="112"/>
  <c r="D40" i="112"/>
  <c r="C40" i="112"/>
  <c r="M39" i="112"/>
  <c r="L39" i="112"/>
  <c r="K39" i="112"/>
  <c r="J39" i="112"/>
  <c r="I39" i="112"/>
  <c r="H39" i="112"/>
  <c r="G39" i="112"/>
  <c r="F39" i="112"/>
  <c r="E39" i="112"/>
  <c r="D39" i="112"/>
  <c r="C39" i="112"/>
  <c r="M38" i="112"/>
  <c r="L38" i="112"/>
  <c r="K38" i="112"/>
  <c r="J38" i="112"/>
  <c r="I38" i="112"/>
  <c r="H38" i="112"/>
  <c r="G38" i="112"/>
  <c r="F38" i="112"/>
  <c r="E38" i="112"/>
  <c r="D38" i="112"/>
  <c r="C38" i="112"/>
  <c r="M37" i="112"/>
  <c r="L37" i="112"/>
  <c r="K37" i="112"/>
  <c r="J37" i="112"/>
  <c r="I37" i="112"/>
  <c r="H37" i="112"/>
  <c r="G37" i="112"/>
  <c r="F37" i="112"/>
  <c r="E37" i="112"/>
  <c r="D37" i="112"/>
  <c r="C37" i="112"/>
  <c r="M36" i="112"/>
  <c r="L36" i="112"/>
  <c r="K36" i="112"/>
  <c r="J36" i="112"/>
  <c r="I36" i="112"/>
  <c r="H36" i="112"/>
  <c r="G36" i="112"/>
  <c r="F36" i="112"/>
  <c r="E36" i="112"/>
  <c r="D36" i="112"/>
  <c r="C36" i="112"/>
  <c r="M35" i="112"/>
  <c r="L35" i="112"/>
  <c r="K35" i="112"/>
  <c r="J35" i="112"/>
  <c r="I35" i="112"/>
  <c r="H35" i="112"/>
  <c r="G35" i="112"/>
  <c r="F35" i="112"/>
  <c r="E35" i="112"/>
  <c r="D35" i="112"/>
  <c r="C35" i="112"/>
  <c r="M34" i="112"/>
  <c r="L34" i="112"/>
  <c r="K34" i="112"/>
  <c r="J34" i="112"/>
  <c r="I34" i="112"/>
  <c r="H34" i="112"/>
  <c r="G34" i="112"/>
  <c r="F34" i="112"/>
  <c r="E34" i="112"/>
  <c r="D34" i="112"/>
  <c r="C34" i="112"/>
  <c r="M33" i="112"/>
  <c r="L33" i="112"/>
  <c r="K33" i="112"/>
  <c r="J33" i="112"/>
  <c r="I33" i="112"/>
  <c r="H33" i="112"/>
  <c r="G33" i="112"/>
  <c r="F33" i="112"/>
  <c r="E33" i="112"/>
  <c r="D33" i="112"/>
  <c r="C33" i="112"/>
  <c r="M32" i="112"/>
  <c r="L32" i="112"/>
  <c r="K32" i="112"/>
  <c r="J32" i="112"/>
  <c r="I32" i="112"/>
  <c r="H32" i="112"/>
  <c r="G32" i="112"/>
  <c r="F32" i="112"/>
  <c r="E32" i="112"/>
  <c r="D32" i="112"/>
  <c r="C32" i="112"/>
  <c r="M31" i="112"/>
  <c r="L31" i="112"/>
  <c r="K31" i="112"/>
  <c r="J31" i="112"/>
  <c r="I31" i="112"/>
  <c r="H31" i="112"/>
  <c r="G31" i="112"/>
  <c r="F31" i="112"/>
  <c r="E31" i="112"/>
  <c r="D31" i="112"/>
  <c r="C31" i="112"/>
  <c r="U26" i="112" s="1"/>
  <c r="A12" i="112"/>
  <c r="A9" i="112"/>
  <c r="A6" i="112"/>
  <c r="A3" i="112"/>
  <c r="M16" i="112"/>
  <c r="L16" i="112"/>
  <c r="A11" i="112" s="1"/>
  <c r="K16" i="112"/>
  <c r="A10" i="112" s="1"/>
  <c r="J16" i="112"/>
  <c r="I16" i="112"/>
  <c r="A8" i="112" s="1"/>
  <c r="H16" i="112"/>
  <c r="A7" i="112" s="1"/>
  <c r="G16" i="112"/>
  <c r="F16" i="112"/>
  <c r="A5" i="112" s="1"/>
  <c r="E16" i="112"/>
  <c r="A4" i="112" s="1"/>
  <c r="D16" i="112"/>
  <c r="C16" i="112"/>
  <c r="T18" i="112" s="1"/>
  <c r="M27" i="112"/>
  <c r="M26" i="112"/>
  <c r="M25" i="112"/>
  <c r="M24" i="112"/>
  <c r="M23" i="112"/>
  <c r="M22" i="112"/>
  <c r="M21" i="112"/>
  <c r="M20" i="112"/>
  <c r="M19" i="112"/>
  <c r="M18" i="112"/>
  <c r="M17" i="112"/>
  <c r="L27" i="112"/>
  <c r="L26" i="112"/>
  <c r="L25" i="112"/>
  <c r="L24" i="112"/>
  <c r="L23" i="112"/>
  <c r="L22" i="112"/>
  <c r="L21" i="112"/>
  <c r="L20" i="112"/>
  <c r="L19" i="112"/>
  <c r="L18" i="112"/>
  <c r="L17" i="112"/>
  <c r="K27" i="112"/>
  <c r="K26" i="112"/>
  <c r="K25" i="112"/>
  <c r="K24" i="112"/>
  <c r="K23" i="112"/>
  <c r="K22" i="112"/>
  <c r="K21" i="112"/>
  <c r="K20" i="112"/>
  <c r="K19" i="112"/>
  <c r="K18" i="112"/>
  <c r="K17" i="112"/>
  <c r="J27" i="112"/>
  <c r="J26" i="112"/>
  <c r="J25" i="112"/>
  <c r="J24" i="112"/>
  <c r="J23" i="112"/>
  <c r="J22" i="112"/>
  <c r="J21" i="112"/>
  <c r="J20" i="112"/>
  <c r="J19" i="112"/>
  <c r="J18" i="112"/>
  <c r="J17" i="112"/>
  <c r="I27" i="112"/>
  <c r="I26" i="112"/>
  <c r="I25" i="112"/>
  <c r="I24" i="112"/>
  <c r="I23" i="112"/>
  <c r="I22" i="112"/>
  <c r="I21" i="112"/>
  <c r="I20" i="112"/>
  <c r="I19" i="112"/>
  <c r="I18" i="112"/>
  <c r="I17" i="112"/>
  <c r="H27" i="112"/>
  <c r="H26" i="112"/>
  <c r="H25" i="112"/>
  <c r="H24" i="112"/>
  <c r="H23" i="112"/>
  <c r="H22" i="112"/>
  <c r="H21" i="112"/>
  <c r="H20" i="112"/>
  <c r="H19" i="112"/>
  <c r="H18" i="112"/>
  <c r="H17" i="112"/>
  <c r="G27" i="112"/>
  <c r="G26" i="112"/>
  <c r="G25" i="112"/>
  <c r="G24" i="112"/>
  <c r="G23" i="112"/>
  <c r="G22" i="112"/>
  <c r="G21" i="112"/>
  <c r="G20" i="112"/>
  <c r="G19" i="112"/>
  <c r="G18" i="112"/>
  <c r="G17" i="112"/>
  <c r="F27" i="112"/>
  <c r="F26" i="112"/>
  <c r="F25" i="112"/>
  <c r="F24" i="112"/>
  <c r="F23" i="112"/>
  <c r="F22" i="112"/>
  <c r="F21" i="112"/>
  <c r="F20" i="112"/>
  <c r="F19" i="112"/>
  <c r="F18" i="112"/>
  <c r="F17" i="112"/>
  <c r="E27" i="112"/>
  <c r="E26" i="112"/>
  <c r="E25" i="112"/>
  <c r="E24" i="112"/>
  <c r="E23" i="112"/>
  <c r="E22" i="112"/>
  <c r="E21" i="112"/>
  <c r="E20" i="112"/>
  <c r="E19" i="112"/>
  <c r="E18" i="112"/>
  <c r="E17" i="112"/>
  <c r="D27" i="112"/>
  <c r="D26" i="112"/>
  <c r="D25" i="112"/>
  <c r="D24" i="112"/>
  <c r="D23" i="112"/>
  <c r="D22" i="112"/>
  <c r="D21" i="112"/>
  <c r="D20" i="112"/>
  <c r="D19" i="112"/>
  <c r="D18" i="112"/>
  <c r="D17" i="112"/>
  <c r="C27" i="112"/>
  <c r="C26" i="112"/>
  <c r="C25" i="112"/>
  <c r="C24" i="112"/>
  <c r="C23" i="112"/>
  <c r="C22" i="112"/>
  <c r="C21" i="112"/>
  <c r="C20" i="112"/>
  <c r="C19" i="112"/>
  <c r="C18" i="112"/>
  <c r="C17" i="112"/>
  <c r="A165" i="68"/>
  <c r="A166" i="68"/>
  <c r="A167" i="68"/>
  <c r="A168" i="68"/>
  <c r="A169" i="68"/>
  <c r="A170" i="68"/>
  <c r="A171" i="68"/>
  <c r="A172" i="68"/>
  <c r="A164" i="68"/>
  <c r="AB273" i="80" l="1"/>
  <c r="AB291" i="80" s="1"/>
  <c r="Z291" i="80"/>
  <c r="AB272" i="80"/>
  <c r="AB290" i="80" s="1"/>
  <c r="Z290" i="80"/>
  <c r="AB266" i="80"/>
  <c r="W290" i="80" s="1"/>
  <c r="U290" i="80"/>
  <c r="AB267" i="80"/>
  <c r="W291" i="80" s="1"/>
  <c r="U291" i="80"/>
  <c r="AB270" i="80"/>
  <c r="W292" i="80"/>
  <c r="AB269" i="80"/>
  <c r="U292" i="80"/>
  <c r="X267" i="80"/>
  <c r="Y267" i="80" s="1"/>
  <c r="X266" i="80"/>
  <c r="Y266" i="80" s="1"/>
  <c r="T26" i="112"/>
  <c r="T17" i="112"/>
  <c r="V24" i="112"/>
  <c r="U23" i="112"/>
  <c r="U18" i="112"/>
  <c r="W26" i="112"/>
  <c r="U20" i="112"/>
  <c r="T27" i="112"/>
  <c r="T23" i="112"/>
  <c r="V18" i="112"/>
  <c r="V17" i="112"/>
  <c r="W17" i="112"/>
  <c r="W20" i="112"/>
  <c r="V25" i="112"/>
  <c r="T24" i="112"/>
  <c r="U21" i="112"/>
  <c r="W23" i="112"/>
  <c r="V22" i="112"/>
  <c r="U17" i="112"/>
  <c r="V26" i="112"/>
  <c r="V19" i="112"/>
  <c r="T20" i="112"/>
  <c r="W22" i="112"/>
  <c r="W27" i="112"/>
  <c r="U22" i="112"/>
  <c r="W25" i="112"/>
  <c r="W24" i="112"/>
  <c r="T19" i="112"/>
  <c r="T21" i="112"/>
  <c r="U25" i="112"/>
  <c r="U24" i="112"/>
  <c r="W21" i="112"/>
  <c r="V27" i="112"/>
  <c r="W19" i="112"/>
  <c r="A2" i="112"/>
  <c r="T25" i="112"/>
  <c r="T22" i="112"/>
  <c r="U19" i="112"/>
  <c r="V23" i="112"/>
  <c r="U27" i="112"/>
  <c r="C172" i="68"/>
  <c r="C171" i="68"/>
  <c r="C170" i="68"/>
  <c r="C169" i="68"/>
  <c r="C168" i="68"/>
  <c r="C167" i="68"/>
  <c r="C166" i="68"/>
  <c r="C165" i="68"/>
  <c r="C164" i="68"/>
  <c r="C173" i="68"/>
  <c r="B172" i="68"/>
  <c r="B171" i="68"/>
  <c r="B170" i="68"/>
  <c r="B169" i="68"/>
  <c r="B168" i="68"/>
  <c r="B167" i="68"/>
  <c r="B166" i="68"/>
  <c r="B165" i="68"/>
  <c r="B164" i="68"/>
  <c r="Z296" i="80" l="1"/>
  <c r="AC269" i="80"/>
  <c r="AC270" i="80"/>
  <c r="S296" i="80"/>
  <c r="V273" i="80"/>
  <c r="T275" i="80"/>
  <c r="V275" i="80"/>
  <c r="X268" i="80"/>
  <c r="S272" i="80" s="1"/>
  <c r="T273" i="80"/>
  <c r="T81" i="85"/>
  <c r="U81" i="85"/>
  <c r="U80" i="85"/>
  <c r="T80" i="85"/>
  <c r="S81" i="85"/>
  <c r="R81" i="85"/>
  <c r="S80" i="85"/>
  <c r="R80" i="85"/>
  <c r="U79" i="85"/>
  <c r="T79" i="85"/>
  <c r="S79" i="85"/>
  <c r="R79" i="85"/>
  <c r="M74" i="85"/>
  <c r="M73" i="85"/>
  <c r="N23" i="82"/>
  <c r="N8" i="82"/>
  <c r="D94" i="75"/>
  <c r="H81" i="75"/>
  <c r="G81" i="75"/>
  <c r="L81" i="75"/>
  <c r="E447" i="76"/>
  <c r="N98" i="74"/>
  <c r="P98" i="74"/>
  <c r="Y78" i="74"/>
  <c r="Y69" i="74"/>
  <c r="X78" i="74"/>
  <c r="X69" i="74"/>
  <c r="BH4" i="74"/>
  <c r="S278" i="80" l="1"/>
  <c r="N19" i="43"/>
  <c r="AU146" i="105" l="1"/>
  <c r="CP31" i="105"/>
  <c r="CF31" i="105"/>
  <c r="CF26" i="105"/>
  <c r="CF25" i="105"/>
  <c r="BL31" i="105"/>
  <c r="BL26" i="105"/>
  <c r="BL25" i="105"/>
  <c r="CP9" i="105"/>
  <c r="CP10" i="105"/>
  <c r="CP11" i="105"/>
  <c r="CP12" i="105"/>
  <c r="CP13" i="105"/>
  <c r="CP14" i="105"/>
  <c r="CP15" i="105"/>
  <c r="CP16" i="105"/>
  <c r="CP17" i="105"/>
  <c r="CP18" i="105"/>
  <c r="CP19" i="105"/>
  <c r="CP20" i="105"/>
  <c r="CP21" i="105"/>
  <c r="CP22" i="105"/>
  <c r="CP23" i="105"/>
  <c r="CP24" i="105"/>
  <c r="CP25" i="105"/>
  <c r="CP26" i="105"/>
  <c r="CP27" i="105"/>
  <c r="CP28" i="105"/>
  <c r="CP29" i="105"/>
  <c r="CP30" i="105"/>
  <c r="CP8" i="105"/>
  <c r="BT9" i="105"/>
  <c r="BT10" i="105"/>
  <c r="BT11" i="105"/>
  <c r="BT12" i="105"/>
  <c r="BT13" i="105"/>
  <c r="BT14" i="105"/>
  <c r="BT15" i="105"/>
  <c r="BT16" i="105"/>
  <c r="BT17" i="105"/>
  <c r="BT18" i="105"/>
  <c r="BT19" i="105"/>
  <c r="BT20" i="105"/>
  <c r="BT21" i="105"/>
  <c r="BT22" i="105"/>
  <c r="BT23" i="105"/>
  <c r="BT24" i="105"/>
  <c r="BT25" i="105"/>
  <c r="BT26" i="105"/>
  <c r="BT27" i="105"/>
  <c r="BT28" i="105"/>
  <c r="BT29" i="105"/>
  <c r="BT30" i="105"/>
  <c r="BT31" i="105"/>
  <c r="BT8" i="105"/>
  <c r="AY9" i="105" l="1"/>
  <c r="AY10" i="105"/>
  <c r="AY11" i="105"/>
  <c r="AY12" i="105"/>
  <c r="AY13" i="105"/>
  <c r="AY14" i="105"/>
  <c r="AY15" i="105"/>
  <c r="AY16" i="105"/>
  <c r="AY17" i="105"/>
  <c r="AY18" i="105"/>
  <c r="AY19" i="105"/>
  <c r="AY20" i="105"/>
  <c r="AY21" i="105"/>
  <c r="AY22" i="105"/>
  <c r="AY23" i="105"/>
  <c r="AY24" i="105"/>
  <c r="AY25" i="105"/>
  <c r="AY26" i="105"/>
  <c r="AY27" i="105"/>
  <c r="AY28" i="105"/>
  <c r="AY29" i="105"/>
  <c r="AY30" i="105"/>
  <c r="AY31" i="105"/>
  <c r="AY8" i="105"/>
  <c r="AQ26" i="105" l="1"/>
  <c r="AQ25" i="105"/>
  <c r="AQ31" i="105"/>
  <c r="M265" i="105" l="1"/>
  <c r="L265" i="105"/>
  <c r="K265" i="105"/>
  <c r="J265" i="105"/>
  <c r="I265" i="105"/>
  <c r="H265" i="105"/>
  <c r="G265" i="105"/>
  <c r="F265" i="105"/>
  <c r="E265" i="105"/>
  <c r="D265" i="105"/>
  <c r="C265" i="105"/>
  <c r="M225" i="105"/>
  <c r="L225" i="105"/>
  <c r="K225" i="105"/>
  <c r="J225" i="105"/>
  <c r="I225" i="105"/>
  <c r="H225" i="105"/>
  <c r="G225" i="105"/>
  <c r="F225" i="105"/>
  <c r="E225" i="105"/>
  <c r="D225" i="105"/>
  <c r="C225" i="105"/>
  <c r="M185" i="105"/>
  <c r="L185" i="105"/>
  <c r="K185" i="105"/>
  <c r="J185" i="105"/>
  <c r="I185" i="105"/>
  <c r="H185" i="105"/>
  <c r="G185" i="105"/>
  <c r="F185" i="105"/>
  <c r="E185" i="105"/>
  <c r="D185" i="105"/>
  <c r="C185" i="105"/>
  <c r="M145" i="105"/>
  <c r="L145" i="105"/>
  <c r="K145" i="105"/>
  <c r="J145" i="105"/>
  <c r="I145" i="105"/>
  <c r="H145" i="105"/>
  <c r="G145" i="105"/>
  <c r="F145" i="105"/>
  <c r="E145" i="105"/>
  <c r="D145" i="105"/>
  <c r="C145" i="105"/>
  <c r="M105" i="105"/>
  <c r="L105" i="105"/>
  <c r="K105" i="105"/>
  <c r="J105" i="105"/>
  <c r="I105" i="105"/>
  <c r="H105" i="105"/>
  <c r="G105" i="105"/>
  <c r="F105" i="105"/>
  <c r="E105" i="105"/>
  <c r="D105" i="105"/>
  <c r="C105" i="105"/>
  <c r="M65" i="105"/>
  <c r="L65" i="105"/>
  <c r="K65" i="105"/>
  <c r="J65" i="105"/>
  <c r="I65" i="105"/>
  <c r="H65" i="105"/>
  <c r="G65" i="105"/>
  <c r="F65" i="105"/>
  <c r="E65" i="105"/>
  <c r="D65" i="105"/>
  <c r="C65" i="105"/>
  <c r="R70" i="105"/>
  <c r="R36" i="105"/>
  <c r="R4" i="105"/>
  <c r="M264" i="105"/>
  <c r="L264" i="105"/>
  <c r="K264" i="105"/>
  <c r="J264" i="105"/>
  <c r="I264" i="105"/>
  <c r="H264" i="105"/>
  <c r="G264" i="105"/>
  <c r="F264" i="105"/>
  <c r="E264" i="105"/>
  <c r="D264" i="105"/>
  <c r="C264" i="105"/>
  <c r="B264" i="105"/>
  <c r="M263" i="105"/>
  <c r="L263" i="105"/>
  <c r="K263" i="105"/>
  <c r="J263" i="105"/>
  <c r="I263" i="105"/>
  <c r="H263" i="105"/>
  <c r="G263" i="105"/>
  <c r="F263" i="105"/>
  <c r="E263" i="105"/>
  <c r="D263" i="105"/>
  <c r="C263" i="105"/>
  <c r="B263" i="105"/>
  <c r="M262" i="105"/>
  <c r="L262" i="105"/>
  <c r="K262" i="105"/>
  <c r="J262" i="105"/>
  <c r="I262" i="105"/>
  <c r="H262" i="105"/>
  <c r="G262" i="105"/>
  <c r="F262" i="105"/>
  <c r="E262" i="105"/>
  <c r="D262" i="105"/>
  <c r="C262" i="105"/>
  <c r="B262" i="105"/>
  <c r="M261" i="105"/>
  <c r="L261" i="105"/>
  <c r="K261" i="105"/>
  <c r="J261" i="105"/>
  <c r="I261" i="105"/>
  <c r="H261" i="105"/>
  <c r="G261" i="105"/>
  <c r="F261" i="105"/>
  <c r="E261" i="105"/>
  <c r="D261" i="105"/>
  <c r="C261" i="105"/>
  <c r="B261" i="105"/>
  <c r="M260" i="105"/>
  <c r="L260" i="105"/>
  <c r="K260" i="105"/>
  <c r="J260" i="105"/>
  <c r="I260" i="105"/>
  <c r="H260" i="105"/>
  <c r="G260" i="105"/>
  <c r="F260" i="105"/>
  <c r="E260" i="105"/>
  <c r="D260" i="105"/>
  <c r="C260" i="105"/>
  <c r="B260" i="105"/>
  <c r="M259" i="105"/>
  <c r="L259" i="105"/>
  <c r="K259" i="105"/>
  <c r="J259" i="105"/>
  <c r="I259" i="105"/>
  <c r="H259" i="105"/>
  <c r="G259" i="105"/>
  <c r="F259" i="105"/>
  <c r="E259" i="105"/>
  <c r="D259" i="105"/>
  <c r="C259" i="105"/>
  <c r="B259" i="105"/>
  <c r="M258" i="105"/>
  <c r="L258" i="105"/>
  <c r="K258" i="105"/>
  <c r="J258" i="105"/>
  <c r="I258" i="105"/>
  <c r="H258" i="105"/>
  <c r="G258" i="105"/>
  <c r="F258" i="105"/>
  <c r="E258" i="105"/>
  <c r="D258" i="105"/>
  <c r="C258" i="105"/>
  <c r="B258" i="105"/>
  <c r="M257" i="105"/>
  <c r="L257" i="105"/>
  <c r="K257" i="105"/>
  <c r="J257" i="105"/>
  <c r="I257" i="105"/>
  <c r="H257" i="105"/>
  <c r="G257" i="105"/>
  <c r="F257" i="105"/>
  <c r="E257" i="105"/>
  <c r="D257" i="105"/>
  <c r="C257" i="105"/>
  <c r="B257" i="105"/>
  <c r="M256" i="105"/>
  <c r="L256" i="105"/>
  <c r="K256" i="105"/>
  <c r="J256" i="105"/>
  <c r="I256" i="105"/>
  <c r="H256" i="105"/>
  <c r="G256" i="105"/>
  <c r="F256" i="105"/>
  <c r="E256" i="105"/>
  <c r="D256" i="105"/>
  <c r="C256" i="105"/>
  <c r="B256" i="105"/>
  <c r="M255" i="105"/>
  <c r="L255" i="105"/>
  <c r="K255" i="105"/>
  <c r="J255" i="105"/>
  <c r="I255" i="105"/>
  <c r="H255" i="105"/>
  <c r="G255" i="105"/>
  <c r="F255" i="105"/>
  <c r="E255" i="105"/>
  <c r="D255" i="105"/>
  <c r="C255" i="105"/>
  <c r="B255" i="105"/>
  <c r="M254" i="105"/>
  <c r="L254" i="105"/>
  <c r="K254" i="105"/>
  <c r="J254" i="105"/>
  <c r="I254" i="105"/>
  <c r="H254" i="105"/>
  <c r="G254" i="105"/>
  <c r="F254" i="105"/>
  <c r="E254" i="105"/>
  <c r="D254" i="105"/>
  <c r="C254" i="105"/>
  <c r="B254" i="105"/>
  <c r="M253" i="105"/>
  <c r="L253" i="105"/>
  <c r="K253" i="105"/>
  <c r="J253" i="105"/>
  <c r="I253" i="105"/>
  <c r="H253" i="105"/>
  <c r="G253" i="105"/>
  <c r="F253" i="105"/>
  <c r="E253" i="105"/>
  <c r="D253" i="105"/>
  <c r="C253" i="105"/>
  <c r="B253" i="105"/>
  <c r="M252" i="105"/>
  <c r="L252" i="105"/>
  <c r="K252" i="105"/>
  <c r="J252" i="105"/>
  <c r="I252" i="105"/>
  <c r="H252" i="105"/>
  <c r="G252" i="105"/>
  <c r="F252" i="105"/>
  <c r="E252" i="105"/>
  <c r="D252" i="105"/>
  <c r="C252" i="105"/>
  <c r="B252" i="105"/>
  <c r="M251" i="105"/>
  <c r="L251" i="105"/>
  <c r="K251" i="105"/>
  <c r="J251" i="105"/>
  <c r="I251" i="105"/>
  <c r="H251" i="105"/>
  <c r="G251" i="105"/>
  <c r="F251" i="105"/>
  <c r="E251" i="105"/>
  <c r="D251" i="105"/>
  <c r="C251" i="105"/>
  <c r="B251" i="105"/>
  <c r="M250" i="105"/>
  <c r="L250" i="105"/>
  <c r="K250" i="105"/>
  <c r="J250" i="105"/>
  <c r="I250" i="105"/>
  <c r="H250" i="105"/>
  <c r="G250" i="105"/>
  <c r="F250" i="105"/>
  <c r="E250" i="105"/>
  <c r="D250" i="105"/>
  <c r="C250" i="105"/>
  <c r="B250" i="105"/>
  <c r="M249" i="105"/>
  <c r="L249" i="105"/>
  <c r="K249" i="105"/>
  <c r="J249" i="105"/>
  <c r="I249" i="105"/>
  <c r="H249" i="105"/>
  <c r="G249" i="105"/>
  <c r="F249" i="105"/>
  <c r="E249" i="105"/>
  <c r="D249" i="105"/>
  <c r="C249" i="105"/>
  <c r="B249" i="105"/>
  <c r="M248" i="105"/>
  <c r="L248" i="105"/>
  <c r="K248" i="105"/>
  <c r="J248" i="105"/>
  <c r="I248" i="105"/>
  <c r="H248" i="105"/>
  <c r="G248" i="105"/>
  <c r="F248" i="105"/>
  <c r="E248" i="105"/>
  <c r="D248" i="105"/>
  <c r="C248" i="105"/>
  <c r="B248" i="105"/>
  <c r="M247" i="105"/>
  <c r="L247" i="105"/>
  <c r="K247" i="105"/>
  <c r="J247" i="105"/>
  <c r="I247" i="105"/>
  <c r="H247" i="105"/>
  <c r="G247" i="105"/>
  <c r="F247" i="105"/>
  <c r="E247" i="105"/>
  <c r="D247" i="105"/>
  <c r="C247" i="105"/>
  <c r="B247" i="105"/>
  <c r="M246" i="105"/>
  <c r="L246" i="105"/>
  <c r="K246" i="105"/>
  <c r="J246" i="105"/>
  <c r="I246" i="105"/>
  <c r="H246" i="105"/>
  <c r="G246" i="105"/>
  <c r="F246" i="105"/>
  <c r="E246" i="105"/>
  <c r="D246" i="105"/>
  <c r="C246" i="105"/>
  <c r="B246" i="105"/>
  <c r="M245" i="105"/>
  <c r="L245" i="105"/>
  <c r="K245" i="105"/>
  <c r="J245" i="105"/>
  <c r="I245" i="105"/>
  <c r="H245" i="105"/>
  <c r="G245" i="105"/>
  <c r="F245" i="105"/>
  <c r="E245" i="105"/>
  <c r="D245" i="105"/>
  <c r="C245" i="105"/>
  <c r="B245" i="105"/>
  <c r="M244" i="105"/>
  <c r="L244" i="105"/>
  <c r="K244" i="105"/>
  <c r="J244" i="105"/>
  <c r="I244" i="105"/>
  <c r="H244" i="105"/>
  <c r="G244" i="105"/>
  <c r="F244" i="105"/>
  <c r="E244" i="105"/>
  <c r="D244" i="105"/>
  <c r="C244" i="105"/>
  <c r="B244" i="105"/>
  <c r="M243" i="105"/>
  <c r="L243" i="105"/>
  <c r="K243" i="105"/>
  <c r="J243" i="105"/>
  <c r="I243" i="105"/>
  <c r="H243" i="105"/>
  <c r="G243" i="105"/>
  <c r="F243" i="105"/>
  <c r="E243" i="105"/>
  <c r="D243" i="105"/>
  <c r="C243" i="105"/>
  <c r="B243" i="105"/>
  <c r="M242" i="105"/>
  <c r="L242" i="105"/>
  <c r="K242" i="105"/>
  <c r="J242" i="105"/>
  <c r="I242" i="105"/>
  <c r="H242" i="105"/>
  <c r="G242" i="105"/>
  <c r="F242" i="105"/>
  <c r="E242" i="105"/>
  <c r="D242" i="105"/>
  <c r="C242" i="105"/>
  <c r="B242" i="105"/>
  <c r="M241" i="105"/>
  <c r="L241" i="105"/>
  <c r="K241" i="105"/>
  <c r="J241" i="105"/>
  <c r="I241" i="105"/>
  <c r="H241" i="105"/>
  <c r="G241" i="105"/>
  <c r="F241" i="105"/>
  <c r="E241" i="105"/>
  <c r="D241" i="105"/>
  <c r="C241" i="105"/>
  <c r="B241" i="105"/>
  <c r="M238" i="105"/>
  <c r="L238" i="105"/>
  <c r="K238" i="105"/>
  <c r="J238" i="105"/>
  <c r="I238" i="105"/>
  <c r="H238" i="105"/>
  <c r="G238" i="105"/>
  <c r="F238" i="105"/>
  <c r="E238" i="105"/>
  <c r="D238" i="105"/>
  <c r="C238" i="105"/>
  <c r="M237" i="105"/>
  <c r="L237" i="105"/>
  <c r="K237" i="105"/>
  <c r="J237" i="105"/>
  <c r="I237" i="105"/>
  <c r="H237" i="105"/>
  <c r="G237" i="105"/>
  <c r="F237" i="105"/>
  <c r="E237" i="105"/>
  <c r="D237" i="105"/>
  <c r="C237" i="105"/>
  <c r="B237" i="105"/>
  <c r="M236" i="105"/>
  <c r="L236" i="105"/>
  <c r="K236" i="105"/>
  <c r="J236" i="105"/>
  <c r="I236" i="105"/>
  <c r="H236" i="105"/>
  <c r="G236" i="105"/>
  <c r="F236" i="105"/>
  <c r="E236" i="105"/>
  <c r="D236" i="105"/>
  <c r="C236" i="105"/>
  <c r="B236" i="105"/>
  <c r="M235" i="105"/>
  <c r="L235" i="105"/>
  <c r="K235" i="105"/>
  <c r="J235" i="105"/>
  <c r="I235" i="105"/>
  <c r="H235" i="105"/>
  <c r="G235" i="105"/>
  <c r="F235" i="105"/>
  <c r="E235" i="105"/>
  <c r="D235" i="105"/>
  <c r="C235" i="105"/>
  <c r="B235" i="105"/>
  <c r="M234" i="105"/>
  <c r="L234" i="105"/>
  <c r="K234" i="105"/>
  <c r="J234" i="105"/>
  <c r="I234" i="105"/>
  <c r="H234" i="105"/>
  <c r="G234" i="105"/>
  <c r="F234" i="105"/>
  <c r="E234" i="105"/>
  <c r="D234" i="105"/>
  <c r="C234" i="105"/>
  <c r="B234" i="105"/>
  <c r="M233" i="105"/>
  <c r="L233" i="105"/>
  <c r="K233" i="105"/>
  <c r="J233" i="105"/>
  <c r="I233" i="105"/>
  <c r="H233" i="105"/>
  <c r="G233" i="105"/>
  <c r="F233" i="105"/>
  <c r="E233" i="105"/>
  <c r="D233" i="105"/>
  <c r="C233" i="105"/>
  <c r="B233" i="105"/>
  <c r="M232" i="105"/>
  <c r="L232" i="105"/>
  <c r="K232" i="105"/>
  <c r="J232" i="105"/>
  <c r="I232" i="105"/>
  <c r="H232" i="105"/>
  <c r="G232" i="105"/>
  <c r="F232" i="105"/>
  <c r="E232" i="105"/>
  <c r="D232" i="105"/>
  <c r="C232" i="105"/>
  <c r="B232" i="105"/>
  <c r="M231" i="105"/>
  <c r="L231" i="105"/>
  <c r="K231" i="105"/>
  <c r="J231" i="105"/>
  <c r="I231" i="105"/>
  <c r="H231" i="105"/>
  <c r="G231" i="105"/>
  <c r="F231" i="105"/>
  <c r="E231" i="105"/>
  <c r="D231" i="105"/>
  <c r="C231" i="105"/>
  <c r="B231" i="105"/>
  <c r="M230" i="105"/>
  <c r="M240" i="105" s="1"/>
  <c r="L230" i="105"/>
  <c r="L240" i="105" s="1"/>
  <c r="K230" i="105"/>
  <c r="K240" i="105" s="1"/>
  <c r="J230" i="105"/>
  <c r="J240" i="105" s="1"/>
  <c r="I230" i="105"/>
  <c r="I240" i="105" s="1"/>
  <c r="H230" i="105"/>
  <c r="G230" i="105"/>
  <c r="G240" i="105" s="1"/>
  <c r="F230" i="105"/>
  <c r="F240" i="105" s="1"/>
  <c r="E230" i="105"/>
  <c r="E240" i="105" s="1"/>
  <c r="D230" i="105"/>
  <c r="D240" i="105" s="1"/>
  <c r="C230" i="105"/>
  <c r="C240" i="105" s="1"/>
  <c r="H240" i="105"/>
  <c r="M224" i="105"/>
  <c r="L224" i="105"/>
  <c r="K224" i="105"/>
  <c r="J224" i="105"/>
  <c r="I224" i="105"/>
  <c r="H224" i="105"/>
  <c r="G224" i="105"/>
  <c r="F224" i="105"/>
  <c r="E224" i="105"/>
  <c r="D224" i="105"/>
  <c r="C224" i="105"/>
  <c r="B224" i="105"/>
  <c r="M223" i="105"/>
  <c r="L223" i="105"/>
  <c r="K223" i="105"/>
  <c r="J223" i="105"/>
  <c r="I223" i="105"/>
  <c r="H223" i="105"/>
  <c r="G223" i="105"/>
  <c r="F223" i="105"/>
  <c r="E223" i="105"/>
  <c r="D223" i="105"/>
  <c r="C223" i="105"/>
  <c r="B223" i="105"/>
  <c r="M222" i="105"/>
  <c r="L222" i="105"/>
  <c r="K222" i="105"/>
  <c r="J222" i="105"/>
  <c r="I222" i="105"/>
  <c r="H222" i="105"/>
  <c r="G222" i="105"/>
  <c r="F222" i="105"/>
  <c r="E222" i="105"/>
  <c r="D222" i="105"/>
  <c r="C222" i="105"/>
  <c r="B222" i="105"/>
  <c r="M221" i="105"/>
  <c r="L221" i="105"/>
  <c r="K221" i="105"/>
  <c r="J221" i="105"/>
  <c r="I221" i="105"/>
  <c r="H221" i="105"/>
  <c r="G221" i="105"/>
  <c r="F221" i="105"/>
  <c r="E221" i="105"/>
  <c r="D221" i="105"/>
  <c r="C221" i="105"/>
  <c r="B221" i="105"/>
  <c r="M220" i="105"/>
  <c r="L220" i="105"/>
  <c r="K220" i="105"/>
  <c r="J220" i="105"/>
  <c r="I220" i="105"/>
  <c r="H220" i="105"/>
  <c r="G220" i="105"/>
  <c r="F220" i="105"/>
  <c r="E220" i="105"/>
  <c r="D220" i="105"/>
  <c r="C220" i="105"/>
  <c r="B220" i="105"/>
  <c r="M219" i="105"/>
  <c r="L219" i="105"/>
  <c r="K219" i="105"/>
  <c r="J219" i="105"/>
  <c r="I219" i="105"/>
  <c r="H219" i="105"/>
  <c r="G219" i="105"/>
  <c r="F219" i="105"/>
  <c r="E219" i="105"/>
  <c r="D219" i="105"/>
  <c r="C219" i="105"/>
  <c r="B219" i="105"/>
  <c r="M218" i="105"/>
  <c r="L218" i="105"/>
  <c r="K218" i="105"/>
  <c r="J218" i="105"/>
  <c r="I218" i="105"/>
  <c r="H218" i="105"/>
  <c r="G218" i="105"/>
  <c r="F218" i="105"/>
  <c r="E218" i="105"/>
  <c r="D218" i="105"/>
  <c r="C218" i="105"/>
  <c r="B218" i="105"/>
  <c r="M217" i="105"/>
  <c r="L217" i="105"/>
  <c r="K217" i="105"/>
  <c r="J217" i="105"/>
  <c r="I217" i="105"/>
  <c r="H217" i="105"/>
  <c r="G217" i="105"/>
  <c r="F217" i="105"/>
  <c r="E217" i="105"/>
  <c r="D217" i="105"/>
  <c r="C217" i="105"/>
  <c r="B217" i="105"/>
  <c r="M216" i="105"/>
  <c r="L216" i="105"/>
  <c r="K216" i="105"/>
  <c r="J216" i="105"/>
  <c r="I216" i="105"/>
  <c r="H216" i="105"/>
  <c r="G216" i="105"/>
  <c r="F216" i="105"/>
  <c r="E216" i="105"/>
  <c r="D216" i="105"/>
  <c r="C216" i="105"/>
  <c r="B216" i="105"/>
  <c r="M215" i="105"/>
  <c r="L215" i="105"/>
  <c r="K215" i="105"/>
  <c r="J215" i="105"/>
  <c r="I215" i="105"/>
  <c r="H215" i="105"/>
  <c r="G215" i="105"/>
  <c r="F215" i="105"/>
  <c r="E215" i="105"/>
  <c r="D215" i="105"/>
  <c r="C215" i="105"/>
  <c r="B215" i="105"/>
  <c r="M214" i="105"/>
  <c r="L214" i="105"/>
  <c r="K214" i="105"/>
  <c r="J214" i="105"/>
  <c r="I214" i="105"/>
  <c r="H214" i="105"/>
  <c r="G214" i="105"/>
  <c r="F214" i="105"/>
  <c r="E214" i="105"/>
  <c r="D214" i="105"/>
  <c r="C214" i="105"/>
  <c r="B214" i="105"/>
  <c r="M213" i="105"/>
  <c r="L213" i="105"/>
  <c r="K213" i="105"/>
  <c r="J213" i="105"/>
  <c r="I213" i="105"/>
  <c r="H213" i="105"/>
  <c r="G213" i="105"/>
  <c r="F213" i="105"/>
  <c r="E213" i="105"/>
  <c r="D213" i="105"/>
  <c r="C213" i="105"/>
  <c r="B213" i="105"/>
  <c r="M212" i="105"/>
  <c r="L212" i="105"/>
  <c r="K212" i="105"/>
  <c r="J212" i="105"/>
  <c r="I212" i="105"/>
  <c r="H212" i="105"/>
  <c r="G212" i="105"/>
  <c r="F212" i="105"/>
  <c r="E212" i="105"/>
  <c r="D212" i="105"/>
  <c r="C212" i="105"/>
  <c r="B212" i="105"/>
  <c r="M211" i="105"/>
  <c r="L211" i="105"/>
  <c r="K211" i="105"/>
  <c r="J211" i="105"/>
  <c r="I211" i="105"/>
  <c r="H211" i="105"/>
  <c r="G211" i="105"/>
  <c r="F211" i="105"/>
  <c r="E211" i="105"/>
  <c r="D211" i="105"/>
  <c r="C211" i="105"/>
  <c r="B211" i="105"/>
  <c r="M210" i="105"/>
  <c r="L210" i="105"/>
  <c r="K210" i="105"/>
  <c r="J210" i="105"/>
  <c r="I210" i="105"/>
  <c r="H210" i="105"/>
  <c r="G210" i="105"/>
  <c r="F210" i="105"/>
  <c r="E210" i="105"/>
  <c r="D210" i="105"/>
  <c r="C210" i="105"/>
  <c r="B210" i="105"/>
  <c r="M209" i="105"/>
  <c r="L209" i="105"/>
  <c r="K209" i="105"/>
  <c r="J209" i="105"/>
  <c r="I209" i="105"/>
  <c r="H209" i="105"/>
  <c r="G209" i="105"/>
  <c r="F209" i="105"/>
  <c r="E209" i="105"/>
  <c r="D209" i="105"/>
  <c r="C209" i="105"/>
  <c r="B209" i="105"/>
  <c r="M208" i="105"/>
  <c r="L208" i="105"/>
  <c r="K208" i="105"/>
  <c r="J208" i="105"/>
  <c r="I208" i="105"/>
  <c r="H208" i="105"/>
  <c r="G208" i="105"/>
  <c r="F208" i="105"/>
  <c r="E208" i="105"/>
  <c r="D208" i="105"/>
  <c r="C208" i="105"/>
  <c r="B208" i="105"/>
  <c r="M207" i="105"/>
  <c r="L207" i="105"/>
  <c r="K207" i="105"/>
  <c r="J207" i="105"/>
  <c r="I207" i="105"/>
  <c r="H207" i="105"/>
  <c r="G207" i="105"/>
  <c r="F207" i="105"/>
  <c r="E207" i="105"/>
  <c r="D207" i="105"/>
  <c r="C207" i="105"/>
  <c r="B207" i="105"/>
  <c r="M206" i="105"/>
  <c r="L206" i="105"/>
  <c r="K206" i="105"/>
  <c r="J206" i="105"/>
  <c r="I206" i="105"/>
  <c r="H206" i="105"/>
  <c r="G206" i="105"/>
  <c r="F206" i="105"/>
  <c r="E206" i="105"/>
  <c r="D206" i="105"/>
  <c r="C206" i="105"/>
  <c r="B206" i="105"/>
  <c r="M205" i="105"/>
  <c r="L205" i="105"/>
  <c r="K205" i="105"/>
  <c r="J205" i="105"/>
  <c r="I205" i="105"/>
  <c r="H205" i="105"/>
  <c r="G205" i="105"/>
  <c r="F205" i="105"/>
  <c r="E205" i="105"/>
  <c r="D205" i="105"/>
  <c r="C205" i="105"/>
  <c r="B205" i="105"/>
  <c r="M204" i="105"/>
  <c r="L204" i="105"/>
  <c r="K204" i="105"/>
  <c r="J204" i="105"/>
  <c r="I204" i="105"/>
  <c r="H204" i="105"/>
  <c r="G204" i="105"/>
  <c r="F204" i="105"/>
  <c r="E204" i="105"/>
  <c r="D204" i="105"/>
  <c r="C204" i="105"/>
  <c r="B204" i="105"/>
  <c r="M203" i="105"/>
  <c r="L203" i="105"/>
  <c r="K203" i="105"/>
  <c r="J203" i="105"/>
  <c r="I203" i="105"/>
  <c r="H203" i="105"/>
  <c r="G203" i="105"/>
  <c r="F203" i="105"/>
  <c r="E203" i="105"/>
  <c r="D203" i="105"/>
  <c r="C203" i="105"/>
  <c r="B203" i="105"/>
  <c r="M202" i="105"/>
  <c r="L202" i="105"/>
  <c r="K202" i="105"/>
  <c r="J202" i="105"/>
  <c r="I202" i="105"/>
  <c r="H202" i="105"/>
  <c r="G202" i="105"/>
  <c r="F202" i="105"/>
  <c r="E202" i="105"/>
  <c r="D202" i="105"/>
  <c r="C202" i="105"/>
  <c r="B202" i="105"/>
  <c r="M201" i="105"/>
  <c r="L201" i="105"/>
  <c r="K201" i="105"/>
  <c r="J201" i="105"/>
  <c r="I201" i="105"/>
  <c r="H201" i="105"/>
  <c r="G201" i="105"/>
  <c r="F201" i="105"/>
  <c r="E201" i="105"/>
  <c r="D201" i="105"/>
  <c r="C201" i="105"/>
  <c r="B201" i="105"/>
  <c r="M198" i="105"/>
  <c r="L198" i="105"/>
  <c r="K198" i="105"/>
  <c r="J198" i="105"/>
  <c r="I198" i="105"/>
  <c r="H198" i="105"/>
  <c r="G198" i="105"/>
  <c r="F198" i="105"/>
  <c r="E198" i="105"/>
  <c r="D198" i="105"/>
  <c r="C198" i="105"/>
  <c r="M197" i="105"/>
  <c r="L197" i="105"/>
  <c r="K197" i="105"/>
  <c r="J197" i="105"/>
  <c r="I197" i="105"/>
  <c r="H197" i="105"/>
  <c r="G197" i="105"/>
  <c r="F197" i="105"/>
  <c r="E197" i="105"/>
  <c r="D197" i="105"/>
  <c r="C197" i="105"/>
  <c r="B197" i="105"/>
  <c r="M196" i="105"/>
  <c r="L196" i="105"/>
  <c r="K196" i="105"/>
  <c r="J196" i="105"/>
  <c r="I196" i="105"/>
  <c r="H196" i="105"/>
  <c r="G196" i="105"/>
  <c r="F196" i="105"/>
  <c r="E196" i="105"/>
  <c r="D196" i="105"/>
  <c r="C196" i="105"/>
  <c r="B196" i="105"/>
  <c r="M195" i="105"/>
  <c r="L195" i="105"/>
  <c r="K195" i="105"/>
  <c r="J195" i="105"/>
  <c r="I195" i="105"/>
  <c r="H195" i="105"/>
  <c r="G195" i="105"/>
  <c r="F195" i="105"/>
  <c r="E195" i="105"/>
  <c r="D195" i="105"/>
  <c r="C195" i="105"/>
  <c r="B195" i="105"/>
  <c r="M194" i="105"/>
  <c r="L194" i="105"/>
  <c r="K194" i="105"/>
  <c r="J194" i="105"/>
  <c r="I194" i="105"/>
  <c r="H194" i="105"/>
  <c r="G194" i="105"/>
  <c r="F194" i="105"/>
  <c r="E194" i="105"/>
  <c r="D194" i="105"/>
  <c r="C194" i="105"/>
  <c r="B194" i="105"/>
  <c r="M193" i="105"/>
  <c r="L193" i="105"/>
  <c r="K193" i="105"/>
  <c r="J193" i="105"/>
  <c r="I193" i="105"/>
  <c r="H193" i="105"/>
  <c r="G193" i="105"/>
  <c r="F193" i="105"/>
  <c r="E193" i="105"/>
  <c r="D193" i="105"/>
  <c r="C193" i="105"/>
  <c r="B193" i="105"/>
  <c r="M192" i="105"/>
  <c r="L192" i="105"/>
  <c r="K192" i="105"/>
  <c r="J192" i="105"/>
  <c r="I192" i="105"/>
  <c r="H192" i="105"/>
  <c r="G192" i="105"/>
  <c r="F192" i="105"/>
  <c r="E192" i="105"/>
  <c r="D192" i="105"/>
  <c r="C192" i="105"/>
  <c r="B192" i="105"/>
  <c r="M191" i="105"/>
  <c r="L191" i="105"/>
  <c r="K191" i="105"/>
  <c r="J191" i="105"/>
  <c r="I191" i="105"/>
  <c r="H191" i="105"/>
  <c r="G191" i="105"/>
  <c r="F191" i="105"/>
  <c r="E191" i="105"/>
  <c r="D191" i="105"/>
  <c r="C191" i="105"/>
  <c r="B191" i="105"/>
  <c r="M190" i="105"/>
  <c r="M200" i="105" s="1"/>
  <c r="L190" i="105"/>
  <c r="L200" i="105" s="1"/>
  <c r="K190" i="105"/>
  <c r="K200" i="105" s="1"/>
  <c r="J190" i="105"/>
  <c r="J200" i="105" s="1"/>
  <c r="I190" i="105"/>
  <c r="I200" i="105" s="1"/>
  <c r="H190" i="105"/>
  <c r="G190" i="105"/>
  <c r="G200" i="105" s="1"/>
  <c r="F190" i="105"/>
  <c r="F200" i="105" s="1"/>
  <c r="E190" i="105"/>
  <c r="E200" i="105" s="1"/>
  <c r="D190" i="105"/>
  <c r="D200" i="105" s="1"/>
  <c r="C190" i="105"/>
  <c r="C200" i="105" s="1"/>
  <c r="H200" i="105"/>
  <c r="M184" i="105"/>
  <c r="L184" i="105"/>
  <c r="K184" i="105"/>
  <c r="J184" i="105"/>
  <c r="I184" i="105"/>
  <c r="H184" i="105"/>
  <c r="G184" i="105"/>
  <c r="F184" i="105"/>
  <c r="E184" i="105"/>
  <c r="D184" i="105"/>
  <c r="C184" i="105"/>
  <c r="B184" i="105"/>
  <c r="M183" i="105"/>
  <c r="L183" i="105"/>
  <c r="K183" i="105"/>
  <c r="J183" i="105"/>
  <c r="I183" i="105"/>
  <c r="H183" i="105"/>
  <c r="G183" i="105"/>
  <c r="F183" i="105"/>
  <c r="E183" i="105"/>
  <c r="D183" i="105"/>
  <c r="C183" i="105"/>
  <c r="B183" i="105"/>
  <c r="M182" i="105"/>
  <c r="L182" i="105"/>
  <c r="K182" i="105"/>
  <c r="J182" i="105"/>
  <c r="I182" i="105"/>
  <c r="H182" i="105"/>
  <c r="G182" i="105"/>
  <c r="F182" i="105"/>
  <c r="E182" i="105"/>
  <c r="D182" i="105"/>
  <c r="C182" i="105"/>
  <c r="B182" i="105"/>
  <c r="M181" i="105"/>
  <c r="L181" i="105"/>
  <c r="K181" i="105"/>
  <c r="J181" i="105"/>
  <c r="I181" i="105"/>
  <c r="H181" i="105"/>
  <c r="G181" i="105"/>
  <c r="F181" i="105"/>
  <c r="E181" i="105"/>
  <c r="D181" i="105"/>
  <c r="C181" i="105"/>
  <c r="B181" i="105"/>
  <c r="M180" i="105"/>
  <c r="L180" i="105"/>
  <c r="K180" i="105"/>
  <c r="J180" i="105"/>
  <c r="I180" i="105"/>
  <c r="H180" i="105"/>
  <c r="G180" i="105"/>
  <c r="F180" i="105"/>
  <c r="E180" i="105"/>
  <c r="D180" i="105"/>
  <c r="C180" i="105"/>
  <c r="B180" i="105"/>
  <c r="M179" i="105"/>
  <c r="L179" i="105"/>
  <c r="K179" i="105"/>
  <c r="J179" i="105"/>
  <c r="I179" i="105"/>
  <c r="H179" i="105"/>
  <c r="G179" i="105"/>
  <c r="F179" i="105"/>
  <c r="E179" i="105"/>
  <c r="D179" i="105"/>
  <c r="C179" i="105"/>
  <c r="B179" i="105"/>
  <c r="M178" i="105"/>
  <c r="L178" i="105"/>
  <c r="K178" i="105"/>
  <c r="J178" i="105"/>
  <c r="I178" i="105"/>
  <c r="H178" i="105"/>
  <c r="G178" i="105"/>
  <c r="F178" i="105"/>
  <c r="E178" i="105"/>
  <c r="D178" i="105"/>
  <c r="C178" i="105"/>
  <c r="B178" i="105"/>
  <c r="M177" i="105"/>
  <c r="L177" i="105"/>
  <c r="K177" i="105"/>
  <c r="J177" i="105"/>
  <c r="I177" i="105"/>
  <c r="H177" i="105"/>
  <c r="G177" i="105"/>
  <c r="F177" i="105"/>
  <c r="E177" i="105"/>
  <c r="D177" i="105"/>
  <c r="C177" i="105"/>
  <c r="B177" i="105"/>
  <c r="M176" i="105"/>
  <c r="L176" i="105"/>
  <c r="K176" i="105"/>
  <c r="J176" i="105"/>
  <c r="I176" i="105"/>
  <c r="H176" i="105"/>
  <c r="G176" i="105"/>
  <c r="F176" i="105"/>
  <c r="E176" i="105"/>
  <c r="D176" i="105"/>
  <c r="C176" i="105"/>
  <c r="B176" i="105"/>
  <c r="M175" i="105"/>
  <c r="L175" i="105"/>
  <c r="K175" i="105"/>
  <c r="J175" i="105"/>
  <c r="I175" i="105"/>
  <c r="H175" i="105"/>
  <c r="G175" i="105"/>
  <c r="F175" i="105"/>
  <c r="E175" i="105"/>
  <c r="D175" i="105"/>
  <c r="C175" i="105"/>
  <c r="B175" i="105"/>
  <c r="M174" i="105"/>
  <c r="L174" i="105"/>
  <c r="K174" i="105"/>
  <c r="J174" i="105"/>
  <c r="I174" i="105"/>
  <c r="H174" i="105"/>
  <c r="G174" i="105"/>
  <c r="F174" i="105"/>
  <c r="E174" i="105"/>
  <c r="D174" i="105"/>
  <c r="C174" i="105"/>
  <c r="B174" i="105"/>
  <c r="M173" i="105"/>
  <c r="L173" i="105"/>
  <c r="K173" i="105"/>
  <c r="J173" i="105"/>
  <c r="I173" i="105"/>
  <c r="H173" i="105"/>
  <c r="G173" i="105"/>
  <c r="F173" i="105"/>
  <c r="E173" i="105"/>
  <c r="D173" i="105"/>
  <c r="C173" i="105"/>
  <c r="B173" i="105"/>
  <c r="M172" i="105"/>
  <c r="L172" i="105"/>
  <c r="K172" i="105"/>
  <c r="J172" i="105"/>
  <c r="I172" i="105"/>
  <c r="H172" i="105"/>
  <c r="G172" i="105"/>
  <c r="F172" i="105"/>
  <c r="E172" i="105"/>
  <c r="D172" i="105"/>
  <c r="C172" i="105"/>
  <c r="B172" i="105"/>
  <c r="M171" i="105"/>
  <c r="L171" i="105"/>
  <c r="K171" i="105"/>
  <c r="J171" i="105"/>
  <c r="I171" i="105"/>
  <c r="H171" i="105"/>
  <c r="G171" i="105"/>
  <c r="F171" i="105"/>
  <c r="E171" i="105"/>
  <c r="D171" i="105"/>
  <c r="C171" i="105"/>
  <c r="B171" i="105"/>
  <c r="M170" i="105"/>
  <c r="L170" i="105"/>
  <c r="K170" i="105"/>
  <c r="J170" i="105"/>
  <c r="I170" i="105"/>
  <c r="H170" i="105"/>
  <c r="G170" i="105"/>
  <c r="F170" i="105"/>
  <c r="E170" i="105"/>
  <c r="D170" i="105"/>
  <c r="C170" i="105"/>
  <c r="B170" i="105"/>
  <c r="M169" i="105"/>
  <c r="L169" i="105"/>
  <c r="K169" i="105"/>
  <c r="J169" i="105"/>
  <c r="I169" i="105"/>
  <c r="H169" i="105"/>
  <c r="G169" i="105"/>
  <c r="F169" i="105"/>
  <c r="E169" i="105"/>
  <c r="D169" i="105"/>
  <c r="C169" i="105"/>
  <c r="B169" i="105"/>
  <c r="M168" i="105"/>
  <c r="L168" i="105"/>
  <c r="K168" i="105"/>
  <c r="J168" i="105"/>
  <c r="I168" i="105"/>
  <c r="H168" i="105"/>
  <c r="G168" i="105"/>
  <c r="F168" i="105"/>
  <c r="E168" i="105"/>
  <c r="D168" i="105"/>
  <c r="C168" i="105"/>
  <c r="B168" i="105"/>
  <c r="M167" i="105"/>
  <c r="L167" i="105"/>
  <c r="K167" i="105"/>
  <c r="J167" i="105"/>
  <c r="I167" i="105"/>
  <c r="H167" i="105"/>
  <c r="G167" i="105"/>
  <c r="F167" i="105"/>
  <c r="E167" i="105"/>
  <c r="D167" i="105"/>
  <c r="C167" i="105"/>
  <c r="B167" i="105"/>
  <c r="M166" i="105"/>
  <c r="L166" i="105"/>
  <c r="K166" i="105"/>
  <c r="J166" i="105"/>
  <c r="I166" i="105"/>
  <c r="H166" i="105"/>
  <c r="G166" i="105"/>
  <c r="F166" i="105"/>
  <c r="E166" i="105"/>
  <c r="D166" i="105"/>
  <c r="C166" i="105"/>
  <c r="B166" i="105"/>
  <c r="M165" i="105"/>
  <c r="L165" i="105"/>
  <c r="K165" i="105"/>
  <c r="J165" i="105"/>
  <c r="I165" i="105"/>
  <c r="H165" i="105"/>
  <c r="G165" i="105"/>
  <c r="F165" i="105"/>
  <c r="E165" i="105"/>
  <c r="D165" i="105"/>
  <c r="C165" i="105"/>
  <c r="B165" i="105"/>
  <c r="M164" i="105"/>
  <c r="L164" i="105"/>
  <c r="K164" i="105"/>
  <c r="J164" i="105"/>
  <c r="I164" i="105"/>
  <c r="H164" i="105"/>
  <c r="G164" i="105"/>
  <c r="F164" i="105"/>
  <c r="E164" i="105"/>
  <c r="D164" i="105"/>
  <c r="C164" i="105"/>
  <c r="B164" i="105"/>
  <c r="M163" i="105"/>
  <c r="L163" i="105"/>
  <c r="K163" i="105"/>
  <c r="J163" i="105"/>
  <c r="I163" i="105"/>
  <c r="H163" i="105"/>
  <c r="G163" i="105"/>
  <c r="F163" i="105"/>
  <c r="E163" i="105"/>
  <c r="D163" i="105"/>
  <c r="C163" i="105"/>
  <c r="B163" i="105"/>
  <c r="M162" i="105"/>
  <c r="L162" i="105"/>
  <c r="K162" i="105"/>
  <c r="J162" i="105"/>
  <c r="I162" i="105"/>
  <c r="H162" i="105"/>
  <c r="G162" i="105"/>
  <c r="F162" i="105"/>
  <c r="E162" i="105"/>
  <c r="D162" i="105"/>
  <c r="C162" i="105"/>
  <c r="B162" i="105"/>
  <c r="M161" i="105"/>
  <c r="L161" i="105"/>
  <c r="K161" i="105"/>
  <c r="J161" i="105"/>
  <c r="I161" i="105"/>
  <c r="H161" i="105"/>
  <c r="G161" i="105"/>
  <c r="F161" i="105"/>
  <c r="E161" i="105"/>
  <c r="D161" i="105"/>
  <c r="C161" i="105"/>
  <c r="B161" i="105"/>
  <c r="M158" i="105"/>
  <c r="L158" i="105"/>
  <c r="K158" i="105"/>
  <c r="J158" i="105"/>
  <c r="I158" i="105"/>
  <c r="H158" i="105"/>
  <c r="G158" i="105"/>
  <c r="F158" i="105"/>
  <c r="E158" i="105"/>
  <c r="D158" i="105"/>
  <c r="C158" i="105"/>
  <c r="M157" i="105"/>
  <c r="L157" i="105"/>
  <c r="K157" i="105"/>
  <c r="J157" i="105"/>
  <c r="I157" i="105"/>
  <c r="H157" i="105"/>
  <c r="G157" i="105"/>
  <c r="F157" i="105"/>
  <c r="E157" i="105"/>
  <c r="D157" i="105"/>
  <c r="C157" i="105"/>
  <c r="B157" i="105"/>
  <c r="M156" i="105"/>
  <c r="L156" i="105"/>
  <c r="K156" i="105"/>
  <c r="J156" i="105"/>
  <c r="I156" i="105"/>
  <c r="H156" i="105"/>
  <c r="G156" i="105"/>
  <c r="F156" i="105"/>
  <c r="E156" i="105"/>
  <c r="D156" i="105"/>
  <c r="C156" i="105"/>
  <c r="B156" i="105"/>
  <c r="M155" i="105"/>
  <c r="L155" i="105"/>
  <c r="K155" i="105"/>
  <c r="J155" i="105"/>
  <c r="I155" i="105"/>
  <c r="H155" i="105"/>
  <c r="G155" i="105"/>
  <c r="F155" i="105"/>
  <c r="E155" i="105"/>
  <c r="D155" i="105"/>
  <c r="C155" i="105"/>
  <c r="B155" i="105"/>
  <c r="M154" i="105"/>
  <c r="L154" i="105"/>
  <c r="K154" i="105"/>
  <c r="J154" i="105"/>
  <c r="I154" i="105"/>
  <c r="H154" i="105"/>
  <c r="G154" i="105"/>
  <c r="F154" i="105"/>
  <c r="E154" i="105"/>
  <c r="D154" i="105"/>
  <c r="C154" i="105"/>
  <c r="B154" i="105"/>
  <c r="M153" i="105"/>
  <c r="L153" i="105"/>
  <c r="K153" i="105"/>
  <c r="J153" i="105"/>
  <c r="I153" i="105"/>
  <c r="H153" i="105"/>
  <c r="G153" i="105"/>
  <c r="F153" i="105"/>
  <c r="E153" i="105"/>
  <c r="D153" i="105"/>
  <c r="C153" i="105"/>
  <c r="B153" i="105"/>
  <c r="M152" i="105"/>
  <c r="L152" i="105"/>
  <c r="K152" i="105"/>
  <c r="J152" i="105"/>
  <c r="I152" i="105"/>
  <c r="H152" i="105"/>
  <c r="G152" i="105"/>
  <c r="F152" i="105"/>
  <c r="E152" i="105"/>
  <c r="D152" i="105"/>
  <c r="C152" i="105"/>
  <c r="B152" i="105"/>
  <c r="M151" i="105"/>
  <c r="L151" i="105"/>
  <c r="K151" i="105"/>
  <c r="J151" i="105"/>
  <c r="I151" i="105"/>
  <c r="H151" i="105"/>
  <c r="G151" i="105"/>
  <c r="F151" i="105"/>
  <c r="E151" i="105"/>
  <c r="D151" i="105"/>
  <c r="C151" i="105"/>
  <c r="B151" i="105"/>
  <c r="M150" i="105"/>
  <c r="M160" i="105" s="1"/>
  <c r="L150" i="105"/>
  <c r="L160" i="105" s="1"/>
  <c r="K150" i="105"/>
  <c r="K160" i="105" s="1"/>
  <c r="J150" i="105"/>
  <c r="J160" i="105" s="1"/>
  <c r="I150" i="105"/>
  <c r="I160" i="105" s="1"/>
  <c r="H150" i="105"/>
  <c r="H160" i="105" s="1"/>
  <c r="G150" i="105"/>
  <c r="G160" i="105" s="1"/>
  <c r="F150" i="105"/>
  <c r="F160" i="105" s="1"/>
  <c r="E150" i="105"/>
  <c r="E160" i="105" s="1"/>
  <c r="D150" i="105"/>
  <c r="D160" i="105" s="1"/>
  <c r="C150" i="105"/>
  <c r="C160" i="105" s="1"/>
  <c r="M144" i="105"/>
  <c r="L144" i="105"/>
  <c r="K144" i="105"/>
  <c r="J144" i="105"/>
  <c r="I144" i="105"/>
  <c r="H144" i="105"/>
  <c r="G144" i="105"/>
  <c r="F144" i="105"/>
  <c r="E144" i="105"/>
  <c r="D144" i="105"/>
  <c r="C144" i="105"/>
  <c r="B144" i="105"/>
  <c r="M143" i="105"/>
  <c r="L143" i="105"/>
  <c r="K143" i="105"/>
  <c r="J143" i="105"/>
  <c r="I143" i="105"/>
  <c r="H143" i="105"/>
  <c r="G143" i="105"/>
  <c r="F143" i="105"/>
  <c r="E143" i="105"/>
  <c r="D143" i="105"/>
  <c r="C143" i="105"/>
  <c r="B143" i="105"/>
  <c r="M142" i="105"/>
  <c r="L142" i="105"/>
  <c r="K142" i="105"/>
  <c r="J142" i="105"/>
  <c r="I142" i="105"/>
  <c r="H142" i="105"/>
  <c r="G142" i="105"/>
  <c r="F142" i="105"/>
  <c r="E142" i="105"/>
  <c r="D142" i="105"/>
  <c r="C142" i="105"/>
  <c r="B142" i="105"/>
  <c r="M141" i="105"/>
  <c r="L141" i="105"/>
  <c r="K141" i="105"/>
  <c r="J141" i="105"/>
  <c r="I141" i="105"/>
  <c r="H141" i="105"/>
  <c r="G141" i="105"/>
  <c r="F141" i="105"/>
  <c r="E141" i="105"/>
  <c r="D141" i="105"/>
  <c r="C141" i="105"/>
  <c r="B141" i="105"/>
  <c r="M140" i="105"/>
  <c r="L140" i="105"/>
  <c r="K140" i="105"/>
  <c r="J140" i="105"/>
  <c r="I140" i="105"/>
  <c r="H140" i="105"/>
  <c r="G140" i="105"/>
  <c r="F140" i="105"/>
  <c r="E140" i="105"/>
  <c r="D140" i="105"/>
  <c r="C140" i="105"/>
  <c r="B140" i="105"/>
  <c r="M139" i="105"/>
  <c r="L139" i="105"/>
  <c r="K139" i="105"/>
  <c r="J139" i="105"/>
  <c r="I139" i="105"/>
  <c r="H139" i="105"/>
  <c r="G139" i="105"/>
  <c r="F139" i="105"/>
  <c r="E139" i="105"/>
  <c r="D139" i="105"/>
  <c r="C139" i="105"/>
  <c r="B139" i="105"/>
  <c r="M138" i="105"/>
  <c r="L138" i="105"/>
  <c r="K138" i="105"/>
  <c r="J138" i="105"/>
  <c r="I138" i="105"/>
  <c r="H138" i="105"/>
  <c r="G138" i="105"/>
  <c r="F138" i="105"/>
  <c r="E138" i="105"/>
  <c r="D138" i="105"/>
  <c r="C138" i="105"/>
  <c r="B138" i="105"/>
  <c r="M137" i="105"/>
  <c r="L137" i="105"/>
  <c r="K137" i="105"/>
  <c r="J137" i="105"/>
  <c r="I137" i="105"/>
  <c r="H137" i="105"/>
  <c r="G137" i="105"/>
  <c r="F137" i="105"/>
  <c r="E137" i="105"/>
  <c r="D137" i="105"/>
  <c r="C137" i="105"/>
  <c r="B137" i="105"/>
  <c r="M136" i="105"/>
  <c r="L136" i="105"/>
  <c r="K136" i="105"/>
  <c r="J136" i="105"/>
  <c r="I136" i="105"/>
  <c r="H136" i="105"/>
  <c r="G136" i="105"/>
  <c r="F136" i="105"/>
  <c r="E136" i="105"/>
  <c r="D136" i="105"/>
  <c r="C136" i="105"/>
  <c r="B136" i="105"/>
  <c r="M135" i="105"/>
  <c r="L135" i="105"/>
  <c r="K135" i="105"/>
  <c r="J135" i="105"/>
  <c r="I135" i="105"/>
  <c r="H135" i="105"/>
  <c r="G135" i="105"/>
  <c r="F135" i="105"/>
  <c r="E135" i="105"/>
  <c r="D135" i="105"/>
  <c r="C135" i="105"/>
  <c r="B135" i="105"/>
  <c r="M134" i="105"/>
  <c r="L134" i="105"/>
  <c r="K134" i="105"/>
  <c r="J134" i="105"/>
  <c r="I134" i="105"/>
  <c r="H134" i="105"/>
  <c r="G134" i="105"/>
  <c r="F134" i="105"/>
  <c r="E134" i="105"/>
  <c r="D134" i="105"/>
  <c r="C134" i="105"/>
  <c r="B134" i="105"/>
  <c r="M133" i="105"/>
  <c r="L133" i="105"/>
  <c r="K133" i="105"/>
  <c r="J133" i="105"/>
  <c r="I133" i="105"/>
  <c r="H133" i="105"/>
  <c r="G133" i="105"/>
  <c r="F133" i="105"/>
  <c r="E133" i="105"/>
  <c r="D133" i="105"/>
  <c r="C133" i="105"/>
  <c r="B133" i="105"/>
  <c r="M132" i="105"/>
  <c r="L132" i="105"/>
  <c r="K132" i="105"/>
  <c r="J132" i="105"/>
  <c r="I132" i="105"/>
  <c r="H132" i="105"/>
  <c r="G132" i="105"/>
  <c r="F132" i="105"/>
  <c r="E132" i="105"/>
  <c r="D132" i="105"/>
  <c r="C132" i="105"/>
  <c r="B132" i="105"/>
  <c r="M131" i="105"/>
  <c r="L131" i="105"/>
  <c r="K131" i="105"/>
  <c r="J131" i="105"/>
  <c r="I131" i="105"/>
  <c r="H131" i="105"/>
  <c r="G131" i="105"/>
  <c r="F131" i="105"/>
  <c r="E131" i="105"/>
  <c r="D131" i="105"/>
  <c r="C131" i="105"/>
  <c r="B131" i="105"/>
  <c r="M130" i="105"/>
  <c r="L130" i="105"/>
  <c r="K130" i="105"/>
  <c r="J130" i="105"/>
  <c r="I130" i="105"/>
  <c r="H130" i="105"/>
  <c r="G130" i="105"/>
  <c r="F130" i="105"/>
  <c r="E130" i="105"/>
  <c r="D130" i="105"/>
  <c r="C130" i="105"/>
  <c r="B130" i="105"/>
  <c r="M129" i="105"/>
  <c r="L129" i="105"/>
  <c r="K129" i="105"/>
  <c r="J129" i="105"/>
  <c r="I129" i="105"/>
  <c r="H129" i="105"/>
  <c r="G129" i="105"/>
  <c r="F129" i="105"/>
  <c r="E129" i="105"/>
  <c r="D129" i="105"/>
  <c r="C129" i="105"/>
  <c r="B129" i="105"/>
  <c r="M128" i="105"/>
  <c r="L128" i="105"/>
  <c r="K128" i="105"/>
  <c r="J128" i="105"/>
  <c r="I128" i="105"/>
  <c r="H128" i="105"/>
  <c r="G128" i="105"/>
  <c r="F128" i="105"/>
  <c r="E128" i="105"/>
  <c r="D128" i="105"/>
  <c r="C128" i="105"/>
  <c r="B128" i="105"/>
  <c r="M127" i="105"/>
  <c r="L127" i="105"/>
  <c r="K127" i="105"/>
  <c r="J127" i="105"/>
  <c r="I127" i="105"/>
  <c r="H127" i="105"/>
  <c r="G127" i="105"/>
  <c r="F127" i="105"/>
  <c r="E127" i="105"/>
  <c r="D127" i="105"/>
  <c r="C127" i="105"/>
  <c r="B127" i="105"/>
  <c r="M126" i="105"/>
  <c r="L126" i="105"/>
  <c r="K126" i="105"/>
  <c r="J126" i="105"/>
  <c r="I126" i="105"/>
  <c r="H126" i="105"/>
  <c r="G126" i="105"/>
  <c r="F126" i="105"/>
  <c r="E126" i="105"/>
  <c r="D126" i="105"/>
  <c r="C126" i="105"/>
  <c r="B126" i="105"/>
  <c r="M125" i="105"/>
  <c r="L125" i="105"/>
  <c r="K125" i="105"/>
  <c r="J125" i="105"/>
  <c r="I125" i="105"/>
  <c r="H125" i="105"/>
  <c r="G125" i="105"/>
  <c r="F125" i="105"/>
  <c r="E125" i="105"/>
  <c r="D125" i="105"/>
  <c r="C125" i="105"/>
  <c r="B125" i="105"/>
  <c r="M124" i="105"/>
  <c r="L124" i="105"/>
  <c r="K124" i="105"/>
  <c r="J124" i="105"/>
  <c r="I124" i="105"/>
  <c r="H124" i="105"/>
  <c r="G124" i="105"/>
  <c r="F124" i="105"/>
  <c r="E124" i="105"/>
  <c r="D124" i="105"/>
  <c r="C124" i="105"/>
  <c r="B124" i="105"/>
  <c r="M123" i="105"/>
  <c r="L123" i="105"/>
  <c r="K123" i="105"/>
  <c r="J123" i="105"/>
  <c r="I123" i="105"/>
  <c r="H123" i="105"/>
  <c r="G123" i="105"/>
  <c r="F123" i="105"/>
  <c r="E123" i="105"/>
  <c r="D123" i="105"/>
  <c r="C123" i="105"/>
  <c r="B123" i="105"/>
  <c r="M122" i="105"/>
  <c r="L122" i="105"/>
  <c r="K122" i="105"/>
  <c r="J122" i="105"/>
  <c r="I122" i="105"/>
  <c r="H122" i="105"/>
  <c r="G122" i="105"/>
  <c r="F122" i="105"/>
  <c r="E122" i="105"/>
  <c r="D122" i="105"/>
  <c r="C122" i="105"/>
  <c r="B122" i="105"/>
  <c r="M121" i="105"/>
  <c r="L121" i="105"/>
  <c r="K121" i="105"/>
  <c r="J121" i="105"/>
  <c r="I121" i="105"/>
  <c r="H121" i="105"/>
  <c r="G121" i="105"/>
  <c r="F121" i="105"/>
  <c r="E121" i="105"/>
  <c r="D121" i="105"/>
  <c r="C121" i="105"/>
  <c r="B121" i="105"/>
  <c r="M118" i="105"/>
  <c r="L118" i="105"/>
  <c r="K118" i="105"/>
  <c r="J118" i="105"/>
  <c r="I118" i="105"/>
  <c r="H118" i="105"/>
  <c r="G118" i="105"/>
  <c r="F118" i="105"/>
  <c r="E118" i="105"/>
  <c r="D118" i="105"/>
  <c r="C118" i="105"/>
  <c r="M117" i="105"/>
  <c r="L117" i="105"/>
  <c r="K117" i="105"/>
  <c r="J117" i="105"/>
  <c r="I117" i="105"/>
  <c r="H117" i="105"/>
  <c r="G117" i="105"/>
  <c r="F117" i="105"/>
  <c r="E117" i="105"/>
  <c r="D117" i="105"/>
  <c r="C117" i="105"/>
  <c r="B117" i="105"/>
  <c r="M116" i="105"/>
  <c r="L116" i="105"/>
  <c r="K116" i="105"/>
  <c r="J116" i="105"/>
  <c r="I116" i="105"/>
  <c r="H116" i="105"/>
  <c r="G116" i="105"/>
  <c r="F116" i="105"/>
  <c r="E116" i="105"/>
  <c r="D116" i="105"/>
  <c r="C116" i="105"/>
  <c r="B116" i="105"/>
  <c r="M115" i="105"/>
  <c r="L115" i="105"/>
  <c r="K115" i="105"/>
  <c r="J115" i="105"/>
  <c r="I115" i="105"/>
  <c r="H115" i="105"/>
  <c r="G115" i="105"/>
  <c r="F115" i="105"/>
  <c r="E115" i="105"/>
  <c r="D115" i="105"/>
  <c r="C115" i="105"/>
  <c r="B115" i="105"/>
  <c r="M114" i="105"/>
  <c r="L114" i="105"/>
  <c r="K114" i="105"/>
  <c r="J114" i="105"/>
  <c r="I114" i="105"/>
  <c r="H114" i="105"/>
  <c r="G114" i="105"/>
  <c r="F114" i="105"/>
  <c r="E114" i="105"/>
  <c r="D114" i="105"/>
  <c r="C114" i="105"/>
  <c r="B114" i="105"/>
  <c r="M113" i="105"/>
  <c r="L113" i="105"/>
  <c r="K113" i="105"/>
  <c r="J113" i="105"/>
  <c r="I113" i="105"/>
  <c r="H113" i="105"/>
  <c r="G113" i="105"/>
  <c r="F113" i="105"/>
  <c r="E113" i="105"/>
  <c r="D113" i="105"/>
  <c r="C113" i="105"/>
  <c r="B113" i="105"/>
  <c r="M112" i="105"/>
  <c r="L112" i="105"/>
  <c r="K112" i="105"/>
  <c r="J112" i="105"/>
  <c r="I112" i="105"/>
  <c r="H112" i="105"/>
  <c r="G112" i="105"/>
  <c r="F112" i="105"/>
  <c r="E112" i="105"/>
  <c r="D112" i="105"/>
  <c r="C112" i="105"/>
  <c r="B112" i="105"/>
  <c r="M111" i="105"/>
  <c r="L111" i="105"/>
  <c r="K111" i="105"/>
  <c r="J111" i="105"/>
  <c r="I111" i="105"/>
  <c r="H111" i="105"/>
  <c r="G111" i="105"/>
  <c r="F111" i="105"/>
  <c r="E111" i="105"/>
  <c r="D111" i="105"/>
  <c r="C111" i="105"/>
  <c r="B111" i="105"/>
  <c r="M110" i="105"/>
  <c r="M120" i="105" s="1"/>
  <c r="L110" i="105"/>
  <c r="L120" i="105" s="1"/>
  <c r="K110" i="105"/>
  <c r="K120" i="105" s="1"/>
  <c r="J110" i="105"/>
  <c r="J120" i="105" s="1"/>
  <c r="I110" i="105"/>
  <c r="I120" i="105" s="1"/>
  <c r="H110" i="105"/>
  <c r="H120" i="105" s="1"/>
  <c r="G110" i="105"/>
  <c r="G120" i="105" s="1"/>
  <c r="F110" i="105"/>
  <c r="F120" i="105" s="1"/>
  <c r="E110" i="105"/>
  <c r="E120" i="105" s="1"/>
  <c r="D110" i="105"/>
  <c r="D120" i="105" s="1"/>
  <c r="C110" i="105"/>
  <c r="C120" i="105" s="1"/>
  <c r="M104" i="105"/>
  <c r="L104" i="105"/>
  <c r="K104" i="105"/>
  <c r="J104" i="105"/>
  <c r="I104" i="105"/>
  <c r="H104" i="105"/>
  <c r="G104" i="105"/>
  <c r="F104" i="105"/>
  <c r="E104" i="105"/>
  <c r="D104" i="105"/>
  <c r="C104" i="105"/>
  <c r="B104" i="105"/>
  <c r="M103" i="105"/>
  <c r="L103" i="105"/>
  <c r="K103" i="105"/>
  <c r="J103" i="105"/>
  <c r="I103" i="105"/>
  <c r="H103" i="105"/>
  <c r="G103" i="105"/>
  <c r="F103" i="105"/>
  <c r="E103" i="105"/>
  <c r="D103" i="105"/>
  <c r="C103" i="105"/>
  <c r="B103" i="105"/>
  <c r="M102" i="105"/>
  <c r="L102" i="105"/>
  <c r="K102" i="105"/>
  <c r="J102" i="105"/>
  <c r="I102" i="105"/>
  <c r="H102" i="105"/>
  <c r="G102" i="105"/>
  <c r="F102" i="105"/>
  <c r="E102" i="105"/>
  <c r="D102" i="105"/>
  <c r="C102" i="105"/>
  <c r="B102" i="105"/>
  <c r="M101" i="105"/>
  <c r="L101" i="105"/>
  <c r="K101" i="105"/>
  <c r="J101" i="105"/>
  <c r="I101" i="105"/>
  <c r="H101" i="105"/>
  <c r="G101" i="105"/>
  <c r="F101" i="105"/>
  <c r="E101" i="105"/>
  <c r="D101" i="105"/>
  <c r="C101" i="105"/>
  <c r="B101" i="105"/>
  <c r="M100" i="105"/>
  <c r="L100" i="105"/>
  <c r="K100" i="105"/>
  <c r="J100" i="105"/>
  <c r="I100" i="105"/>
  <c r="H100" i="105"/>
  <c r="G100" i="105"/>
  <c r="F100" i="105"/>
  <c r="E100" i="105"/>
  <c r="D100" i="105"/>
  <c r="C100" i="105"/>
  <c r="B100" i="105"/>
  <c r="M99" i="105"/>
  <c r="L99" i="105"/>
  <c r="K99" i="105"/>
  <c r="J99" i="105"/>
  <c r="I99" i="105"/>
  <c r="H99" i="105"/>
  <c r="G99" i="105"/>
  <c r="F99" i="105"/>
  <c r="E99" i="105"/>
  <c r="D99" i="105"/>
  <c r="C99" i="105"/>
  <c r="B99" i="105"/>
  <c r="M98" i="105"/>
  <c r="L98" i="105"/>
  <c r="K98" i="105"/>
  <c r="J98" i="105"/>
  <c r="I98" i="105"/>
  <c r="H98" i="105"/>
  <c r="G98" i="105"/>
  <c r="F98" i="105"/>
  <c r="E98" i="105"/>
  <c r="D98" i="105"/>
  <c r="C98" i="105"/>
  <c r="B98" i="105"/>
  <c r="M97" i="105"/>
  <c r="L97" i="105"/>
  <c r="K97" i="105"/>
  <c r="J97" i="105"/>
  <c r="I97" i="105"/>
  <c r="H97" i="105"/>
  <c r="G97" i="105"/>
  <c r="F97" i="105"/>
  <c r="E97" i="105"/>
  <c r="D97" i="105"/>
  <c r="C97" i="105"/>
  <c r="B97" i="105"/>
  <c r="M96" i="105"/>
  <c r="L96" i="105"/>
  <c r="K96" i="105"/>
  <c r="J96" i="105"/>
  <c r="I96" i="105"/>
  <c r="H96" i="105"/>
  <c r="G96" i="105"/>
  <c r="F96" i="105"/>
  <c r="E96" i="105"/>
  <c r="D96" i="105"/>
  <c r="C96" i="105"/>
  <c r="B96" i="105"/>
  <c r="M95" i="105"/>
  <c r="L95" i="105"/>
  <c r="K95" i="105"/>
  <c r="J95" i="105"/>
  <c r="I95" i="105"/>
  <c r="H95" i="105"/>
  <c r="G95" i="105"/>
  <c r="F95" i="105"/>
  <c r="E95" i="105"/>
  <c r="D95" i="105"/>
  <c r="C95" i="105"/>
  <c r="B95" i="105"/>
  <c r="M94" i="105"/>
  <c r="L94" i="105"/>
  <c r="K94" i="105"/>
  <c r="J94" i="105"/>
  <c r="I94" i="105"/>
  <c r="H94" i="105"/>
  <c r="G94" i="105"/>
  <c r="F94" i="105"/>
  <c r="E94" i="105"/>
  <c r="D94" i="105"/>
  <c r="C94" i="105"/>
  <c r="B94" i="105"/>
  <c r="M93" i="105"/>
  <c r="L93" i="105"/>
  <c r="K93" i="105"/>
  <c r="J93" i="105"/>
  <c r="I93" i="105"/>
  <c r="H93" i="105"/>
  <c r="G93" i="105"/>
  <c r="F93" i="105"/>
  <c r="E93" i="105"/>
  <c r="D93" i="105"/>
  <c r="C93" i="105"/>
  <c r="B93" i="105"/>
  <c r="M92" i="105"/>
  <c r="L92" i="105"/>
  <c r="K92" i="105"/>
  <c r="J92" i="105"/>
  <c r="I92" i="105"/>
  <c r="H92" i="105"/>
  <c r="G92" i="105"/>
  <c r="F92" i="105"/>
  <c r="E92" i="105"/>
  <c r="D92" i="105"/>
  <c r="C92" i="105"/>
  <c r="B92" i="105"/>
  <c r="M91" i="105"/>
  <c r="L91" i="105"/>
  <c r="K91" i="105"/>
  <c r="J91" i="105"/>
  <c r="I91" i="105"/>
  <c r="H91" i="105"/>
  <c r="G91" i="105"/>
  <c r="F91" i="105"/>
  <c r="E91" i="105"/>
  <c r="D91" i="105"/>
  <c r="C91" i="105"/>
  <c r="B91" i="105"/>
  <c r="M90" i="105"/>
  <c r="L90" i="105"/>
  <c r="K90" i="105"/>
  <c r="J90" i="105"/>
  <c r="I90" i="105"/>
  <c r="H90" i="105"/>
  <c r="G90" i="105"/>
  <c r="F90" i="105"/>
  <c r="E90" i="105"/>
  <c r="D90" i="105"/>
  <c r="C90" i="105"/>
  <c r="B90" i="105"/>
  <c r="M89" i="105"/>
  <c r="L89" i="105"/>
  <c r="K89" i="105"/>
  <c r="J89" i="105"/>
  <c r="I89" i="105"/>
  <c r="H89" i="105"/>
  <c r="G89" i="105"/>
  <c r="F89" i="105"/>
  <c r="E89" i="105"/>
  <c r="D89" i="105"/>
  <c r="C89" i="105"/>
  <c r="B89" i="105"/>
  <c r="M88" i="105"/>
  <c r="L88" i="105"/>
  <c r="K88" i="105"/>
  <c r="J88" i="105"/>
  <c r="I88" i="105"/>
  <c r="H88" i="105"/>
  <c r="G88" i="105"/>
  <c r="F88" i="105"/>
  <c r="E88" i="105"/>
  <c r="D88" i="105"/>
  <c r="C88" i="105"/>
  <c r="B88" i="105"/>
  <c r="M87" i="105"/>
  <c r="L87" i="105"/>
  <c r="K87" i="105"/>
  <c r="J87" i="105"/>
  <c r="I87" i="105"/>
  <c r="H87" i="105"/>
  <c r="G87" i="105"/>
  <c r="F87" i="105"/>
  <c r="E87" i="105"/>
  <c r="D87" i="105"/>
  <c r="C87" i="105"/>
  <c r="B87" i="105"/>
  <c r="M86" i="105"/>
  <c r="L86" i="105"/>
  <c r="K86" i="105"/>
  <c r="J86" i="105"/>
  <c r="I86" i="105"/>
  <c r="H86" i="105"/>
  <c r="G86" i="105"/>
  <c r="F86" i="105"/>
  <c r="E86" i="105"/>
  <c r="D86" i="105"/>
  <c r="C86" i="105"/>
  <c r="B86" i="105"/>
  <c r="M85" i="105"/>
  <c r="L85" i="105"/>
  <c r="K85" i="105"/>
  <c r="J85" i="105"/>
  <c r="I85" i="105"/>
  <c r="H85" i="105"/>
  <c r="G85" i="105"/>
  <c r="F85" i="105"/>
  <c r="E85" i="105"/>
  <c r="D85" i="105"/>
  <c r="C85" i="105"/>
  <c r="B85" i="105"/>
  <c r="M84" i="105"/>
  <c r="L84" i="105"/>
  <c r="K84" i="105"/>
  <c r="J84" i="105"/>
  <c r="I84" i="105"/>
  <c r="H84" i="105"/>
  <c r="G84" i="105"/>
  <c r="F84" i="105"/>
  <c r="E84" i="105"/>
  <c r="D84" i="105"/>
  <c r="C84" i="105"/>
  <c r="B84" i="105"/>
  <c r="M83" i="105"/>
  <c r="L83" i="105"/>
  <c r="K83" i="105"/>
  <c r="J83" i="105"/>
  <c r="I83" i="105"/>
  <c r="H83" i="105"/>
  <c r="G83" i="105"/>
  <c r="F83" i="105"/>
  <c r="E83" i="105"/>
  <c r="D83" i="105"/>
  <c r="C83" i="105"/>
  <c r="B83" i="105"/>
  <c r="M82" i="105"/>
  <c r="L82" i="105"/>
  <c r="K82" i="105"/>
  <c r="J82" i="105"/>
  <c r="I82" i="105"/>
  <c r="H82" i="105"/>
  <c r="G82" i="105"/>
  <c r="F82" i="105"/>
  <c r="E82" i="105"/>
  <c r="D82" i="105"/>
  <c r="C82" i="105"/>
  <c r="B82" i="105"/>
  <c r="M81" i="105"/>
  <c r="L81" i="105"/>
  <c r="K81" i="105"/>
  <c r="J81" i="105"/>
  <c r="I81" i="105"/>
  <c r="H81" i="105"/>
  <c r="G81" i="105"/>
  <c r="F81" i="105"/>
  <c r="E81" i="105"/>
  <c r="D81" i="105"/>
  <c r="C81" i="105"/>
  <c r="B81" i="105"/>
  <c r="M78" i="105"/>
  <c r="L78" i="105"/>
  <c r="K78" i="105"/>
  <c r="J78" i="105"/>
  <c r="I78" i="105"/>
  <c r="H78" i="105"/>
  <c r="G78" i="105"/>
  <c r="F78" i="105"/>
  <c r="E78" i="105"/>
  <c r="D78" i="105"/>
  <c r="C78" i="105"/>
  <c r="M77" i="105"/>
  <c r="L77" i="105"/>
  <c r="K77" i="105"/>
  <c r="J77" i="105"/>
  <c r="I77" i="105"/>
  <c r="H77" i="105"/>
  <c r="G77" i="105"/>
  <c r="F77" i="105"/>
  <c r="E77" i="105"/>
  <c r="D77" i="105"/>
  <c r="C77" i="105"/>
  <c r="B77" i="105"/>
  <c r="M76" i="105"/>
  <c r="L76" i="105"/>
  <c r="K76" i="105"/>
  <c r="J76" i="105"/>
  <c r="I76" i="105"/>
  <c r="H76" i="105"/>
  <c r="G76" i="105"/>
  <c r="F76" i="105"/>
  <c r="E76" i="105"/>
  <c r="D76" i="105"/>
  <c r="C76" i="105"/>
  <c r="B76" i="105"/>
  <c r="M75" i="105"/>
  <c r="L75" i="105"/>
  <c r="K75" i="105"/>
  <c r="J75" i="105"/>
  <c r="I75" i="105"/>
  <c r="H75" i="105"/>
  <c r="G75" i="105"/>
  <c r="F75" i="105"/>
  <c r="E75" i="105"/>
  <c r="D75" i="105"/>
  <c r="C75" i="105"/>
  <c r="B75" i="105"/>
  <c r="M74" i="105"/>
  <c r="L74" i="105"/>
  <c r="K74" i="105"/>
  <c r="J74" i="105"/>
  <c r="I74" i="105"/>
  <c r="H74" i="105"/>
  <c r="G74" i="105"/>
  <c r="F74" i="105"/>
  <c r="E74" i="105"/>
  <c r="D74" i="105"/>
  <c r="C74" i="105"/>
  <c r="B74" i="105"/>
  <c r="M73" i="105"/>
  <c r="L73" i="105"/>
  <c r="K73" i="105"/>
  <c r="J73" i="105"/>
  <c r="I73" i="105"/>
  <c r="H73" i="105"/>
  <c r="G73" i="105"/>
  <c r="F73" i="105"/>
  <c r="E73" i="105"/>
  <c r="D73" i="105"/>
  <c r="C73" i="105"/>
  <c r="B73" i="105"/>
  <c r="M72" i="105"/>
  <c r="L72" i="105"/>
  <c r="K72" i="105"/>
  <c r="J72" i="105"/>
  <c r="I72" i="105"/>
  <c r="H72" i="105"/>
  <c r="G72" i="105"/>
  <c r="F72" i="105"/>
  <c r="E72" i="105"/>
  <c r="D72" i="105"/>
  <c r="C72" i="105"/>
  <c r="B72" i="105"/>
  <c r="M71" i="105"/>
  <c r="L71" i="105"/>
  <c r="K71" i="105"/>
  <c r="J71" i="105"/>
  <c r="I71" i="105"/>
  <c r="H71" i="105"/>
  <c r="G71" i="105"/>
  <c r="F71" i="105"/>
  <c r="E71" i="105"/>
  <c r="D71" i="105"/>
  <c r="C71" i="105"/>
  <c r="B71" i="105"/>
  <c r="M70" i="105"/>
  <c r="M80" i="105" s="1"/>
  <c r="L70" i="105"/>
  <c r="L80" i="105" s="1"/>
  <c r="K70" i="105"/>
  <c r="K80" i="105" s="1"/>
  <c r="J70" i="105"/>
  <c r="J80" i="105" s="1"/>
  <c r="I70" i="105"/>
  <c r="I80" i="105" s="1"/>
  <c r="H70" i="105"/>
  <c r="H80" i="105" s="1"/>
  <c r="G70" i="105"/>
  <c r="G80" i="105" s="1"/>
  <c r="F70" i="105"/>
  <c r="F80" i="105" s="1"/>
  <c r="E70" i="105"/>
  <c r="E80" i="105" s="1"/>
  <c r="D70" i="105"/>
  <c r="D80" i="105" s="1"/>
  <c r="C70" i="105"/>
  <c r="C80" i="105" s="1"/>
  <c r="M64" i="105"/>
  <c r="M63" i="105"/>
  <c r="M62" i="105"/>
  <c r="M61" i="105"/>
  <c r="M60" i="105"/>
  <c r="M59" i="105"/>
  <c r="M58" i="105"/>
  <c r="M57" i="105"/>
  <c r="M56" i="105"/>
  <c r="M55" i="105"/>
  <c r="M54" i="105"/>
  <c r="M53" i="105"/>
  <c r="M52" i="105"/>
  <c r="M51" i="105"/>
  <c r="M50" i="105"/>
  <c r="M49" i="105"/>
  <c r="M48" i="105"/>
  <c r="M47" i="105"/>
  <c r="M46" i="105"/>
  <c r="M45" i="105"/>
  <c r="M44" i="105"/>
  <c r="M43" i="105"/>
  <c r="M42" i="105"/>
  <c r="M41" i="105"/>
  <c r="L64" i="105"/>
  <c r="L63" i="105"/>
  <c r="L62" i="105"/>
  <c r="L61" i="105"/>
  <c r="L60" i="105"/>
  <c r="L59" i="105"/>
  <c r="L58" i="105"/>
  <c r="L57" i="105"/>
  <c r="L56" i="105"/>
  <c r="L55" i="105"/>
  <c r="L54" i="105"/>
  <c r="L53" i="105"/>
  <c r="L52" i="105"/>
  <c r="L51" i="105"/>
  <c r="L50" i="105"/>
  <c r="L49" i="105"/>
  <c r="L48" i="105"/>
  <c r="L47" i="105"/>
  <c r="L46" i="105"/>
  <c r="L45" i="105"/>
  <c r="L44" i="105"/>
  <c r="L43" i="105"/>
  <c r="L42" i="105"/>
  <c r="L41" i="105"/>
  <c r="K64" i="105"/>
  <c r="K63" i="105"/>
  <c r="K62" i="105"/>
  <c r="K61" i="105"/>
  <c r="K60" i="105"/>
  <c r="K59" i="105"/>
  <c r="K58" i="105"/>
  <c r="K57" i="105"/>
  <c r="K56" i="105"/>
  <c r="K55" i="105"/>
  <c r="K54" i="105"/>
  <c r="K53" i="105"/>
  <c r="K52" i="105"/>
  <c r="K51" i="105"/>
  <c r="K50" i="105"/>
  <c r="K49" i="105"/>
  <c r="K48" i="105"/>
  <c r="K47" i="105"/>
  <c r="K46" i="105"/>
  <c r="K45" i="105"/>
  <c r="K44" i="105"/>
  <c r="K43" i="105"/>
  <c r="K42" i="105"/>
  <c r="K41" i="105"/>
  <c r="J64" i="105"/>
  <c r="J63" i="105"/>
  <c r="J62" i="105"/>
  <c r="J61" i="105"/>
  <c r="J60" i="105"/>
  <c r="J59" i="105"/>
  <c r="J58" i="105"/>
  <c r="J57" i="105"/>
  <c r="J56" i="105"/>
  <c r="J55" i="105"/>
  <c r="J54" i="105"/>
  <c r="J53" i="105"/>
  <c r="J52" i="105"/>
  <c r="J51" i="105"/>
  <c r="J50" i="105"/>
  <c r="J49" i="105"/>
  <c r="J48" i="105"/>
  <c r="J47" i="105"/>
  <c r="J46" i="105"/>
  <c r="J45" i="105"/>
  <c r="J44" i="105"/>
  <c r="J43" i="105"/>
  <c r="J42" i="105"/>
  <c r="J41" i="105"/>
  <c r="I64" i="105"/>
  <c r="I63" i="105"/>
  <c r="I62" i="105"/>
  <c r="I61" i="105"/>
  <c r="I60" i="105"/>
  <c r="I59" i="105"/>
  <c r="I58" i="105"/>
  <c r="I57" i="105"/>
  <c r="I56" i="105"/>
  <c r="I55" i="105"/>
  <c r="I54" i="105"/>
  <c r="I53" i="105"/>
  <c r="I52" i="105"/>
  <c r="I51" i="105"/>
  <c r="I50" i="105"/>
  <c r="I49" i="105"/>
  <c r="I48" i="105"/>
  <c r="I47" i="105"/>
  <c r="I46" i="105"/>
  <c r="I45" i="105"/>
  <c r="I44" i="105"/>
  <c r="I43" i="105"/>
  <c r="I42" i="105"/>
  <c r="I41" i="105"/>
  <c r="H64" i="105"/>
  <c r="H63" i="105"/>
  <c r="H62" i="105"/>
  <c r="H61" i="105"/>
  <c r="H60" i="105"/>
  <c r="H59" i="105"/>
  <c r="H58" i="105"/>
  <c r="H57" i="105"/>
  <c r="H56" i="105"/>
  <c r="H55" i="105"/>
  <c r="H54" i="105"/>
  <c r="H53" i="105"/>
  <c r="H52" i="105"/>
  <c r="H51" i="105"/>
  <c r="H50" i="105"/>
  <c r="H49" i="105"/>
  <c r="H48" i="105"/>
  <c r="H47" i="105"/>
  <c r="H46" i="105"/>
  <c r="H45" i="105"/>
  <c r="H44" i="105"/>
  <c r="H43" i="105"/>
  <c r="H42" i="105"/>
  <c r="H41" i="105"/>
  <c r="G64" i="105"/>
  <c r="G63" i="105"/>
  <c r="G62" i="105"/>
  <c r="G61" i="105"/>
  <c r="G60" i="105"/>
  <c r="G59" i="105"/>
  <c r="G58" i="105"/>
  <c r="G57" i="105"/>
  <c r="G56" i="105"/>
  <c r="G55" i="105"/>
  <c r="G54" i="105"/>
  <c r="G53" i="105"/>
  <c r="G52" i="105"/>
  <c r="G51" i="105"/>
  <c r="G50" i="105"/>
  <c r="G49" i="105"/>
  <c r="G48" i="105"/>
  <c r="G47" i="105"/>
  <c r="G46" i="105"/>
  <c r="G45" i="105"/>
  <c r="G44" i="105"/>
  <c r="G43" i="105"/>
  <c r="G42" i="105"/>
  <c r="G41" i="105"/>
  <c r="F64" i="105"/>
  <c r="F63" i="105"/>
  <c r="F62" i="105"/>
  <c r="F61" i="105"/>
  <c r="F60" i="105"/>
  <c r="F59" i="105"/>
  <c r="F58" i="105"/>
  <c r="F57" i="105"/>
  <c r="F56" i="105"/>
  <c r="F55" i="105"/>
  <c r="F54" i="105"/>
  <c r="F53" i="105"/>
  <c r="F52" i="105"/>
  <c r="F51" i="105"/>
  <c r="F50" i="105"/>
  <c r="F49" i="105"/>
  <c r="F48" i="105"/>
  <c r="F47" i="105"/>
  <c r="F46" i="105"/>
  <c r="F45" i="105"/>
  <c r="F44" i="105"/>
  <c r="F43" i="105"/>
  <c r="F42" i="105"/>
  <c r="F41" i="105"/>
  <c r="E64" i="105"/>
  <c r="E63" i="105"/>
  <c r="E62" i="105"/>
  <c r="E61" i="105"/>
  <c r="E60" i="105"/>
  <c r="E59" i="105"/>
  <c r="E58" i="105"/>
  <c r="E57" i="105"/>
  <c r="E56" i="105"/>
  <c r="E55" i="105"/>
  <c r="E54" i="105"/>
  <c r="E53" i="105"/>
  <c r="E52" i="105"/>
  <c r="E51" i="105"/>
  <c r="E50" i="105"/>
  <c r="E49" i="105"/>
  <c r="E48" i="105"/>
  <c r="E47" i="105"/>
  <c r="E46" i="105"/>
  <c r="E45" i="105"/>
  <c r="E44" i="105"/>
  <c r="E43" i="105"/>
  <c r="E42" i="105"/>
  <c r="E41" i="105"/>
  <c r="D64" i="105"/>
  <c r="D63" i="105"/>
  <c r="D62" i="105"/>
  <c r="D61" i="105"/>
  <c r="D60" i="105"/>
  <c r="D59" i="105"/>
  <c r="D58" i="105"/>
  <c r="D57" i="105"/>
  <c r="D56" i="105"/>
  <c r="D55" i="105"/>
  <c r="D54" i="105"/>
  <c r="D53" i="105"/>
  <c r="D52" i="105"/>
  <c r="D51" i="105"/>
  <c r="D50" i="105"/>
  <c r="D49" i="105"/>
  <c r="D48" i="105"/>
  <c r="D47" i="105"/>
  <c r="D46" i="105"/>
  <c r="D45" i="105"/>
  <c r="D44" i="105"/>
  <c r="D43" i="105"/>
  <c r="D42" i="105"/>
  <c r="D41" i="105"/>
  <c r="C64" i="105"/>
  <c r="C63" i="105"/>
  <c r="C62" i="105"/>
  <c r="C61" i="105"/>
  <c r="C60" i="105"/>
  <c r="C59" i="105"/>
  <c r="C58" i="105"/>
  <c r="C57" i="105"/>
  <c r="C56" i="105"/>
  <c r="C55" i="105"/>
  <c r="C54" i="105"/>
  <c r="C53" i="105"/>
  <c r="C52" i="105"/>
  <c r="C51" i="105"/>
  <c r="C50" i="105"/>
  <c r="C49" i="105"/>
  <c r="C48" i="105"/>
  <c r="C47" i="105"/>
  <c r="C46" i="105"/>
  <c r="C45" i="105"/>
  <c r="C44" i="105"/>
  <c r="C43" i="105"/>
  <c r="C42" i="105"/>
  <c r="C41" i="105"/>
  <c r="M38" i="105"/>
  <c r="M37" i="105"/>
  <c r="M36" i="105"/>
  <c r="M35" i="105"/>
  <c r="M34" i="105"/>
  <c r="M33" i="105"/>
  <c r="M32" i="105"/>
  <c r="M31" i="105"/>
  <c r="M30" i="105"/>
  <c r="M40" i="105" s="1"/>
  <c r="L38" i="105"/>
  <c r="L37" i="105"/>
  <c r="L36" i="105"/>
  <c r="L35" i="105"/>
  <c r="L34" i="105"/>
  <c r="L33" i="105"/>
  <c r="L32" i="105"/>
  <c r="L31" i="105"/>
  <c r="L30" i="105"/>
  <c r="L40" i="105" s="1"/>
  <c r="K38" i="105"/>
  <c r="K37" i="105"/>
  <c r="K36" i="105"/>
  <c r="K35" i="105"/>
  <c r="K34" i="105"/>
  <c r="K33" i="105"/>
  <c r="K32" i="105"/>
  <c r="K31" i="105"/>
  <c r="K30" i="105"/>
  <c r="K40" i="105" s="1"/>
  <c r="J38" i="105"/>
  <c r="J37" i="105"/>
  <c r="J36" i="105"/>
  <c r="J35" i="105"/>
  <c r="J34" i="105"/>
  <c r="J33" i="105"/>
  <c r="J32" i="105"/>
  <c r="J31" i="105"/>
  <c r="J30" i="105"/>
  <c r="J40" i="105" s="1"/>
  <c r="I38" i="105"/>
  <c r="I37" i="105"/>
  <c r="I36" i="105"/>
  <c r="I35" i="105"/>
  <c r="I34" i="105"/>
  <c r="I33" i="105"/>
  <c r="I32" i="105"/>
  <c r="I31" i="105"/>
  <c r="I30" i="105"/>
  <c r="I40" i="105" s="1"/>
  <c r="H38" i="105"/>
  <c r="H37" i="105"/>
  <c r="H36" i="105"/>
  <c r="H35" i="105"/>
  <c r="H34" i="105"/>
  <c r="H33" i="105"/>
  <c r="H32" i="105"/>
  <c r="H31" i="105"/>
  <c r="H30" i="105"/>
  <c r="H40" i="105" s="1"/>
  <c r="G38" i="105"/>
  <c r="G37" i="105"/>
  <c r="G36" i="105"/>
  <c r="G35" i="105"/>
  <c r="G34" i="105"/>
  <c r="G33" i="105"/>
  <c r="G32" i="105"/>
  <c r="G31" i="105"/>
  <c r="G30" i="105"/>
  <c r="G40" i="105" s="1"/>
  <c r="F38" i="105"/>
  <c r="F37" i="105"/>
  <c r="F36" i="105"/>
  <c r="F35" i="105"/>
  <c r="F34" i="105"/>
  <c r="F33" i="105"/>
  <c r="F32" i="105"/>
  <c r="F31" i="105"/>
  <c r="F30" i="105"/>
  <c r="F40" i="105" s="1"/>
  <c r="E38" i="105"/>
  <c r="E37" i="105"/>
  <c r="E36" i="105"/>
  <c r="E35" i="105"/>
  <c r="E34" i="105"/>
  <c r="E33" i="105"/>
  <c r="E32" i="105"/>
  <c r="E31" i="105"/>
  <c r="E30" i="105"/>
  <c r="U37" i="105" s="1"/>
  <c r="D38" i="105"/>
  <c r="D37" i="105"/>
  <c r="D36" i="105"/>
  <c r="D35" i="105"/>
  <c r="D34" i="105"/>
  <c r="D33" i="105"/>
  <c r="D32" i="105"/>
  <c r="D31" i="105"/>
  <c r="D30" i="105"/>
  <c r="D40" i="105" s="1"/>
  <c r="C38" i="105"/>
  <c r="C37" i="105"/>
  <c r="C36" i="105"/>
  <c r="C35" i="105"/>
  <c r="C34" i="105"/>
  <c r="C33" i="105"/>
  <c r="C32" i="105"/>
  <c r="C31" i="105"/>
  <c r="C30" i="105"/>
  <c r="C40" i="105" s="1"/>
  <c r="B64" i="105"/>
  <c r="B63" i="105"/>
  <c r="B62" i="105"/>
  <c r="B61" i="105"/>
  <c r="B60" i="105"/>
  <c r="B59" i="105"/>
  <c r="B58" i="105"/>
  <c r="B57" i="105"/>
  <c r="B56" i="105"/>
  <c r="B55" i="105"/>
  <c r="B54" i="105"/>
  <c r="B53" i="105"/>
  <c r="B52" i="105"/>
  <c r="B51" i="105"/>
  <c r="B50" i="105"/>
  <c r="B49" i="105"/>
  <c r="B48" i="105"/>
  <c r="B47" i="105"/>
  <c r="B46" i="105"/>
  <c r="B45" i="105"/>
  <c r="B44" i="105"/>
  <c r="B43" i="105"/>
  <c r="B42" i="105"/>
  <c r="B41" i="105"/>
  <c r="B37" i="105"/>
  <c r="B36" i="105"/>
  <c r="B35" i="105"/>
  <c r="B34" i="105"/>
  <c r="B33" i="105"/>
  <c r="B32" i="105"/>
  <c r="B31" i="105"/>
  <c r="CH77" i="105" l="1"/>
  <c r="CH96" i="105"/>
  <c r="AR96" i="105"/>
  <c r="BN96" i="105"/>
  <c r="BN77" i="105"/>
  <c r="G10" i="105"/>
  <c r="AR77" i="105"/>
  <c r="Z5" i="105"/>
  <c r="T5" i="105"/>
  <c r="G4" i="105"/>
  <c r="G12" i="105"/>
  <c r="E40" i="105"/>
  <c r="G6" i="105"/>
  <c r="U39" i="105"/>
  <c r="G5" i="105"/>
  <c r="G11" i="105"/>
  <c r="S5" i="105"/>
  <c r="U5" i="105"/>
  <c r="Z37" i="105"/>
  <c r="T37" i="105"/>
  <c r="AA71" i="105"/>
  <c r="U71" i="105"/>
  <c r="Y37" i="105"/>
  <c r="Z71" i="105"/>
  <c r="T71" i="105"/>
  <c r="G7" i="105"/>
  <c r="Y5" i="105"/>
  <c r="AB5" i="105"/>
  <c r="S37" i="105"/>
  <c r="X37" i="105"/>
  <c r="T73" i="105"/>
  <c r="Y71" i="105"/>
  <c r="X72" i="105"/>
  <c r="G2" i="105"/>
  <c r="G8" i="105"/>
  <c r="X5" i="105"/>
  <c r="AA5" i="105"/>
  <c r="AC37" i="105"/>
  <c r="Z44" i="105" s="1"/>
  <c r="W37" i="105"/>
  <c r="S71" i="105"/>
  <c r="X71" i="105"/>
  <c r="W73" i="105"/>
  <c r="G3" i="105"/>
  <c r="G9" i="105"/>
  <c r="W5" i="105"/>
  <c r="AC5" i="105"/>
  <c r="Z12" i="105" s="1"/>
  <c r="AB37" i="105"/>
  <c r="V37" i="105"/>
  <c r="AC71" i="105"/>
  <c r="Z78" i="105" s="1"/>
  <c r="W71" i="105"/>
  <c r="V5" i="105"/>
  <c r="T7" i="105"/>
  <c r="AA37" i="105"/>
  <c r="AB71" i="105"/>
  <c r="V71" i="105"/>
  <c r="T72" i="105"/>
  <c r="S73" i="105"/>
  <c r="U73" i="105"/>
  <c r="Z72" i="105"/>
  <c r="AB73" i="105"/>
  <c r="AB72" i="105"/>
  <c r="X73" i="105"/>
  <c r="Y72" i="105"/>
  <c r="AC73" i="105"/>
  <c r="V73" i="105"/>
  <c r="S72" i="105"/>
  <c r="W72" i="105"/>
  <c r="AA73" i="105"/>
  <c r="AC72" i="105"/>
  <c r="AD72" i="105" s="1"/>
  <c r="AA81" i="105" s="1"/>
  <c r="V72" i="105"/>
  <c r="Y73" i="105"/>
  <c r="AA79" i="105"/>
  <c r="AA72" i="105"/>
  <c r="U72" i="105"/>
  <c r="Z73" i="105"/>
  <c r="AA45" i="105"/>
  <c r="T39" i="105"/>
  <c r="Z38" i="105"/>
  <c r="T38" i="105"/>
  <c r="Y39" i="105"/>
  <c r="U38" i="105"/>
  <c r="AA13" i="105"/>
  <c r="Y38" i="105"/>
  <c r="S39" i="105"/>
  <c r="X39" i="105"/>
  <c r="Z39" i="105"/>
  <c r="S38" i="105"/>
  <c r="X38" i="105"/>
  <c r="AC39" i="105"/>
  <c r="W39" i="105"/>
  <c r="AA38" i="105"/>
  <c r="AC38" i="105"/>
  <c r="W38" i="105"/>
  <c r="AB39" i="105"/>
  <c r="V39" i="105"/>
  <c r="AB38" i="105"/>
  <c r="V38" i="105"/>
  <c r="AA39" i="105"/>
  <c r="Z6" i="105"/>
  <c r="T6" i="105"/>
  <c r="Y7" i="105"/>
  <c r="Y6" i="105"/>
  <c r="S7" i="105"/>
  <c r="X7" i="105"/>
  <c r="S6" i="105"/>
  <c r="X6" i="105"/>
  <c r="AC7" i="105"/>
  <c r="W7" i="105"/>
  <c r="AC6" i="105"/>
  <c r="W6" i="105"/>
  <c r="AB7" i="105"/>
  <c r="V7" i="105"/>
  <c r="AB6" i="105"/>
  <c r="V6" i="105"/>
  <c r="AA7" i="105"/>
  <c r="U7" i="105"/>
  <c r="AA6" i="105"/>
  <c r="U6" i="105"/>
  <c r="Z7" i="105"/>
  <c r="AT105" i="105" l="1"/>
  <c r="AT109" i="105"/>
  <c r="BP90" i="105"/>
  <c r="BP86" i="105"/>
  <c r="BP109" i="105"/>
  <c r="BP105" i="105"/>
  <c r="AR6" i="105"/>
  <c r="AR95" i="105" s="1"/>
  <c r="AT17" i="105"/>
  <c r="AT90" i="105"/>
  <c r="BM6" i="105"/>
  <c r="BO8" i="105" s="1"/>
  <c r="AT86" i="105"/>
  <c r="CG6" i="105"/>
  <c r="CH12" i="105" s="1"/>
  <c r="AS28" i="105"/>
  <c r="AS15" i="105"/>
  <c r="AT12" i="105"/>
  <c r="AT16" i="105"/>
  <c r="AT25" i="105"/>
  <c r="AS43" i="105"/>
  <c r="AS32" i="105"/>
  <c r="AU32" i="105" s="1"/>
  <c r="AS14" i="105"/>
  <c r="AS38" i="105"/>
  <c r="AT41" i="105"/>
  <c r="AS24" i="105"/>
  <c r="AT11" i="105"/>
  <c r="AS22" i="105"/>
  <c r="AS42" i="105"/>
  <c r="AS23" i="105"/>
  <c r="AS31" i="105"/>
  <c r="AT21" i="105"/>
  <c r="AS40" i="105"/>
  <c r="AT40" i="105"/>
  <c r="AT23" i="105"/>
  <c r="AS41" i="105"/>
  <c r="AS21" i="105"/>
  <c r="AT19" i="105"/>
  <c r="AT27" i="105"/>
  <c r="AS27" i="105"/>
  <c r="AS11" i="105"/>
  <c r="AT44" i="105"/>
  <c r="AS26" i="105"/>
  <c r="AS19" i="105"/>
  <c r="AS39" i="105"/>
  <c r="AT29" i="105"/>
  <c r="AT10" i="105"/>
  <c r="AS29" i="105"/>
  <c r="AS20" i="105"/>
  <c r="AS9" i="105"/>
  <c r="AT43" i="105"/>
  <c r="AS18" i="105"/>
  <c r="AT15" i="105"/>
  <c r="AS10" i="105"/>
  <c r="AT18" i="105"/>
  <c r="AT24" i="105"/>
  <c r="AT8" i="105"/>
  <c r="AT42" i="105"/>
  <c r="AS44" i="105"/>
  <c r="AS25" i="105"/>
  <c r="AT22" i="105"/>
  <c r="AT31" i="105"/>
  <c r="AE73" i="105"/>
  <c r="AF39" i="105"/>
  <c r="AF72" i="105"/>
  <c r="AF76" i="105"/>
  <c r="AA90" i="105" s="1"/>
  <c r="AD73" i="105"/>
  <c r="AA88" i="105" s="1"/>
  <c r="AG72" i="105"/>
  <c r="AE72" i="105"/>
  <c r="AF75" i="105"/>
  <c r="AA83" i="105" s="1"/>
  <c r="AG73" i="105"/>
  <c r="AF41" i="105"/>
  <c r="AA49" i="105" s="1"/>
  <c r="AF73" i="105"/>
  <c r="AF42" i="105"/>
  <c r="AA56" i="105" s="1"/>
  <c r="AD39" i="105"/>
  <c r="AA54" i="105" s="1"/>
  <c r="AD38" i="105"/>
  <c r="AF38" i="105"/>
  <c r="AG38" i="105"/>
  <c r="AG39" i="105"/>
  <c r="AE38" i="105"/>
  <c r="AE39" i="105"/>
  <c r="AF9" i="105"/>
  <c r="AA17" i="105" s="1"/>
  <c r="AD6" i="105"/>
  <c r="AG6" i="105"/>
  <c r="AF6" i="105"/>
  <c r="AE6" i="105"/>
  <c r="AD7" i="105"/>
  <c r="AA22" i="105" s="1"/>
  <c r="AF10" i="105"/>
  <c r="AA24" i="105" s="1"/>
  <c r="AG7" i="105"/>
  <c r="AE7" i="105"/>
  <c r="AF7" i="105"/>
  <c r="AI72" i="105" l="1"/>
  <c r="AA86" i="105" s="1"/>
  <c r="AH72" i="105"/>
  <c r="AI73" i="105"/>
  <c r="AA93" i="105" s="1"/>
  <c r="AH73" i="105"/>
  <c r="BN44" i="105"/>
  <c r="AQ78" i="105"/>
  <c r="AR78" i="105" s="1"/>
  <c r="AT28" i="105"/>
  <c r="BE43" i="105" s="1"/>
  <c r="AS16" i="105"/>
  <c r="AU16" i="105" s="1"/>
  <c r="AS17" i="105"/>
  <c r="AS8" i="105"/>
  <c r="AU8" i="105" s="1"/>
  <c r="AT26" i="105"/>
  <c r="AS13" i="105"/>
  <c r="AT9" i="105"/>
  <c r="AS12" i="105"/>
  <c r="AU12" i="105" s="1"/>
  <c r="AT32" i="105"/>
  <c r="AV32" i="105" s="1"/>
  <c r="AT20" i="105"/>
  <c r="AV20" i="105" s="1"/>
  <c r="AS30" i="105"/>
  <c r="AT13" i="105"/>
  <c r="AT30" i="105"/>
  <c r="AT38" i="105"/>
  <c r="AQ97" i="105" s="1"/>
  <c r="AR97" i="105" s="1"/>
  <c r="AT14" i="105"/>
  <c r="CH28" i="105"/>
  <c r="CH31" i="105"/>
  <c r="CS44" i="105" s="1"/>
  <c r="CI16" i="105"/>
  <c r="CH15" i="105"/>
  <c r="CI17" i="105"/>
  <c r="BN21" i="105"/>
  <c r="BO14" i="105"/>
  <c r="BO38" i="105"/>
  <c r="BN28" i="105"/>
  <c r="BN41" i="105"/>
  <c r="BO21" i="105"/>
  <c r="BN25" i="105"/>
  <c r="BT41" i="105" s="1"/>
  <c r="CI27" i="105"/>
  <c r="CH76" i="105"/>
  <c r="CH95" i="105"/>
  <c r="BO42" i="105"/>
  <c r="BN31" i="105"/>
  <c r="BW44" i="105" s="1"/>
  <c r="BN15" i="105"/>
  <c r="BN32" i="105"/>
  <c r="BP32" i="105" s="1"/>
  <c r="BO24" i="105"/>
  <c r="BO29" i="105"/>
  <c r="BN8" i="105"/>
  <c r="BN26" i="105"/>
  <c r="BO16" i="105"/>
  <c r="BO9" i="105"/>
  <c r="BN95" i="105"/>
  <c r="BN76" i="105"/>
  <c r="BN20" i="105"/>
  <c r="BN27" i="105"/>
  <c r="BN18" i="105"/>
  <c r="CH11" i="105"/>
  <c r="CH26" i="105"/>
  <c r="CI39" i="105"/>
  <c r="CI41" i="105"/>
  <c r="CH38" i="105"/>
  <c r="CI42" i="105"/>
  <c r="CH39" i="105"/>
  <c r="CH44" i="105"/>
  <c r="CI38" i="105"/>
  <c r="CI44" i="105"/>
  <c r="CH41" i="105"/>
  <c r="CI40" i="105"/>
  <c r="CH40" i="105"/>
  <c r="CI43" i="105"/>
  <c r="CH43" i="105"/>
  <c r="CH42" i="105"/>
  <c r="CI11" i="105"/>
  <c r="CI8" i="105"/>
  <c r="CH20" i="105"/>
  <c r="CH10" i="105"/>
  <c r="CH21" i="105"/>
  <c r="CI22" i="105"/>
  <c r="CI18" i="105"/>
  <c r="BO17" i="105"/>
  <c r="BO28" i="105"/>
  <c r="BN17" i="105"/>
  <c r="BO20" i="105"/>
  <c r="BO23" i="105"/>
  <c r="BO13" i="105"/>
  <c r="BO10" i="105"/>
  <c r="BN42" i="105"/>
  <c r="BP42" i="105" s="1"/>
  <c r="BO12" i="105"/>
  <c r="BO31" i="105"/>
  <c r="BN40" i="105"/>
  <c r="BO22" i="105"/>
  <c r="BN16" i="105"/>
  <c r="BN10" i="105"/>
  <c r="BP10" i="105" s="1"/>
  <c r="BN13" i="105"/>
  <c r="BO43" i="105"/>
  <c r="BN9" i="105"/>
  <c r="BN22" i="105"/>
  <c r="BO25" i="105"/>
  <c r="AT39" i="105"/>
  <c r="AX39" i="105" s="1"/>
  <c r="BN11" i="105"/>
  <c r="BN38" i="105"/>
  <c r="AR76" i="105"/>
  <c r="BO32" i="105"/>
  <c r="BQ32" i="105" s="1"/>
  <c r="BN29" i="105"/>
  <c r="BO40" i="105"/>
  <c r="BN14" i="105"/>
  <c r="BO15" i="105"/>
  <c r="BN39" i="105"/>
  <c r="BO18" i="105"/>
  <c r="BN24" i="105"/>
  <c r="BO11" i="105"/>
  <c r="BN43" i="105"/>
  <c r="BO44" i="105"/>
  <c r="BO39" i="105"/>
  <c r="BN30" i="105"/>
  <c r="BO27" i="105"/>
  <c r="BO41" i="105"/>
  <c r="BO30" i="105"/>
  <c r="BB43" i="105"/>
  <c r="AY43" i="105"/>
  <c r="BH42" i="105"/>
  <c r="BE42" i="105"/>
  <c r="BB42" i="105"/>
  <c r="AY42" i="105"/>
  <c r="BH41" i="105"/>
  <c r="BE41" i="105"/>
  <c r="BB40" i="105"/>
  <c r="AY40" i="105"/>
  <c r="BB41" i="105"/>
  <c r="AY41" i="105"/>
  <c r="BH44" i="105"/>
  <c r="BE44" i="105"/>
  <c r="BH40" i="105"/>
  <c r="BE40" i="105"/>
  <c r="BB44" i="105"/>
  <c r="AY44" i="105"/>
  <c r="BN23" i="105"/>
  <c r="BN12" i="105"/>
  <c r="BN19" i="105"/>
  <c r="BP19" i="105" s="1"/>
  <c r="BO19" i="105"/>
  <c r="BO26" i="105"/>
  <c r="CH9" i="105"/>
  <c r="CH14" i="105"/>
  <c r="CI10" i="105"/>
  <c r="CH25" i="105"/>
  <c r="CI21" i="105"/>
  <c r="CI32" i="105"/>
  <c r="CK32" i="105" s="1"/>
  <c r="CI24" i="105"/>
  <c r="CI31" i="105"/>
  <c r="CI30" i="105"/>
  <c r="CH16" i="105"/>
  <c r="CH19" i="105"/>
  <c r="CI15" i="105"/>
  <c r="CK15" i="105" s="1"/>
  <c r="CH30" i="105"/>
  <c r="CI26" i="105"/>
  <c r="CH29" i="105"/>
  <c r="CI25" i="105"/>
  <c r="CH8" i="105"/>
  <c r="CI29" i="105"/>
  <c r="CK29" i="105" s="1"/>
  <c r="CI12" i="105"/>
  <c r="CH22" i="105"/>
  <c r="CH13" i="105"/>
  <c r="CI9" i="105"/>
  <c r="CH24" i="105"/>
  <c r="CI20" i="105"/>
  <c r="CK20" i="105" s="1"/>
  <c r="CH23" i="105"/>
  <c r="CI19" i="105"/>
  <c r="CH27" i="105"/>
  <c r="CI23" i="105"/>
  <c r="CH32" i="105"/>
  <c r="CJ32" i="105" s="1"/>
  <c r="CI28" i="105"/>
  <c r="CK28" i="105" s="1"/>
  <c r="CH18" i="105"/>
  <c r="CI14" i="105"/>
  <c r="CH17" i="105"/>
  <c r="CI13" i="105"/>
  <c r="AU20" i="105"/>
  <c r="AU23" i="105"/>
  <c r="AU24" i="105"/>
  <c r="AU17" i="105"/>
  <c r="AU13" i="105"/>
  <c r="AU43" i="105"/>
  <c r="AU38" i="105"/>
  <c r="AU41" i="105"/>
  <c r="AU31" i="105"/>
  <c r="AU30" i="105"/>
  <c r="AU15" i="105"/>
  <c r="AU18" i="105"/>
  <c r="AU21" i="105"/>
  <c r="AW44" i="105"/>
  <c r="AU28" i="105"/>
  <c r="AU29" i="105"/>
  <c r="AU26" i="105"/>
  <c r="AU40" i="105"/>
  <c r="AU22" i="105"/>
  <c r="AU11" i="105"/>
  <c r="AU25" i="105"/>
  <c r="AU9" i="105"/>
  <c r="AU39" i="105"/>
  <c r="AU27" i="105"/>
  <c r="AU14" i="105"/>
  <c r="AW39" i="105"/>
  <c r="AV31" i="105"/>
  <c r="AV44" i="105"/>
  <c r="AV43" i="105"/>
  <c r="AV29" i="105"/>
  <c r="AW40" i="105"/>
  <c r="AW43" i="105"/>
  <c r="AW42" i="105"/>
  <c r="AW38" i="105"/>
  <c r="AU44" i="105"/>
  <c r="AU19" i="105"/>
  <c r="AW41" i="105"/>
  <c r="AU10" i="105"/>
  <c r="AW11" i="105"/>
  <c r="AU42" i="105"/>
  <c r="AV8" i="105"/>
  <c r="AV26" i="105"/>
  <c r="AV38" i="105"/>
  <c r="AV11" i="105"/>
  <c r="AV21" i="105"/>
  <c r="AA92" i="105"/>
  <c r="AA85" i="105"/>
  <c r="AA47" i="105"/>
  <c r="AH39" i="105"/>
  <c r="AA58" i="105" s="1"/>
  <c r="AI39" i="105"/>
  <c r="AA59" i="105" s="1"/>
  <c r="AH38" i="105"/>
  <c r="AA51" i="105" s="1"/>
  <c r="AI38" i="105"/>
  <c r="AA52" i="105" s="1"/>
  <c r="AA15" i="105"/>
  <c r="AI7" i="105"/>
  <c r="AA27" i="105" s="1"/>
  <c r="AH7" i="105"/>
  <c r="AA26" i="105" s="1"/>
  <c r="AH6" i="105"/>
  <c r="AA19" i="105" s="1"/>
  <c r="AI6" i="105"/>
  <c r="AA20" i="105" s="1"/>
  <c r="AD79" i="105" l="1"/>
  <c r="AD45" i="105"/>
  <c r="AD13" i="105"/>
  <c r="BP28" i="105"/>
  <c r="AX27" i="105"/>
  <c r="BH43" i="105"/>
  <c r="AX13" i="105"/>
  <c r="BP44" i="105"/>
  <c r="AW31" i="105"/>
  <c r="AW20" i="105"/>
  <c r="BP12" i="105"/>
  <c r="BP24" i="105"/>
  <c r="BP29" i="105"/>
  <c r="BQ25" i="105"/>
  <c r="BP16" i="105"/>
  <c r="BP18" i="105"/>
  <c r="BP21" i="105"/>
  <c r="BB39" i="105"/>
  <c r="BC39" i="105" s="1"/>
  <c r="AW16" i="105"/>
  <c r="BP17" i="105"/>
  <c r="AQ81" i="105"/>
  <c r="AW29" i="105"/>
  <c r="AW24" i="105"/>
  <c r="AY39" i="105"/>
  <c r="BA39" i="105" s="1"/>
  <c r="BP39" i="105"/>
  <c r="BP9" i="105"/>
  <c r="BP40" i="105"/>
  <c r="BP20" i="105"/>
  <c r="AV30" i="105"/>
  <c r="BP26" i="105"/>
  <c r="AW28" i="105"/>
  <c r="AW14" i="105"/>
  <c r="AW19" i="105"/>
  <c r="CJ28" i="105"/>
  <c r="AV13" i="105"/>
  <c r="AW17" i="105"/>
  <c r="BP23" i="105"/>
  <c r="AW15" i="105"/>
  <c r="AW26" i="105"/>
  <c r="AW10" i="105"/>
  <c r="AY38" i="105"/>
  <c r="BP11" i="105"/>
  <c r="BP13" i="105"/>
  <c r="CK13" i="105"/>
  <c r="CK23" i="105"/>
  <c r="CK9" i="105"/>
  <c r="BP31" i="105"/>
  <c r="BQ24" i="105"/>
  <c r="BW41" i="105"/>
  <c r="BY41" i="105" s="1"/>
  <c r="BP41" i="105"/>
  <c r="BM97" i="105"/>
  <c r="BN97" i="105" s="1"/>
  <c r="AV27" i="105"/>
  <c r="AX15" i="105"/>
  <c r="AV10" i="105"/>
  <c r="AX38" i="105"/>
  <c r="AV25" i="105"/>
  <c r="AV12" i="105"/>
  <c r="AW8" i="105"/>
  <c r="AW12" i="105"/>
  <c r="AW23" i="105"/>
  <c r="AV28" i="105"/>
  <c r="AW22" i="105"/>
  <c r="AV18" i="105"/>
  <c r="BB38" i="105"/>
  <c r="BE39" i="105"/>
  <c r="AV42" i="105"/>
  <c r="AV41" i="105"/>
  <c r="AQ98" i="105" s="1"/>
  <c r="AR98" i="105" s="1"/>
  <c r="AV16" i="105"/>
  <c r="AX17" i="105"/>
  <c r="AW9" i="105"/>
  <c r="AX43" i="105"/>
  <c r="AX42" i="105"/>
  <c r="AV24" i="105"/>
  <c r="AW13" i="105"/>
  <c r="AV23" i="105"/>
  <c r="AV9" i="105"/>
  <c r="BH39" i="105"/>
  <c r="BJ39" i="105" s="1"/>
  <c r="AV15" i="105"/>
  <c r="AW25" i="105"/>
  <c r="AW30" i="105"/>
  <c r="AW21" i="105"/>
  <c r="AX40" i="105"/>
  <c r="AX18" i="105"/>
  <c r="AW18" i="105"/>
  <c r="AW27" i="105"/>
  <c r="AV17" i="105"/>
  <c r="AV19" i="105"/>
  <c r="AX12" i="105"/>
  <c r="AV22" i="105"/>
  <c r="AV40" i="105"/>
  <c r="AQ79" i="105"/>
  <c r="AR79" i="105" s="1"/>
  <c r="AX26" i="105"/>
  <c r="AV14" i="105"/>
  <c r="AX24" i="105"/>
  <c r="AX21" i="105"/>
  <c r="AX23" i="105"/>
  <c r="AX28" i="105"/>
  <c r="AX10" i="105"/>
  <c r="AX16" i="105"/>
  <c r="AX31" i="105"/>
  <c r="AX25" i="105"/>
  <c r="AX19" i="105"/>
  <c r="AX30" i="105"/>
  <c r="AX9" i="105"/>
  <c r="AX11" i="105"/>
  <c r="AX8" i="105"/>
  <c r="BE38" i="105"/>
  <c r="BF38" i="105" s="1"/>
  <c r="AX20" i="105"/>
  <c r="BH38" i="105"/>
  <c r="BJ38" i="105" s="1"/>
  <c r="AX22" i="105"/>
  <c r="AX14" i="105"/>
  <c r="AX29" i="105"/>
  <c r="CJ21" i="105"/>
  <c r="CG97" i="105"/>
  <c r="CH97" i="105" s="1"/>
  <c r="CP44" i="105"/>
  <c r="CQ44" i="105" s="1"/>
  <c r="CK10" i="105"/>
  <c r="CK14" i="105"/>
  <c r="CK19" i="105"/>
  <c r="CJ15" i="105"/>
  <c r="CK17" i="105"/>
  <c r="CR44" i="105"/>
  <c r="CU44" i="105"/>
  <c r="CK12" i="105"/>
  <c r="CK24" i="105"/>
  <c r="CJ24" i="105"/>
  <c r="CJ19" i="105"/>
  <c r="CK21" i="105"/>
  <c r="CK16" i="105"/>
  <c r="CK11" i="105"/>
  <c r="AQ89" i="105"/>
  <c r="AR89" i="105" s="1"/>
  <c r="CJ17" i="105"/>
  <c r="CJ29" i="105"/>
  <c r="CK30" i="105"/>
  <c r="CJ18" i="105"/>
  <c r="CJ23" i="105"/>
  <c r="CJ30" i="105"/>
  <c r="CJ9" i="105"/>
  <c r="BU41" i="105"/>
  <c r="BV41" i="105"/>
  <c r="CY39" i="105"/>
  <c r="DA39" i="105" s="1"/>
  <c r="CT44" i="105"/>
  <c r="CS38" i="105"/>
  <c r="CU38" i="105" s="1"/>
  <c r="CJ8" i="105"/>
  <c r="CP38" i="105"/>
  <c r="CR38" i="105" s="1"/>
  <c r="CJ10" i="105"/>
  <c r="CV41" i="105"/>
  <c r="CX41" i="105" s="1"/>
  <c r="CY41" i="105"/>
  <c r="DA41" i="105" s="1"/>
  <c r="CJ16" i="105"/>
  <c r="CP39" i="105"/>
  <c r="CR39" i="105" s="1"/>
  <c r="CS39" i="105"/>
  <c r="CU39" i="105" s="1"/>
  <c r="CS41" i="105"/>
  <c r="CU41" i="105" s="1"/>
  <c r="CP41" i="105"/>
  <c r="CR41" i="105" s="1"/>
  <c r="CJ20" i="105"/>
  <c r="BP15" i="105"/>
  <c r="CV40" i="105"/>
  <c r="CX40" i="105" s="1"/>
  <c r="CY40" i="105"/>
  <c r="DA40" i="105" s="1"/>
  <c r="CK22" i="105"/>
  <c r="CG78" i="105"/>
  <c r="CH78" i="105" s="1"/>
  <c r="CS43" i="105"/>
  <c r="CU43" i="105" s="1"/>
  <c r="CJ27" i="105"/>
  <c r="CP43" i="105"/>
  <c r="CR43" i="105" s="1"/>
  <c r="CJ13" i="105"/>
  <c r="CV38" i="105"/>
  <c r="CX38" i="105" s="1"/>
  <c r="CK8" i="105"/>
  <c r="CY38" i="105"/>
  <c r="DA38" i="105" s="1"/>
  <c r="CP42" i="105"/>
  <c r="CR42" i="105" s="1"/>
  <c r="CS42" i="105"/>
  <c r="CU42" i="105" s="1"/>
  <c r="BX44" i="105"/>
  <c r="BY44" i="105"/>
  <c r="CY43" i="105"/>
  <c r="DA43" i="105" s="1"/>
  <c r="CK27" i="105"/>
  <c r="CV43" i="105"/>
  <c r="CX43" i="105" s="1"/>
  <c r="CJ12" i="105"/>
  <c r="CJ22" i="105"/>
  <c r="CP40" i="105"/>
  <c r="CR40" i="105" s="1"/>
  <c r="CS40" i="105"/>
  <c r="CU40" i="105" s="1"/>
  <c r="CY42" i="105"/>
  <c r="DA42" i="105" s="1"/>
  <c r="CV42" i="105"/>
  <c r="CX42" i="105" s="1"/>
  <c r="CV44" i="105"/>
  <c r="CX44" i="105" s="1"/>
  <c r="CY44" i="105"/>
  <c r="DA44" i="105" s="1"/>
  <c r="CJ14" i="105"/>
  <c r="CK18" i="105"/>
  <c r="BP25" i="105"/>
  <c r="CJ11" i="105"/>
  <c r="BT44" i="105"/>
  <c r="CV39" i="105"/>
  <c r="CX39" i="105" s="1"/>
  <c r="BQ18" i="105"/>
  <c r="BQ21" i="105"/>
  <c r="BQ44" i="105"/>
  <c r="BQ20" i="105"/>
  <c r="BQ30" i="105"/>
  <c r="BS41" i="105"/>
  <c r="BZ38" i="105"/>
  <c r="CA38" i="105" s="1"/>
  <c r="BR31" i="105"/>
  <c r="BQ11" i="105"/>
  <c r="CC38" i="105"/>
  <c r="BR11" i="105"/>
  <c r="BS40" i="105"/>
  <c r="BZ43" i="105"/>
  <c r="CA43" i="105" s="1"/>
  <c r="CC43" i="105"/>
  <c r="CD43" i="105" s="1"/>
  <c r="CC41" i="105"/>
  <c r="CD41" i="105" s="1"/>
  <c r="BZ41" i="105"/>
  <c r="CA41" i="105" s="1"/>
  <c r="BT39" i="105"/>
  <c r="BW39" i="105"/>
  <c r="BZ39" i="105"/>
  <c r="CA39" i="105" s="1"/>
  <c r="CC39" i="105"/>
  <c r="CD39" i="105" s="1"/>
  <c r="BP8" i="105"/>
  <c r="BW40" i="105"/>
  <c r="BT40" i="105"/>
  <c r="CC40" i="105"/>
  <c r="CD40" i="105" s="1"/>
  <c r="BZ40" i="105"/>
  <c r="CA40" i="105" s="1"/>
  <c r="BW42" i="105"/>
  <c r="BT42" i="105"/>
  <c r="BS38" i="105"/>
  <c r="BW38" i="105"/>
  <c r="BT38" i="105"/>
  <c r="BS43" i="105"/>
  <c r="BS39" i="105"/>
  <c r="BQ26" i="105"/>
  <c r="CC42" i="105"/>
  <c r="CD42" i="105" s="1"/>
  <c r="BZ42" i="105"/>
  <c r="CA42" i="105" s="1"/>
  <c r="BP38" i="105"/>
  <c r="BM78" i="105"/>
  <c r="BN78" i="105" s="1"/>
  <c r="BS31" i="105"/>
  <c r="CC44" i="105"/>
  <c r="CD44" i="105" s="1"/>
  <c r="BZ44" i="105"/>
  <c r="CA44" i="105" s="1"/>
  <c r="BT43" i="105"/>
  <c r="BW43" i="105"/>
  <c r="BP27" i="105"/>
  <c r="BQ12" i="105"/>
  <c r="BS44" i="105"/>
  <c r="BR42" i="105"/>
  <c r="AX41" i="105"/>
  <c r="AQ100" i="105" s="1"/>
  <c r="BR40" i="105"/>
  <c r="BR18" i="105"/>
  <c r="BR20" i="105"/>
  <c r="BS42" i="105"/>
  <c r="BR41" i="105"/>
  <c r="BR16" i="105"/>
  <c r="BR14" i="105"/>
  <c r="BR25" i="105"/>
  <c r="BR28" i="105"/>
  <c r="BR43" i="105"/>
  <c r="AV39" i="105"/>
  <c r="AX44" i="105"/>
  <c r="CO19" i="105"/>
  <c r="BR30" i="105"/>
  <c r="BR13" i="105"/>
  <c r="BQ22" i="105"/>
  <c r="BQ13" i="105"/>
  <c r="BR9" i="105"/>
  <c r="BR10" i="105"/>
  <c r="BR29" i="105"/>
  <c r="BQ41" i="105"/>
  <c r="BQ40" i="105"/>
  <c r="BP22" i="105"/>
  <c r="BQ31" i="105"/>
  <c r="BS15" i="105"/>
  <c r="BR15" i="105"/>
  <c r="BR22" i="105"/>
  <c r="BR23" i="105"/>
  <c r="BR27" i="105"/>
  <c r="BR17" i="105"/>
  <c r="CN41" i="105"/>
  <c r="BR19" i="105"/>
  <c r="BR39" i="105"/>
  <c r="BP43" i="105"/>
  <c r="BR24" i="105"/>
  <c r="BQ10" i="105"/>
  <c r="CN14" i="105"/>
  <c r="BQ39" i="105"/>
  <c r="CN17" i="105"/>
  <c r="BP30" i="105"/>
  <c r="BQ14" i="105"/>
  <c r="BR21" i="105"/>
  <c r="BR8" i="105"/>
  <c r="BP14" i="105"/>
  <c r="BQ8" i="105"/>
  <c r="BQ9" i="105"/>
  <c r="BQ28" i="105"/>
  <c r="BQ15" i="105"/>
  <c r="BS10" i="105"/>
  <c r="BS22" i="105"/>
  <c r="BR12" i="105"/>
  <c r="BQ17" i="105"/>
  <c r="BQ29" i="105"/>
  <c r="BQ43" i="105"/>
  <c r="BQ27" i="105"/>
  <c r="BS11" i="105"/>
  <c r="BQ23" i="105"/>
  <c r="BR38" i="105"/>
  <c r="BR26" i="105"/>
  <c r="BR44" i="105"/>
  <c r="BQ38" i="105"/>
  <c r="BQ42" i="105"/>
  <c r="BQ16" i="105"/>
  <c r="BA44" i="105"/>
  <c r="AZ44" i="105"/>
  <c r="BA41" i="105"/>
  <c r="AZ41" i="105"/>
  <c r="BG41" i="105"/>
  <c r="BF41" i="105"/>
  <c r="BG42" i="105"/>
  <c r="BF42" i="105"/>
  <c r="BD44" i="105"/>
  <c r="BC44" i="105"/>
  <c r="BD41" i="105"/>
  <c r="BC41" i="105"/>
  <c r="BI41" i="105"/>
  <c r="BJ41" i="105"/>
  <c r="BI42" i="105"/>
  <c r="BJ42" i="105"/>
  <c r="BG40" i="105"/>
  <c r="BF40" i="105"/>
  <c r="BA40" i="105"/>
  <c r="AZ40" i="105"/>
  <c r="BA42" i="105"/>
  <c r="AZ42" i="105"/>
  <c r="BG39" i="105"/>
  <c r="BF39" i="105"/>
  <c r="BJ40" i="105"/>
  <c r="BI40" i="105"/>
  <c r="BC40" i="105"/>
  <c r="BD40" i="105"/>
  <c r="BD42" i="105"/>
  <c r="BC42" i="105"/>
  <c r="BG44" i="105"/>
  <c r="BF44" i="105"/>
  <c r="AQ104" i="105"/>
  <c r="AR104" i="105" s="1"/>
  <c r="BG43" i="105"/>
  <c r="BF43" i="105"/>
  <c r="BA43" i="105"/>
  <c r="AZ43" i="105"/>
  <c r="BJ44" i="105"/>
  <c r="BI44" i="105"/>
  <c r="AQ108" i="105"/>
  <c r="AR108" i="105" s="1"/>
  <c r="BI43" i="105"/>
  <c r="BJ43" i="105"/>
  <c r="BD43" i="105"/>
  <c r="BC43" i="105"/>
  <c r="CL43" i="105"/>
  <c r="CL9" i="105"/>
  <c r="CN30" i="105"/>
  <c r="CL40" i="105"/>
  <c r="BQ19" i="105"/>
  <c r="BS16" i="105"/>
  <c r="BS8" i="105"/>
  <c r="CM17" i="105"/>
  <c r="CM29" i="105"/>
  <c r="BS14" i="105"/>
  <c r="BS20" i="105"/>
  <c r="BS18" i="105"/>
  <c r="BS28" i="105"/>
  <c r="BS21" i="105"/>
  <c r="BS30" i="105"/>
  <c r="BS13" i="105"/>
  <c r="BS27" i="105"/>
  <c r="BS12" i="105"/>
  <c r="BS29" i="105"/>
  <c r="BS9" i="105"/>
  <c r="BS25" i="105"/>
  <c r="BS17" i="105"/>
  <c r="BS23" i="105"/>
  <c r="BS19" i="105"/>
  <c r="BS26" i="105"/>
  <c r="BS24" i="105"/>
  <c r="CL44" i="105"/>
  <c r="CL31" i="105"/>
  <c r="CM42" i="105"/>
  <c r="CO39" i="105"/>
  <c r="CK40" i="105"/>
  <c r="CM41" i="105"/>
  <c r="CO38" i="105"/>
  <c r="CL38" i="105"/>
  <c r="CO20" i="105"/>
  <c r="CO12" i="105"/>
  <c r="CN40" i="105"/>
  <c r="CN16" i="105"/>
  <c r="CM39" i="105"/>
  <c r="CO44" i="105"/>
  <c r="CK41" i="105"/>
  <c r="CJ39" i="105"/>
  <c r="CO41" i="105"/>
  <c r="CM38" i="105"/>
  <c r="CO17" i="105"/>
  <c r="CO13" i="105"/>
  <c r="CL41" i="105"/>
  <c r="CK31" i="105"/>
  <c r="CM44" i="105"/>
  <c r="CO18" i="105"/>
  <c r="CK38" i="105"/>
  <c r="CO40" i="105"/>
  <c r="CO23" i="105"/>
  <c r="CO43" i="105"/>
  <c r="CO26" i="105"/>
  <c r="CO16" i="105"/>
  <c r="CO31" i="105"/>
  <c r="CO21" i="105"/>
  <c r="CL20" i="105"/>
  <c r="CO15" i="105"/>
  <c r="CO30" i="105"/>
  <c r="CJ25" i="105"/>
  <c r="CO11" i="105"/>
  <c r="CK42" i="105"/>
  <c r="CM12" i="105"/>
  <c r="CM8" i="105"/>
  <c r="CM22" i="105"/>
  <c r="CM43" i="105"/>
  <c r="CN18" i="105"/>
  <c r="CM26" i="105"/>
  <c r="CK25" i="105"/>
  <c r="CL25" i="105"/>
  <c r="CL42" i="105"/>
  <c r="CO27" i="105"/>
  <c r="CK39" i="105"/>
  <c r="CL18" i="105"/>
  <c r="CM23" i="105"/>
  <c r="CM24" i="105"/>
  <c r="CL28" i="105"/>
  <c r="CM31" i="105"/>
  <c r="CO10" i="105"/>
  <c r="CO42" i="105"/>
  <c r="CM40" i="105"/>
  <c r="CO8" i="105"/>
  <c r="CO22" i="105"/>
  <c r="CO28" i="105"/>
  <c r="CL39" i="105"/>
  <c r="CK26" i="105"/>
  <c r="CO25" i="105"/>
  <c r="CO24" i="105"/>
  <c r="CN28" i="105"/>
  <c r="CK43" i="105"/>
  <c r="CL12" i="105"/>
  <c r="CN31" i="105"/>
  <c r="CL13" i="105"/>
  <c r="CO29" i="105"/>
  <c r="CN25" i="105"/>
  <c r="CM27" i="105"/>
  <c r="CL23" i="105"/>
  <c r="CL24" i="105"/>
  <c r="CN39" i="105"/>
  <c r="CL14" i="105"/>
  <c r="CN9" i="105"/>
  <c r="CN43" i="105"/>
  <c r="CL15" i="105"/>
  <c r="CL11" i="105"/>
  <c r="CN12" i="105"/>
  <c r="CN26" i="105"/>
  <c r="CM30" i="105"/>
  <c r="CM13" i="105"/>
  <c r="CM14" i="105"/>
  <c r="CM28" i="105"/>
  <c r="CL27" i="105"/>
  <c r="CJ31" i="105"/>
  <c r="CN23" i="105"/>
  <c r="CN24" i="105"/>
  <c r="CN13" i="105"/>
  <c r="CL8" i="105"/>
  <c r="CL19" i="105"/>
  <c r="CM16" i="105"/>
  <c r="CL29" i="105"/>
  <c r="CM15" i="105"/>
  <c r="CN42" i="105"/>
  <c r="CN15" i="105"/>
  <c r="CJ42" i="105"/>
  <c r="BA38" i="105"/>
  <c r="AZ38" i="105"/>
  <c r="AQ84" i="105" s="1"/>
  <c r="AQ85" i="105"/>
  <c r="AR85" i="105" s="1"/>
  <c r="CJ44" i="105"/>
  <c r="CJ38" i="105"/>
  <c r="BC38" i="105"/>
  <c r="BD38" i="105"/>
  <c r="CK44" i="105"/>
  <c r="CN11" i="105"/>
  <c r="CL26" i="105"/>
  <c r="CO14" i="105"/>
  <c r="CM20" i="105"/>
  <c r="CN29" i="105"/>
  <c r="CL10" i="105"/>
  <c r="CJ26" i="105"/>
  <c r="CN21" i="105"/>
  <c r="CM19" i="105"/>
  <c r="CM9" i="105"/>
  <c r="CL22" i="105"/>
  <c r="CN8" i="105"/>
  <c r="CM21" i="105"/>
  <c r="CM10" i="105"/>
  <c r="CM18" i="105"/>
  <c r="CN20" i="105"/>
  <c r="CJ43" i="105"/>
  <c r="CJ41" i="105"/>
  <c r="CL21" i="105"/>
  <c r="CN44" i="105"/>
  <c r="CN27" i="105"/>
  <c r="CN19" i="105"/>
  <c r="CN10" i="105"/>
  <c r="CM11" i="105"/>
  <c r="CL17" i="105"/>
  <c r="CN38" i="105"/>
  <c r="CO9" i="105"/>
  <c r="CN22" i="105"/>
  <c r="CM25" i="105"/>
  <c r="CL30" i="105"/>
  <c r="CL16" i="105"/>
  <c r="CJ40" i="105"/>
  <c r="AV88" i="105" l="1"/>
  <c r="BD39" i="105"/>
  <c r="BI39" i="105"/>
  <c r="BM100" i="105"/>
  <c r="BX41" i="105"/>
  <c r="BI38" i="105"/>
  <c r="AQ90" i="105"/>
  <c r="AR90" i="105" s="1"/>
  <c r="AZ39" i="105"/>
  <c r="BG38" i="105"/>
  <c r="AQ105" i="105" s="1"/>
  <c r="AR105" i="105" s="1"/>
  <c r="BM81" i="105"/>
  <c r="CG79" i="105"/>
  <c r="CH79" i="105" s="1"/>
  <c r="CB38" i="105"/>
  <c r="BM79" i="105"/>
  <c r="BN79" i="105" s="1"/>
  <c r="BM98" i="105"/>
  <c r="BN98" i="105" s="1"/>
  <c r="BM108" i="105"/>
  <c r="BN108" i="105" s="1"/>
  <c r="BM104" i="105"/>
  <c r="BN104" i="105" s="1"/>
  <c r="BM103" i="105"/>
  <c r="AQ107" i="105"/>
  <c r="AV107" i="105"/>
  <c r="AQ103" i="105"/>
  <c r="CG100" i="105"/>
  <c r="AQ109" i="105"/>
  <c r="AR109" i="105" s="1"/>
  <c r="AQ88" i="105"/>
  <c r="CG98" i="105"/>
  <c r="CH98" i="105" s="1"/>
  <c r="BU43" i="105"/>
  <c r="BV43" i="105"/>
  <c r="BY38" i="105"/>
  <c r="BM90" i="105" s="1"/>
  <c r="BN90" i="105" s="1"/>
  <c r="BX38" i="105"/>
  <c r="BM89" i="105"/>
  <c r="BN89" i="105" s="1"/>
  <c r="BV40" i="105"/>
  <c r="BU40" i="105"/>
  <c r="BV39" i="105"/>
  <c r="BU39" i="105"/>
  <c r="BV44" i="105"/>
  <c r="BU44" i="105"/>
  <c r="CW44" i="105"/>
  <c r="CG109" i="105"/>
  <c r="CH109" i="105" s="1"/>
  <c r="CZ38" i="105"/>
  <c r="CG108" i="105"/>
  <c r="CH108" i="105" s="1"/>
  <c r="CT43" i="105"/>
  <c r="CQ39" i="105"/>
  <c r="CZ39" i="105"/>
  <c r="BX40" i="105"/>
  <c r="BY40" i="105"/>
  <c r="CW42" i="105"/>
  <c r="CZ43" i="105"/>
  <c r="CQ38" i="105"/>
  <c r="CG85" i="105"/>
  <c r="CH85" i="105" s="1"/>
  <c r="BV42" i="105"/>
  <c r="BU42" i="105"/>
  <c r="CZ42" i="105"/>
  <c r="CW38" i="105"/>
  <c r="CG104" i="105"/>
  <c r="CH104" i="105" s="1"/>
  <c r="CZ41" i="105"/>
  <c r="BY42" i="105"/>
  <c r="BX42" i="105"/>
  <c r="CW39" i="105"/>
  <c r="CT40" i="105"/>
  <c r="CQ41" i="105"/>
  <c r="CW41" i="105"/>
  <c r="CT38" i="105"/>
  <c r="CG89" i="105"/>
  <c r="CH89" i="105" s="1"/>
  <c r="BM107" i="105"/>
  <c r="CD38" i="105"/>
  <c r="CQ40" i="105"/>
  <c r="CT42" i="105"/>
  <c r="CQ43" i="105"/>
  <c r="CZ40" i="105"/>
  <c r="CT41" i="105"/>
  <c r="CG81" i="105"/>
  <c r="BX43" i="105"/>
  <c r="BY43" i="105"/>
  <c r="BV38" i="105"/>
  <c r="BU38" i="105"/>
  <c r="BM84" i="105" s="1"/>
  <c r="BM85" i="105"/>
  <c r="BN85" i="105" s="1"/>
  <c r="BX39" i="105"/>
  <c r="BY39" i="105"/>
  <c r="CZ44" i="105"/>
  <c r="CW43" i="105"/>
  <c r="CQ42" i="105"/>
  <c r="CW40" i="105"/>
  <c r="CT39" i="105"/>
  <c r="CE38" i="105"/>
  <c r="CB43" i="105"/>
  <c r="CE44" i="105"/>
  <c r="CB41" i="105"/>
  <c r="CE41" i="105"/>
  <c r="CE39" i="105"/>
  <c r="CE43" i="105"/>
  <c r="CB42" i="105"/>
  <c r="CB40" i="105"/>
  <c r="CB39" i="105"/>
  <c r="CB44" i="105"/>
  <c r="CE42" i="105"/>
  <c r="CE40" i="105"/>
  <c r="AQ86" i="105"/>
  <c r="AR86" i="105" s="1"/>
  <c r="CL88" i="105" l="1"/>
  <c r="BR88" i="105"/>
  <c r="BR107" i="105"/>
  <c r="BM88" i="105"/>
  <c r="CG84" i="105"/>
  <c r="CG103" i="105"/>
  <c r="BM109" i="105"/>
  <c r="BN109" i="105" s="1"/>
  <c r="CL107" i="105"/>
  <c r="AV100" i="105"/>
  <c r="AW112" i="105" s="1"/>
  <c r="AV82" i="105"/>
  <c r="AW92" i="105" s="1"/>
  <c r="CG90" i="105"/>
  <c r="CH90" i="105" s="1"/>
  <c r="CG88" i="105"/>
  <c r="CG107" i="105"/>
  <c r="CG105" i="105"/>
  <c r="CH105" i="105" s="1"/>
  <c r="CG86" i="105"/>
  <c r="CH86" i="105" s="1"/>
  <c r="BM86" i="105"/>
  <c r="BN86" i="105" s="1"/>
  <c r="BR82" i="105" s="1"/>
  <c r="BM105" i="105"/>
  <c r="BN105" i="105" s="1"/>
  <c r="CL100" i="105" l="1"/>
  <c r="CM112" i="105" s="1"/>
  <c r="CL82" i="105"/>
  <c r="CM92" i="105" s="1"/>
  <c r="BR100" i="105"/>
  <c r="BS92" i="105"/>
  <c r="BS112" i="105" l="1"/>
  <c r="Y92" i="74"/>
  <c r="R92" i="74"/>
  <c r="AQ4" i="94"/>
  <c r="AP4" i="94"/>
  <c r="AO4" i="94"/>
  <c r="AN4" i="94"/>
  <c r="AM4" i="94"/>
  <c r="AL4" i="94"/>
  <c r="AK4" i="94"/>
  <c r="AJ4" i="94"/>
  <c r="AI4" i="94"/>
  <c r="AH4" i="94"/>
  <c r="AG4" i="94"/>
  <c r="O10" i="35" l="1"/>
  <c r="N10" i="35"/>
  <c r="P10" i="35" s="1"/>
  <c r="O9" i="35"/>
  <c r="N9" i="35"/>
  <c r="O8" i="35"/>
  <c r="N8" i="35"/>
  <c r="P8" i="35" s="1"/>
  <c r="O7" i="35"/>
  <c r="N7" i="35"/>
  <c r="P7" i="35" s="1"/>
  <c r="O6" i="35"/>
  <c r="N6" i="35"/>
  <c r="O10" i="55"/>
  <c r="N10" i="55"/>
  <c r="O9" i="55"/>
  <c r="P9" i="55" s="1"/>
  <c r="N9" i="55"/>
  <c r="O8" i="55"/>
  <c r="N8" i="55"/>
  <c r="O7" i="55"/>
  <c r="N7" i="55"/>
  <c r="O6" i="55"/>
  <c r="P6" i="55" s="1"/>
  <c r="N6" i="55"/>
  <c r="N7" i="5"/>
  <c r="P7" i="5" s="1"/>
  <c r="O7" i="5"/>
  <c r="N8" i="5"/>
  <c r="O8" i="5"/>
  <c r="N9" i="5"/>
  <c r="P9" i="5" s="1"/>
  <c r="O9" i="5"/>
  <c r="N10" i="5"/>
  <c r="P10" i="5" s="1"/>
  <c r="O10" i="5"/>
  <c r="O6" i="5"/>
  <c r="N6" i="5"/>
  <c r="M6" i="41"/>
  <c r="N21" i="43"/>
  <c r="N20" i="43"/>
  <c r="O19" i="43"/>
  <c r="P20" i="43" s="1"/>
  <c r="M20" i="48"/>
  <c r="N19" i="48"/>
  <c r="M19" i="48"/>
  <c r="O19" i="48" s="1"/>
  <c r="M18" i="48"/>
  <c r="P6" i="56"/>
  <c r="O6" i="56"/>
  <c r="O24" i="56"/>
  <c r="P24" i="56" s="1"/>
  <c r="O30" i="34"/>
  <c r="O11" i="34"/>
  <c r="O12" i="34"/>
  <c r="O13" i="34"/>
  <c r="O14" i="34"/>
  <c r="O15" i="34"/>
  <c r="O16" i="34"/>
  <c r="O17" i="34"/>
  <c r="O18" i="34"/>
  <c r="O19" i="34"/>
  <c r="O20" i="34"/>
  <c r="O21" i="34"/>
  <c r="O22" i="34"/>
  <c r="O23" i="34"/>
  <c r="O24" i="34"/>
  <c r="O25" i="34"/>
  <c r="O26" i="34"/>
  <c r="O27" i="34"/>
  <c r="O28" i="34"/>
  <c r="O29" i="34"/>
  <c r="O9" i="34"/>
  <c r="O7" i="34"/>
  <c r="O8" i="34"/>
  <c r="O10" i="34"/>
  <c r="O6" i="34"/>
  <c r="Y31" i="2"/>
  <c r="X31" i="2"/>
  <c r="W31" i="2"/>
  <c r="V31" i="2"/>
  <c r="U31" i="2"/>
  <c r="T31" i="2"/>
  <c r="S31" i="2"/>
  <c r="R31" i="2"/>
  <c r="Q31" i="2"/>
  <c r="P31" i="2"/>
  <c r="O31" i="2"/>
  <c r="Y28" i="2"/>
  <c r="X28" i="2"/>
  <c r="W28" i="2"/>
  <c r="V28" i="2"/>
  <c r="U28" i="2"/>
  <c r="T28" i="2"/>
  <c r="S28" i="2"/>
  <c r="R28" i="2"/>
  <c r="Q28" i="2"/>
  <c r="P28" i="2"/>
  <c r="O28" i="2"/>
  <c r="Y25" i="2"/>
  <c r="X25" i="2"/>
  <c r="W25" i="2"/>
  <c r="V25" i="2"/>
  <c r="U25" i="2"/>
  <c r="T25" i="2"/>
  <c r="S25" i="2"/>
  <c r="R25" i="2"/>
  <c r="Q25" i="2"/>
  <c r="P25" i="2"/>
  <c r="O25" i="2"/>
  <c r="Y22" i="2"/>
  <c r="X22" i="2"/>
  <c r="W22" i="2"/>
  <c r="V22" i="2"/>
  <c r="U22" i="2"/>
  <c r="T22" i="2"/>
  <c r="S22" i="2"/>
  <c r="R22" i="2"/>
  <c r="Q22" i="2"/>
  <c r="P22" i="2"/>
  <c r="O22" i="2"/>
  <c r="Y19" i="2"/>
  <c r="X19" i="2"/>
  <c r="W19" i="2"/>
  <c r="V19" i="2"/>
  <c r="U19" i="2"/>
  <c r="T19" i="2"/>
  <c r="S19" i="2"/>
  <c r="R19" i="2"/>
  <c r="Q19" i="2"/>
  <c r="P19" i="2"/>
  <c r="O19" i="2"/>
  <c r="Y16" i="2"/>
  <c r="X16" i="2"/>
  <c r="W16" i="2"/>
  <c r="V16" i="2"/>
  <c r="U16" i="2"/>
  <c r="T16" i="2"/>
  <c r="S16" i="2"/>
  <c r="R16" i="2"/>
  <c r="Q16" i="2"/>
  <c r="P16" i="2"/>
  <c r="O16" i="2"/>
  <c r="Y13" i="2"/>
  <c r="X13" i="2"/>
  <c r="W13" i="2"/>
  <c r="V13" i="2"/>
  <c r="U13" i="2"/>
  <c r="T13" i="2"/>
  <c r="S13" i="2"/>
  <c r="R13" i="2"/>
  <c r="Q13" i="2"/>
  <c r="P13" i="2"/>
  <c r="O13" i="2"/>
  <c r="Y10" i="2"/>
  <c r="X10" i="2"/>
  <c r="W10" i="2"/>
  <c r="V10" i="2"/>
  <c r="U10" i="2"/>
  <c r="T10" i="2"/>
  <c r="S10" i="2"/>
  <c r="R10" i="2"/>
  <c r="Q10" i="2"/>
  <c r="P10" i="2"/>
  <c r="O10" i="2"/>
  <c r="P7" i="2"/>
  <c r="Q7" i="2"/>
  <c r="R7" i="2"/>
  <c r="S7" i="2"/>
  <c r="T7" i="2"/>
  <c r="U7" i="2"/>
  <c r="V7" i="2"/>
  <c r="W7" i="2"/>
  <c r="X7" i="2"/>
  <c r="Y7" i="2"/>
  <c r="O7" i="2"/>
  <c r="P5" i="2"/>
  <c r="Q5" i="2"/>
  <c r="R5" i="2"/>
  <c r="S5" i="2"/>
  <c r="T5" i="2"/>
  <c r="U5" i="2"/>
  <c r="V5" i="2"/>
  <c r="W5" i="2"/>
  <c r="X5" i="2"/>
  <c r="Y5" i="2"/>
  <c r="P8" i="2"/>
  <c r="Q8" i="2"/>
  <c r="R8" i="2"/>
  <c r="S8" i="2"/>
  <c r="T8" i="2"/>
  <c r="U8" i="2"/>
  <c r="V8" i="2"/>
  <c r="W8" i="2"/>
  <c r="X8" i="2"/>
  <c r="Y8" i="2"/>
  <c r="P11" i="2"/>
  <c r="Q11" i="2"/>
  <c r="R11" i="2"/>
  <c r="S11" i="2"/>
  <c r="T11" i="2"/>
  <c r="U11" i="2"/>
  <c r="V11" i="2"/>
  <c r="W11" i="2"/>
  <c r="X11" i="2"/>
  <c r="Y11" i="2"/>
  <c r="P14" i="2"/>
  <c r="Q14" i="2"/>
  <c r="R14" i="2"/>
  <c r="S14" i="2"/>
  <c r="T14" i="2"/>
  <c r="U14" i="2"/>
  <c r="V14" i="2"/>
  <c r="W14" i="2"/>
  <c r="X14" i="2"/>
  <c r="Y14" i="2"/>
  <c r="P17" i="2"/>
  <c r="Q17" i="2"/>
  <c r="R17" i="2"/>
  <c r="S17" i="2"/>
  <c r="T17" i="2"/>
  <c r="U17" i="2"/>
  <c r="V17" i="2"/>
  <c r="W17" i="2"/>
  <c r="X17" i="2"/>
  <c r="Y17" i="2"/>
  <c r="P20" i="2"/>
  <c r="Q20" i="2"/>
  <c r="R20" i="2"/>
  <c r="Z20" i="2" s="1"/>
  <c r="S20" i="2"/>
  <c r="T20" i="2"/>
  <c r="U20" i="2"/>
  <c r="V20" i="2"/>
  <c r="W20" i="2"/>
  <c r="X20" i="2"/>
  <c r="Y20" i="2"/>
  <c r="P23" i="2"/>
  <c r="Q23" i="2"/>
  <c r="R23" i="2"/>
  <c r="S23" i="2"/>
  <c r="T23" i="2"/>
  <c r="U23" i="2"/>
  <c r="V23" i="2"/>
  <c r="W23" i="2"/>
  <c r="X23" i="2"/>
  <c r="Y23" i="2"/>
  <c r="P26" i="2"/>
  <c r="Q26" i="2"/>
  <c r="R26" i="2"/>
  <c r="S26" i="2"/>
  <c r="T26" i="2"/>
  <c r="U26" i="2"/>
  <c r="V26" i="2"/>
  <c r="W26" i="2"/>
  <c r="X26" i="2"/>
  <c r="Y26" i="2"/>
  <c r="P29" i="2"/>
  <c r="Q29" i="2"/>
  <c r="R29" i="2"/>
  <c r="S29" i="2"/>
  <c r="T29" i="2"/>
  <c r="U29" i="2"/>
  <c r="V29" i="2"/>
  <c r="W29" i="2"/>
  <c r="X29" i="2"/>
  <c r="Y29" i="2"/>
  <c r="O29" i="2"/>
  <c r="O26" i="2"/>
  <c r="O23" i="2"/>
  <c r="O20" i="2"/>
  <c r="O17" i="2"/>
  <c r="O14" i="2"/>
  <c r="O11" i="2"/>
  <c r="O8" i="2"/>
  <c r="O5" i="2"/>
  <c r="P4" i="2"/>
  <c r="Q4" i="2"/>
  <c r="R4" i="2"/>
  <c r="S4" i="2"/>
  <c r="T4" i="2"/>
  <c r="U4" i="2"/>
  <c r="V4" i="2"/>
  <c r="W4" i="2"/>
  <c r="X4" i="2"/>
  <c r="Y4" i="2"/>
  <c r="O4" i="2"/>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AV4" i="16"/>
  <c r="AU4" i="16"/>
  <c r="AT4" i="16"/>
  <c r="AS4" i="16"/>
  <c r="AR4" i="16"/>
  <c r="AQ4" i="16"/>
  <c r="AP4" i="16"/>
  <c r="AO4" i="16"/>
  <c r="AN4" i="16"/>
  <c r="AM4" i="16"/>
  <c r="AL4" i="16"/>
  <c r="AK4" i="16"/>
  <c r="AJ4" i="16"/>
  <c r="AI4" i="16"/>
  <c r="AH4" i="16"/>
  <c r="AG4" i="16"/>
  <c r="AF4" i="16"/>
  <c r="AE4" i="16"/>
  <c r="AD4" i="16"/>
  <c r="AC4" i="16"/>
  <c r="AB4" i="16"/>
  <c r="AA4" i="16"/>
  <c r="Z4" i="16"/>
  <c r="Y4" i="16"/>
  <c r="X4" i="16"/>
  <c r="W4" i="16"/>
  <c r="V4" i="16"/>
  <c r="U4" i="16"/>
  <c r="T4" i="16"/>
  <c r="S4" i="16"/>
  <c r="R4" i="16"/>
  <c r="Q4" i="16"/>
  <c r="P4" i="16"/>
  <c r="AL7" i="52"/>
  <c r="AM7" i="52"/>
  <c r="AN7" i="52"/>
  <c r="AO7" i="52"/>
  <c r="AP7" i="52"/>
  <c r="AQ7" i="52"/>
  <c r="AR7" i="52"/>
  <c r="AS7" i="52"/>
  <c r="AT7" i="52"/>
  <c r="AU7" i="52"/>
  <c r="AV7" i="52"/>
  <c r="AL8" i="52"/>
  <c r="AM8" i="52"/>
  <c r="AN8" i="52"/>
  <c r="AO8" i="52"/>
  <c r="AP8" i="52"/>
  <c r="AQ8" i="52"/>
  <c r="AR8" i="52"/>
  <c r="AS8" i="52"/>
  <c r="AT8" i="52"/>
  <c r="AU8" i="52"/>
  <c r="AV8" i="52"/>
  <c r="AL9" i="52"/>
  <c r="AM9" i="52"/>
  <c r="AN9" i="52"/>
  <c r="AO9" i="52"/>
  <c r="AP9" i="52"/>
  <c r="AQ9" i="52"/>
  <c r="AR9" i="52"/>
  <c r="AS9" i="52"/>
  <c r="AT9" i="52"/>
  <c r="AU9" i="52"/>
  <c r="AV9" i="52"/>
  <c r="AL10" i="52"/>
  <c r="AM10" i="52"/>
  <c r="AN10" i="52"/>
  <c r="AO10" i="52"/>
  <c r="AP10" i="52"/>
  <c r="AQ10" i="52"/>
  <c r="AR10" i="52"/>
  <c r="AS10" i="52"/>
  <c r="AT10" i="52"/>
  <c r="AU10" i="52"/>
  <c r="AV10" i="52"/>
  <c r="AL11" i="52"/>
  <c r="AM11" i="52"/>
  <c r="AN11" i="52"/>
  <c r="AO11" i="52"/>
  <c r="AP11" i="52"/>
  <c r="AQ11" i="52"/>
  <c r="AR11" i="52"/>
  <c r="AS11" i="52"/>
  <c r="AT11" i="52"/>
  <c r="AU11" i="52"/>
  <c r="AV11" i="52"/>
  <c r="AL12" i="52"/>
  <c r="AM12" i="52"/>
  <c r="AN12" i="52"/>
  <c r="AO12" i="52"/>
  <c r="AP12" i="52"/>
  <c r="AQ12" i="52"/>
  <c r="AR12" i="52"/>
  <c r="AS12" i="52"/>
  <c r="AT12" i="52"/>
  <c r="AU12" i="52"/>
  <c r="AV12" i="52"/>
  <c r="AL13" i="52"/>
  <c r="AM13" i="52"/>
  <c r="AN13" i="52"/>
  <c r="AO13" i="52"/>
  <c r="AP13" i="52"/>
  <c r="AQ13" i="52"/>
  <c r="AR13" i="52"/>
  <c r="AS13" i="52"/>
  <c r="AT13" i="52"/>
  <c r="AU13" i="52"/>
  <c r="AV13" i="52"/>
  <c r="AL14" i="52"/>
  <c r="AM14" i="52"/>
  <c r="AN14" i="52"/>
  <c r="AO14" i="52"/>
  <c r="AP14" i="52"/>
  <c r="AQ14" i="52"/>
  <c r="AR14" i="52"/>
  <c r="AS14" i="52"/>
  <c r="AT14" i="52"/>
  <c r="AU14" i="52"/>
  <c r="AV14" i="52"/>
  <c r="AL15" i="52"/>
  <c r="AM15" i="52"/>
  <c r="AN15" i="52"/>
  <c r="AO15" i="52"/>
  <c r="AP15" i="52"/>
  <c r="AQ15" i="52"/>
  <c r="AR15" i="52"/>
  <c r="AS15" i="52"/>
  <c r="AT15" i="52"/>
  <c r="AU15" i="52"/>
  <c r="AV15" i="52"/>
  <c r="AL16" i="52"/>
  <c r="AM16" i="52"/>
  <c r="AN16" i="52"/>
  <c r="AO16" i="52"/>
  <c r="AP16" i="52"/>
  <c r="AQ16" i="52"/>
  <c r="AR16" i="52"/>
  <c r="AS16" i="52"/>
  <c r="AT16" i="52"/>
  <c r="AU16" i="52"/>
  <c r="AV16" i="52"/>
  <c r="AL17" i="52"/>
  <c r="AM17" i="52"/>
  <c r="AN17" i="52"/>
  <c r="AO17" i="52"/>
  <c r="AP17" i="52"/>
  <c r="AQ17" i="52"/>
  <c r="AR17" i="52"/>
  <c r="AS17" i="52"/>
  <c r="AT17" i="52"/>
  <c r="AU17" i="52"/>
  <c r="AV17" i="52"/>
  <c r="AL18" i="52"/>
  <c r="AM18" i="52"/>
  <c r="AN18" i="52"/>
  <c r="AO18" i="52"/>
  <c r="AP18" i="52"/>
  <c r="AQ18" i="52"/>
  <c r="AR18" i="52"/>
  <c r="AS18" i="52"/>
  <c r="AT18" i="52"/>
  <c r="AU18" i="52"/>
  <c r="AV18" i="52"/>
  <c r="AL19" i="52"/>
  <c r="AM19" i="52"/>
  <c r="AN19" i="52"/>
  <c r="AO19" i="52"/>
  <c r="AP19" i="52"/>
  <c r="AQ19" i="52"/>
  <c r="AR19" i="52"/>
  <c r="AS19" i="52"/>
  <c r="AT19" i="52"/>
  <c r="AU19" i="52"/>
  <c r="AV19" i="52"/>
  <c r="AL20" i="52"/>
  <c r="AM20" i="52"/>
  <c r="AN20" i="52"/>
  <c r="AO20" i="52"/>
  <c r="AP20" i="52"/>
  <c r="AQ20" i="52"/>
  <c r="AR20" i="52"/>
  <c r="AS20" i="52"/>
  <c r="AT20" i="52"/>
  <c r="AU20" i="52"/>
  <c r="AV20" i="52"/>
  <c r="AL21" i="52"/>
  <c r="AM21" i="52"/>
  <c r="AN21" i="52"/>
  <c r="AO21" i="52"/>
  <c r="AP21" i="52"/>
  <c r="AQ21" i="52"/>
  <c r="AR21" i="52"/>
  <c r="AS21" i="52"/>
  <c r="AT21" i="52"/>
  <c r="AU21" i="52"/>
  <c r="AV21" i="52"/>
  <c r="AL22" i="52"/>
  <c r="AM22" i="52"/>
  <c r="AN22" i="52"/>
  <c r="AO22" i="52"/>
  <c r="AP22" i="52"/>
  <c r="AQ22" i="52"/>
  <c r="AR22" i="52"/>
  <c r="AS22" i="52"/>
  <c r="AT22" i="52"/>
  <c r="AU22" i="52"/>
  <c r="AV22" i="52"/>
  <c r="AL23" i="52"/>
  <c r="AM23" i="52"/>
  <c r="AN23" i="52"/>
  <c r="AO23" i="52"/>
  <c r="AP23" i="52"/>
  <c r="AQ23" i="52"/>
  <c r="AR23" i="52"/>
  <c r="AS23" i="52"/>
  <c r="AT23" i="52"/>
  <c r="AU23" i="52"/>
  <c r="AV23" i="52"/>
  <c r="AM6" i="52"/>
  <c r="AN6" i="52"/>
  <c r="AO6" i="52"/>
  <c r="AP6" i="52"/>
  <c r="AQ6" i="52"/>
  <c r="AR6" i="52"/>
  <c r="AS6" i="52"/>
  <c r="AT6" i="52"/>
  <c r="AU6" i="52"/>
  <c r="AV6" i="52"/>
  <c r="AL6" i="52"/>
  <c r="AV4" i="52"/>
  <c r="AU4" i="52"/>
  <c r="AT4" i="52"/>
  <c r="AS4" i="52"/>
  <c r="AR4" i="52"/>
  <c r="AQ4" i="52"/>
  <c r="AP4" i="52"/>
  <c r="AO4" i="52"/>
  <c r="AN4" i="52"/>
  <c r="AM4" i="52"/>
  <c r="AL4" i="52"/>
  <c r="AK23" i="52"/>
  <c r="AJ23" i="52"/>
  <c r="AI23" i="52"/>
  <c r="AH23" i="52"/>
  <c r="AG23" i="52"/>
  <c r="AF23" i="52"/>
  <c r="AE23" i="52"/>
  <c r="AD23" i="52"/>
  <c r="AC23" i="52"/>
  <c r="AB23" i="52"/>
  <c r="AA23" i="52"/>
  <c r="Z23" i="52"/>
  <c r="Y23" i="52"/>
  <c r="X23" i="52"/>
  <c r="W23" i="52"/>
  <c r="V23" i="52"/>
  <c r="U23" i="52"/>
  <c r="T23" i="52"/>
  <c r="S23" i="52"/>
  <c r="R23" i="52"/>
  <c r="Q23" i="52"/>
  <c r="P23" i="52"/>
  <c r="O23" i="52"/>
  <c r="N23" i="52"/>
  <c r="AK22" i="52"/>
  <c r="AJ22" i="52"/>
  <c r="AI22" i="52"/>
  <c r="AH22" i="52"/>
  <c r="AG22" i="52"/>
  <c r="AF22" i="52"/>
  <c r="AE22" i="52"/>
  <c r="AD22" i="52"/>
  <c r="AC22" i="52"/>
  <c r="AB22" i="52"/>
  <c r="AA22" i="52"/>
  <c r="Z22" i="52"/>
  <c r="Y22" i="52"/>
  <c r="X22" i="52"/>
  <c r="W22" i="52"/>
  <c r="V22" i="52"/>
  <c r="U22" i="52"/>
  <c r="T22" i="52"/>
  <c r="S22" i="52"/>
  <c r="R22" i="52"/>
  <c r="Q22" i="52"/>
  <c r="P22" i="52"/>
  <c r="O22" i="52"/>
  <c r="N22" i="52"/>
  <c r="AK21" i="52"/>
  <c r="AJ21" i="52"/>
  <c r="AI21" i="52"/>
  <c r="AH21" i="52"/>
  <c r="AG21" i="52"/>
  <c r="AF21" i="52"/>
  <c r="AE21" i="52"/>
  <c r="AD21" i="52"/>
  <c r="AC21" i="52"/>
  <c r="AB21" i="52"/>
  <c r="AA21" i="52"/>
  <c r="Z21" i="52"/>
  <c r="Y21" i="52"/>
  <c r="X21" i="52"/>
  <c r="W21" i="52"/>
  <c r="V21" i="52"/>
  <c r="U21" i="52"/>
  <c r="T21" i="52"/>
  <c r="S21" i="52"/>
  <c r="R21" i="52"/>
  <c r="Q21" i="52"/>
  <c r="P21" i="52"/>
  <c r="O21" i="52"/>
  <c r="N21" i="52"/>
  <c r="AK20" i="52"/>
  <c r="AJ20" i="52"/>
  <c r="AI20" i="52"/>
  <c r="AH20" i="52"/>
  <c r="AG20" i="52"/>
  <c r="AF20" i="52"/>
  <c r="AE20" i="52"/>
  <c r="AD20" i="52"/>
  <c r="AC20" i="52"/>
  <c r="AB20" i="52"/>
  <c r="AA20" i="52"/>
  <c r="Z20" i="52"/>
  <c r="Y20" i="52"/>
  <c r="X20" i="52"/>
  <c r="W20" i="52"/>
  <c r="V20" i="52"/>
  <c r="U20" i="52"/>
  <c r="T20" i="52"/>
  <c r="S20" i="52"/>
  <c r="R20" i="52"/>
  <c r="Q20" i="52"/>
  <c r="P20" i="52"/>
  <c r="O20" i="52"/>
  <c r="N20" i="52"/>
  <c r="AK19" i="52"/>
  <c r="AJ19" i="52"/>
  <c r="AI19" i="52"/>
  <c r="AH19" i="52"/>
  <c r="AG19" i="52"/>
  <c r="AF19" i="52"/>
  <c r="AE19" i="52"/>
  <c r="AD19" i="52"/>
  <c r="AC19" i="52"/>
  <c r="AB19" i="52"/>
  <c r="AA19" i="52"/>
  <c r="Z19" i="52"/>
  <c r="Y19" i="52"/>
  <c r="X19" i="52"/>
  <c r="W19" i="52"/>
  <c r="V19" i="52"/>
  <c r="U19" i="52"/>
  <c r="T19" i="52"/>
  <c r="S19" i="52"/>
  <c r="R19" i="52"/>
  <c r="Q19" i="52"/>
  <c r="P19" i="52"/>
  <c r="O19" i="52"/>
  <c r="N19" i="52"/>
  <c r="AK18" i="52"/>
  <c r="AJ18" i="52"/>
  <c r="AI18" i="52"/>
  <c r="AH18" i="52"/>
  <c r="AG18" i="52"/>
  <c r="AF18" i="52"/>
  <c r="AE18" i="52"/>
  <c r="AD18" i="52"/>
  <c r="AC18" i="52"/>
  <c r="AB18" i="52"/>
  <c r="AA18" i="52"/>
  <c r="Z18" i="52"/>
  <c r="Y18" i="52"/>
  <c r="X18" i="52"/>
  <c r="W18" i="52"/>
  <c r="V18" i="52"/>
  <c r="U18" i="52"/>
  <c r="T18" i="52"/>
  <c r="S18" i="52"/>
  <c r="R18" i="52"/>
  <c r="Q18" i="52"/>
  <c r="P18" i="52"/>
  <c r="O18" i="52"/>
  <c r="N18"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AK14" i="52"/>
  <c r="AJ14" i="52"/>
  <c r="AI14" i="52"/>
  <c r="AH14" i="52"/>
  <c r="AG14" i="52"/>
  <c r="AF14" i="52"/>
  <c r="AE14" i="52"/>
  <c r="AD14" i="52"/>
  <c r="AC14" i="52"/>
  <c r="AB14" i="52"/>
  <c r="AA14" i="52"/>
  <c r="Z14" i="52"/>
  <c r="Y14" i="52"/>
  <c r="X14" i="52"/>
  <c r="W14" i="52"/>
  <c r="V14" i="52"/>
  <c r="U14" i="52"/>
  <c r="T14" i="52"/>
  <c r="S14" i="52"/>
  <c r="R14" i="52"/>
  <c r="Q14" i="52"/>
  <c r="P14" i="52"/>
  <c r="O14" i="52"/>
  <c r="N14" i="52"/>
  <c r="AK13" i="52"/>
  <c r="AJ13" i="52"/>
  <c r="AI13" i="52"/>
  <c r="AH13" i="52"/>
  <c r="AG13" i="52"/>
  <c r="AF13" i="52"/>
  <c r="AE13" i="52"/>
  <c r="AD13" i="52"/>
  <c r="AC13" i="52"/>
  <c r="AB13" i="52"/>
  <c r="AA13" i="52"/>
  <c r="Z13" i="52"/>
  <c r="Y13" i="52"/>
  <c r="X13" i="52"/>
  <c r="W13" i="52"/>
  <c r="V13" i="52"/>
  <c r="U13" i="52"/>
  <c r="T13" i="52"/>
  <c r="S13" i="52"/>
  <c r="R13" i="52"/>
  <c r="Q13" i="52"/>
  <c r="P13" i="52"/>
  <c r="O13" i="52"/>
  <c r="N13" i="52"/>
  <c r="AK12" i="52"/>
  <c r="AJ12" i="52"/>
  <c r="AI12" i="52"/>
  <c r="AH12" i="52"/>
  <c r="AG12" i="52"/>
  <c r="AF12" i="52"/>
  <c r="AE12" i="52"/>
  <c r="AD12" i="52"/>
  <c r="AC12" i="52"/>
  <c r="AB12" i="52"/>
  <c r="AA12" i="52"/>
  <c r="Z12" i="52"/>
  <c r="Y12" i="52"/>
  <c r="X12" i="52"/>
  <c r="W12" i="52"/>
  <c r="V12" i="52"/>
  <c r="U12" i="52"/>
  <c r="T12" i="52"/>
  <c r="S12" i="52"/>
  <c r="R12" i="52"/>
  <c r="Q12" i="52"/>
  <c r="P12" i="52"/>
  <c r="O12" i="52"/>
  <c r="N12" i="52"/>
  <c r="AK11" i="52"/>
  <c r="AJ11" i="52"/>
  <c r="AI11" i="52"/>
  <c r="AH11" i="52"/>
  <c r="AG11" i="52"/>
  <c r="AF11" i="52"/>
  <c r="AE11" i="52"/>
  <c r="AD11" i="52"/>
  <c r="AC11" i="52"/>
  <c r="AB11" i="52"/>
  <c r="AA11" i="52"/>
  <c r="Z11" i="52"/>
  <c r="Y11" i="52"/>
  <c r="X11" i="52"/>
  <c r="W11" i="52"/>
  <c r="V11" i="52"/>
  <c r="U11" i="52"/>
  <c r="T11" i="52"/>
  <c r="S11" i="52"/>
  <c r="R11" i="52"/>
  <c r="Q11" i="52"/>
  <c r="P11" i="52"/>
  <c r="O11" i="52"/>
  <c r="N11" i="52"/>
  <c r="AK10" i="52"/>
  <c r="AJ10" i="52"/>
  <c r="AI10" i="52"/>
  <c r="AH10" i="52"/>
  <c r="AG10" i="52"/>
  <c r="AF10" i="52"/>
  <c r="AE10" i="52"/>
  <c r="AD10" i="52"/>
  <c r="AC10" i="52"/>
  <c r="AB10" i="52"/>
  <c r="AA10" i="52"/>
  <c r="Z10" i="52"/>
  <c r="Y10" i="52"/>
  <c r="X10" i="52"/>
  <c r="W10" i="52"/>
  <c r="V10" i="52"/>
  <c r="U10" i="52"/>
  <c r="T10" i="52"/>
  <c r="S10" i="52"/>
  <c r="R10" i="52"/>
  <c r="Q10" i="52"/>
  <c r="P10" i="52"/>
  <c r="O10" i="52"/>
  <c r="N10" i="52"/>
  <c r="AK9" i="52"/>
  <c r="AJ9" i="52"/>
  <c r="AI9" i="52"/>
  <c r="AH9" i="52"/>
  <c r="AG9" i="52"/>
  <c r="AF9" i="52"/>
  <c r="AE9" i="52"/>
  <c r="AD9" i="52"/>
  <c r="AC9" i="52"/>
  <c r="AB9" i="52"/>
  <c r="AA9" i="52"/>
  <c r="Z9" i="52"/>
  <c r="Y9" i="52"/>
  <c r="X9" i="52"/>
  <c r="W9" i="52"/>
  <c r="V9" i="52"/>
  <c r="U9" i="52"/>
  <c r="T9" i="52"/>
  <c r="S9" i="52"/>
  <c r="R9" i="52"/>
  <c r="Q9" i="52"/>
  <c r="P9" i="52"/>
  <c r="O9" i="52"/>
  <c r="N9" i="52"/>
  <c r="AK8" i="52"/>
  <c r="AJ8" i="52"/>
  <c r="AI8" i="52"/>
  <c r="AH8" i="52"/>
  <c r="AG8" i="52"/>
  <c r="AF8" i="52"/>
  <c r="AE8" i="52"/>
  <c r="AD8" i="52"/>
  <c r="AC8" i="52"/>
  <c r="AB8" i="52"/>
  <c r="AA8" i="52"/>
  <c r="Z8" i="52"/>
  <c r="Y8" i="52"/>
  <c r="X8" i="52"/>
  <c r="W8" i="52"/>
  <c r="V8" i="52"/>
  <c r="U8" i="52"/>
  <c r="T8" i="52"/>
  <c r="S8" i="52"/>
  <c r="R8" i="52"/>
  <c r="Q8" i="52"/>
  <c r="P8" i="52"/>
  <c r="O8" i="52"/>
  <c r="N8" i="52"/>
  <c r="AK7" i="52"/>
  <c r="AJ7" i="52"/>
  <c r="AI7" i="52"/>
  <c r="AH7" i="52"/>
  <c r="AG7" i="52"/>
  <c r="AF7" i="52"/>
  <c r="AE7" i="52"/>
  <c r="AD7" i="52"/>
  <c r="AC7" i="52"/>
  <c r="AB7" i="52"/>
  <c r="AA7" i="52"/>
  <c r="Z7" i="52"/>
  <c r="Y7" i="52"/>
  <c r="X7" i="52"/>
  <c r="W7" i="52"/>
  <c r="V7" i="52"/>
  <c r="U7" i="52"/>
  <c r="T7" i="52"/>
  <c r="S7" i="52"/>
  <c r="R7" i="52"/>
  <c r="Q7" i="52"/>
  <c r="P7" i="52"/>
  <c r="O7" i="52"/>
  <c r="N7" i="52"/>
  <c r="AK6" i="52"/>
  <c r="AJ6" i="52"/>
  <c r="AI6" i="52"/>
  <c r="AH6" i="52"/>
  <c r="AG6" i="52"/>
  <c r="AF6" i="52"/>
  <c r="AE6" i="52"/>
  <c r="AD6" i="52"/>
  <c r="AC6" i="52"/>
  <c r="AB6" i="52"/>
  <c r="AA6" i="52"/>
  <c r="Z6" i="52"/>
  <c r="Y6" i="52"/>
  <c r="X6" i="52"/>
  <c r="W6" i="52"/>
  <c r="V6" i="52"/>
  <c r="U6" i="52"/>
  <c r="T6" i="52"/>
  <c r="S6" i="52"/>
  <c r="R6" i="52"/>
  <c r="Q6" i="52"/>
  <c r="P6" i="52"/>
  <c r="O6" i="52"/>
  <c r="N6" i="52"/>
  <c r="AK4" i="52"/>
  <c r="AJ4" i="52"/>
  <c r="AI4" i="52"/>
  <c r="AH4" i="52"/>
  <c r="AG4" i="52"/>
  <c r="AF4" i="52"/>
  <c r="AE4" i="52"/>
  <c r="AD4" i="52"/>
  <c r="AC4" i="52"/>
  <c r="AB4" i="52"/>
  <c r="AA4" i="52"/>
  <c r="Z4" i="52"/>
  <c r="Y4" i="52"/>
  <c r="X4" i="52"/>
  <c r="W4" i="52"/>
  <c r="V4" i="52"/>
  <c r="U4" i="52"/>
  <c r="T4" i="52"/>
  <c r="S4" i="52"/>
  <c r="R4" i="52"/>
  <c r="Q4" i="52"/>
  <c r="P4" i="52"/>
  <c r="AK23" i="4"/>
  <c r="AJ23" i="4"/>
  <c r="AI23" i="4"/>
  <c r="AH23" i="4"/>
  <c r="AG23" i="4"/>
  <c r="AF23" i="4"/>
  <c r="AE23" i="4"/>
  <c r="AD23" i="4"/>
  <c r="AC23" i="4"/>
  <c r="AB23" i="4"/>
  <c r="AA23" i="4"/>
  <c r="Z23" i="4"/>
  <c r="Y23" i="4"/>
  <c r="X23" i="4"/>
  <c r="W23" i="4"/>
  <c r="V23" i="4"/>
  <c r="U23" i="4"/>
  <c r="T23" i="4"/>
  <c r="S23" i="4"/>
  <c r="R23" i="4"/>
  <c r="Q23" i="4"/>
  <c r="P23" i="4"/>
  <c r="O23" i="4"/>
  <c r="N23" i="4"/>
  <c r="AK22" i="4"/>
  <c r="AJ22" i="4"/>
  <c r="AI22" i="4"/>
  <c r="AH22" i="4"/>
  <c r="AG22" i="4"/>
  <c r="AF22" i="4"/>
  <c r="AE22" i="4"/>
  <c r="AD22" i="4"/>
  <c r="AC22" i="4"/>
  <c r="AB22" i="4"/>
  <c r="AA22" i="4"/>
  <c r="Z22" i="4"/>
  <c r="Y22" i="4"/>
  <c r="X22" i="4"/>
  <c r="W22" i="4"/>
  <c r="V22" i="4"/>
  <c r="U22" i="4"/>
  <c r="T22" i="4"/>
  <c r="S22" i="4"/>
  <c r="R22" i="4"/>
  <c r="Q22" i="4"/>
  <c r="P22" i="4"/>
  <c r="O22" i="4"/>
  <c r="N22" i="4"/>
  <c r="AK21" i="4"/>
  <c r="AJ21" i="4"/>
  <c r="AI21" i="4"/>
  <c r="AH21" i="4"/>
  <c r="AG21" i="4"/>
  <c r="AF21" i="4"/>
  <c r="AE21" i="4"/>
  <c r="AD21" i="4"/>
  <c r="AC21" i="4"/>
  <c r="AB21" i="4"/>
  <c r="AA21" i="4"/>
  <c r="Z21" i="4"/>
  <c r="Y21" i="4"/>
  <c r="X21" i="4"/>
  <c r="W21" i="4"/>
  <c r="V21" i="4"/>
  <c r="U21" i="4"/>
  <c r="T21" i="4"/>
  <c r="S21" i="4"/>
  <c r="R21" i="4"/>
  <c r="Q21" i="4"/>
  <c r="P21" i="4"/>
  <c r="O21" i="4"/>
  <c r="N21" i="4"/>
  <c r="AK20" i="4"/>
  <c r="AJ20" i="4"/>
  <c r="AI20" i="4"/>
  <c r="AH20" i="4"/>
  <c r="AG20" i="4"/>
  <c r="AF20" i="4"/>
  <c r="AE20" i="4"/>
  <c r="AD20" i="4"/>
  <c r="AC20" i="4"/>
  <c r="AB20" i="4"/>
  <c r="AA20" i="4"/>
  <c r="Z20" i="4"/>
  <c r="Y20" i="4"/>
  <c r="X20" i="4"/>
  <c r="W20" i="4"/>
  <c r="V20" i="4"/>
  <c r="U20" i="4"/>
  <c r="T20" i="4"/>
  <c r="S20" i="4"/>
  <c r="R20" i="4"/>
  <c r="Q20" i="4"/>
  <c r="P20" i="4"/>
  <c r="O20" i="4"/>
  <c r="N20" i="4"/>
  <c r="AK19" i="4"/>
  <c r="AJ19" i="4"/>
  <c r="AI19" i="4"/>
  <c r="AH19" i="4"/>
  <c r="AG19" i="4"/>
  <c r="AF19" i="4"/>
  <c r="AE19" i="4"/>
  <c r="AD19" i="4"/>
  <c r="AC19" i="4"/>
  <c r="AB19" i="4"/>
  <c r="AA19" i="4"/>
  <c r="Z19" i="4"/>
  <c r="Y19" i="4"/>
  <c r="X19" i="4"/>
  <c r="W19" i="4"/>
  <c r="V19" i="4"/>
  <c r="U19" i="4"/>
  <c r="T19" i="4"/>
  <c r="S19" i="4"/>
  <c r="R19" i="4"/>
  <c r="Q19" i="4"/>
  <c r="P19" i="4"/>
  <c r="O19" i="4"/>
  <c r="N19" i="4"/>
  <c r="AK18" i="4"/>
  <c r="AJ18" i="4"/>
  <c r="AI18" i="4"/>
  <c r="AH18" i="4"/>
  <c r="AG18" i="4"/>
  <c r="AF18" i="4"/>
  <c r="AE18" i="4"/>
  <c r="AD18" i="4"/>
  <c r="AC18" i="4"/>
  <c r="AB18" i="4"/>
  <c r="AA18" i="4"/>
  <c r="Z18" i="4"/>
  <c r="Y18" i="4"/>
  <c r="X18" i="4"/>
  <c r="W18" i="4"/>
  <c r="V18" i="4"/>
  <c r="U18" i="4"/>
  <c r="T18" i="4"/>
  <c r="S18" i="4"/>
  <c r="R18" i="4"/>
  <c r="Q18" i="4"/>
  <c r="P18" i="4"/>
  <c r="O18" i="4"/>
  <c r="N18" i="4"/>
  <c r="AK17" i="4"/>
  <c r="AJ17" i="4"/>
  <c r="AI17" i="4"/>
  <c r="AH17" i="4"/>
  <c r="AG17" i="4"/>
  <c r="AF17" i="4"/>
  <c r="AE17" i="4"/>
  <c r="AD17" i="4"/>
  <c r="AC17" i="4"/>
  <c r="AB17" i="4"/>
  <c r="AA17" i="4"/>
  <c r="Z17" i="4"/>
  <c r="Y17" i="4"/>
  <c r="X17" i="4"/>
  <c r="W17" i="4"/>
  <c r="V17" i="4"/>
  <c r="U17" i="4"/>
  <c r="T17" i="4"/>
  <c r="S17" i="4"/>
  <c r="R17" i="4"/>
  <c r="Q17" i="4"/>
  <c r="P17" i="4"/>
  <c r="O17" i="4"/>
  <c r="N17" i="4"/>
  <c r="AK16" i="4"/>
  <c r="AJ16" i="4"/>
  <c r="AI16" i="4"/>
  <c r="AH16" i="4"/>
  <c r="AG16" i="4"/>
  <c r="AF16" i="4"/>
  <c r="AE16" i="4"/>
  <c r="AD16" i="4"/>
  <c r="AC16" i="4"/>
  <c r="AB16" i="4"/>
  <c r="AA16" i="4"/>
  <c r="Z16" i="4"/>
  <c r="Y16" i="4"/>
  <c r="X16" i="4"/>
  <c r="W16" i="4"/>
  <c r="V16" i="4"/>
  <c r="U16" i="4"/>
  <c r="T16" i="4"/>
  <c r="S16" i="4"/>
  <c r="R16" i="4"/>
  <c r="Q16" i="4"/>
  <c r="P16" i="4"/>
  <c r="O16" i="4"/>
  <c r="N16" i="4"/>
  <c r="AK15" i="4"/>
  <c r="AJ15" i="4"/>
  <c r="AI15" i="4"/>
  <c r="AH15" i="4"/>
  <c r="AG15" i="4"/>
  <c r="AF15" i="4"/>
  <c r="AE15" i="4"/>
  <c r="AD15" i="4"/>
  <c r="AC15" i="4"/>
  <c r="AB15" i="4"/>
  <c r="AA15" i="4"/>
  <c r="Z15" i="4"/>
  <c r="Y15" i="4"/>
  <c r="X15" i="4"/>
  <c r="W15" i="4"/>
  <c r="V15" i="4"/>
  <c r="U15" i="4"/>
  <c r="T15" i="4"/>
  <c r="S15" i="4"/>
  <c r="R15" i="4"/>
  <c r="Q15" i="4"/>
  <c r="P15" i="4"/>
  <c r="O15" i="4"/>
  <c r="N15" i="4"/>
  <c r="AK14" i="4"/>
  <c r="AJ14" i="4"/>
  <c r="AI14" i="4"/>
  <c r="AH14" i="4"/>
  <c r="AG14" i="4"/>
  <c r="AF14" i="4"/>
  <c r="AE14" i="4"/>
  <c r="AD14" i="4"/>
  <c r="AC14" i="4"/>
  <c r="AB14" i="4"/>
  <c r="AA14" i="4"/>
  <c r="Z14" i="4"/>
  <c r="Y14" i="4"/>
  <c r="X14" i="4"/>
  <c r="W14" i="4"/>
  <c r="V14" i="4"/>
  <c r="U14" i="4"/>
  <c r="T14" i="4"/>
  <c r="S14" i="4"/>
  <c r="R14" i="4"/>
  <c r="Q14" i="4"/>
  <c r="P14" i="4"/>
  <c r="O14" i="4"/>
  <c r="N14" i="4"/>
  <c r="AK13" i="4"/>
  <c r="AJ13" i="4"/>
  <c r="AI13" i="4"/>
  <c r="AH13" i="4"/>
  <c r="AG13" i="4"/>
  <c r="AF13" i="4"/>
  <c r="AE13" i="4"/>
  <c r="AD13" i="4"/>
  <c r="AC13" i="4"/>
  <c r="AB13" i="4"/>
  <c r="AA13" i="4"/>
  <c r="Z13" i="4"/>
  <c r="Y13" i="4"/>
  <c r="X13" i="4"/>
  <c r="W13" i="4"/>
  <c r="V13" i="4"/>
  <c r="U13" i="4"/>
  <c r="T13" i="4"/>
  <c r="S13" i="4"/>
  <c r="R13" i="4"/>
  <c r="Q13" i="4"/>
  <c r="P13" i="4"/>
  <c r="O13" i="4"/>
  <c r="N13" i="4"/>
  <c r="AK12" i="4"/>
  <c r="AJ12" i="4"/>
  <c r="AI12" i="4"/>
  <c r="AH12" i="4"/>
  <c r="AG12" i="4"/>
  <c r="AF12" i="4"/>
  <c r="AE12" i="4"/>
  <c r="AD12" i="4"/>
  <c r="AC12" i="4"/>
  <c r="AB12" i="4"/>
  <c r="AA12" i="4"/>
  <c r="Z12" i="4"/>
  <c r="Y12" i="4"/>
  <c r="X12" i="4"/>
  <c r="W12" i="4"/>
  <c r="V12" i="4"/>
  <c r="U12" i="4"/>
  <c r="T12" i="4"/>
  <c r="S12" i="4"/>
  <c r="R12" i="4"/>
  <c r="Q12" i="4"/>
  <c r="P12" i="4"/>
  <c r="O12" i="4"/>
  <c r="N12" i="4"/>
  <c r="AK11" i="4"/>
  <c r="AJ11" i="4"/>
  <c r="AI11" i="4"/>
  <c r="AH11" i="4"/>
  <c r="AG11" i="4"/>
  <c r="AF11" i="4"/>
  <c r="AE11" i="4"/>
  <c r="AD11" i="4"/>
  <c r="AC11" i="4"/>
  <c r="AB11" i="4"/>
  <c r="AA11" i="4"/>
  <c r="Z11" i="4"/>
  <c r="Y11" i="4"/>
  <c r="X11" i="4"/>
  <c r="W11" i="4"/>
  <c r="V11" i="4"/>
  <c r="U11" i="4"/>
  <c r="T11" i="4"/>
  <c r="S11" i="4"/>
  <c r="R11" i="4"/>
  <c r="Q11" i="4"/>
  <c r="P11" i="4"/>
  <c r="O11" i="4"/>
  <c r="N11" i="4"/>
  <c r="AK10" i="4"/>
  <c r="AJ10" i="4"/>
  <c r="AI10" i="4"/>
  <c r="AH10" i="4"/>
  <c r="AG10" i="4"/>
  <c r="AF10" i="4"/>
  <c r="AE10" i="4"/>
  <c r="AD10" i="4"/>
  <c r="AC10" i="4"/>
  <c r="AB10" i="4"/>
  <c r="AA10" i="4"/>
  <c r="Z10" i="4"/>
  <c r="Y10" i="4"/>
  <c r="X10" i="4"/>
  <c r="W10" i="4"/>
  <c r="V10" i="4"/>
  <c r="U10" i="4"/>
  <c r="T10" i="4"/>
  <c r="S10" i="4"/>
  <c r="R10" i="4"/>
  <c r="Q10" i="4"/>
  <c r="P10" i="4"/>
  <c r="O10" i="4"/>
  <c r="N10" i="4"/>
  <c r="AK9" i="4"/>
  <c r="AJ9" i="4"/>
  <c r="AI9" i="4"/>
  <c r="AH9" i="4"/>
  <c r="AG9" i="4"/>
  <c r="AF9" i="4"/>
  <c r="AE9" i="4"/>
  <c r="AD9" i="4"/>
  <c r="AC9" i="4"/>
  <c r="AB9" i="4"/>
  <c r="AA9" i="4"/>
  <c r="Z9" i="4"/>
  <c r="Y9" i="4"/>
  <c r="X9" i="4"/>
  <c r="W9" i="4"/>
  <c r="V9" i="4"/>
  <c r="U9" i="4"/>
  <c r="T9" i="4"/>
  <c r="S9" i="4"/>
  <c r="R9" i="4"/>
  <c r="Q9" i="4"/>
  <c r="P9" i="4"/>
  <c r="O9" i="4"/>
  <c r="N9" i="4"/>
  <c r="AK8" i="4"/>
  <c r="AJ8" i="4"/>
  <c r="AI8" i="4"/>
  <c r="AH8" i="4"/>
  <c r="AG8" i="4"/>
  <c r="AF8" i="4"/>
  <c r="AE8" i="4"/>
  <c r="AD8" i="4"/>
  <c r="AC8" i="4"/>
  <c r="AB8" i="4"/>
  <c r="AA8" i="4"/>
  <c r="Z8" i="4"/>
  <c r="Y8" i="4"/>
  <c r="X8" i="4"/>
  <c r="W8" i="4"/>
  <c r="V8" i="4"/>
  <c r="U8" i="4"/>
  <c r="T8" i="4"/>
  <c r="S8" i="4"/>
  <c r="R8" i="4"/>
  <c r="Q8" i="4"/>
  <c r="P8" i="4"/>
  <c r="O8" i="4"/>
  <c r="N8" i="4"/>
  <c r="AK7" i="4"/>
  <c r="AJ7" i="4"/>
  <c r="AI7" i="4"/>
  <c r="AH7" i="4"/>
  <c r="AG7" i="4"/>
  <c r="AF7" i="4"/>
  <c r="AE7" i="4"/>
  <c r="AD7" i="4"/>
  <c r="AC7" i="4"/>
  <c r="AB7" i="4"/>
  <c r="AA7" i="4"/>
  <c r="Z7" i="4"/>
  <c r="Y7" i="4"/>
  <c r="X7" i="4"/>
  <c r="W7" i="4"/>
  <c r="V7" i="4"/>
  <c r="U7" i="4"/>
  <c r="T7" i="4"/>
  <c r="S7" i="4"/>
  <c r="R7" i="4"/>
  <c r="Q7" i="4"/>
  <c r="P7" i="4"/>
  <c r="O7" i="4"/>
  <c r="N7" i="4"/>
  <c r="AK6" i="4"/>
  <c r="AJ6" i="4"/>
  <c r="AI6" i="4"/>
  <c r="AH6" i="4"/>
  <c r="AG6" i="4"/>
  <c r="AF6" i="4"/>
  <c r="AE6" i="4"/>
  <c r="AD6" i="4"/>
  <c r="AC6" i="4"/>
  <c r="AB6" i="4"/>
  <c r="AA6" i="4"/>
  <c r="Z6" i="4"/>
  <c r="Y6" i="4"/>
  <c r="X6" i="4"/>
  <c r="W6" i="4"/>
  <c r="V6" i="4"/>
  <c r="U6" i="4"/>
  <c r="T6" i="4"/>
  <c r="S6" i="4"/>
  <c r="R6" i="4"/>
  <c r="Q6" i="4"/>
  <c r="P6" i="4"/>
  <c r="O6" i="4"/>
  <c r="N6" i="4"/>
  <c r="AK4" i="4"/>
  <c r="AJ4" i="4"/>
  <c r="AI4" i="4"/>
  <c r="AH4" i="4"/>
  <c r="AG4" i="4"/>
  <c r="AF4" i="4"/>
  <c r="AE4" i="4"/>
  <c r="AD4" i="4"/>
  <c r="AC4" i="4"/>
  <c r="AB4" i="4"/>
  <c r="AA4" i="4"/>
  <c r="Z4" i="4"/>
  <c r="Y4" i="4"/>
  <c r="X4" i="4"/>
  <c r="W4" i="4"/>
  <c r="V4" i="4"/>
  <c r="U4" i="4"/>
  <c r="T4" i="4"/>
  <c r="S4" i="4"/>
  <c r="R4" i="4"/>
  <c r="Q4" i="4"/>
  <c r="P4" i="4"/>
  <c r="AK23" i="29"/>
  <c r="AJ23" i="29"/>
  <c r="AI23" i="29"/>
  <c r="AH23" i="29"/>
  <c r="AG23" i="29"/>
  <c r="AF23" i="29"/>
  <c r="AE23" i="29"/>
  <c r="AD23" i="29"/>
  <c r="AC23" i="29"/>
  <c r="AB23" i="29"/>
  <c r="AA23" i="29"/>
  <c r="Z23" i="29"/>
  <c r="Y23" i="29"/>
  <c r="X23" i="29"/>
  <c r="W23" i="29"/>
  <c r="V23" i="29"/>
  <c r="U23" i="29"/>
  <c r="T23" i="29"/>
  <c r="S23" i="29"/>
  <c r="R23" i="29"/>
  <c r="Q23" i="29"/>
  <c r="P23" i="29"/>
  <c r="O23" i="29"/>
  <c r="N23"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AK21" i="29"/>
  <c r="AJ21" i="29"/>
  <c r="AI21" i="29"/>
  <c r="AH21" i="29"/>
  <c r="AG21" i="29"/>
  <c r="AF21" i="29"/>
  <c r="AE21" i="29"/>
  <c r="AD21" i="29"/>
  <c r="AC21" i="29"/>
  <c r="AB21" i="29"/>
  <c r="AA21" i="29"/>
  <c r="Z21" i="29"/>
  <c r="Y21" i="29"/>
  <c r="X21" i="29"/>
  <c r="W21" i="29"/>
  <c r="V21" i="29"/>
  <c r="U21" i="29"/>
  <c r="T21" i="29"/>
  <c r="S21" i="29"/>
  <c r="R21" i="29"/>
  <c r="Q21" i="29"/>
  <c r="P21" i="29"/>
  <c r="O21" i="29"/>
  <c r="N21" i="29"/>
  <c r="AK20" i="29"/>
  <c r="AJ20" i="29"/>
  <c r="AI20" i="29"/>
  <c r="AH20" i="29"/>
  <c r="AG20" i="29"/>
  <c r="AF20" i="29"/>
  <c r="AE20" i="29"/>
  <c r="AD20" i="29"/>
  <c r="AC20" i="29"/>
  <c r="AB20" i="29"/>
  <c r="AA20" i="29"/>
  <c r="Z20" i="29"/>
  <c r="Y20" i="29"/>
  <c r="X20" i="29"/>
  <c r="W20" i="29"/>
  <c r="V20" i="29"/>
  <c r="U20" i="29"/>
  <c r="T20" i="29"/>
  <c r="S20" i="29"/>
  <c r="R20" i="29"/>
  <c r="Q20" i="29"/>
  <c r="P20" i="29"/>
  <c r="O20" i="29"/>
  <c r="N20" i="29"/>
  <c r="AK19" i="29"/>
  <c r="AJ19" i="29"/>
  <c r="AI19" i="29"/>
  <c r="AH19" i="29"/>
  <c r="AG19" i="29"/>
  <c r="AF19" i="29"/>
  <c r="AE19" i="29"/>
  <c r="AD19" i="29"/>
  <c r="AC19" i="29"/>
  <c r="AB19" i="29"/>
  <c r="AA19" i="29"/>
  <c r="Z19" i="29"/>
  <c r="Y19" i="29"/>
  <c r="X19" i="29"/>
  <c r="W19" i="29"/>
  <c r="V19" i="29"/>
  <c r="U19" i="29"/>
  <c r="T19" i="29"/>
  <c r="S19" i="29"/>
  <c r="R19" i="29"/>
  <c r="Q19" i="29"/>
  <c r="P19" i="29"/>
  <c r="O19" i="29"/>
  <c r="N19"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AK17" i="29"/>
  <c r="AJ17" i="29"/>
  <c r="AI17" i="29"/>
  <c r="AH17" i="29"/>
  <c r="AG17" i="29"/>
  <c r="AF17" i="29"/>
  <c r="AE17" i="29"/>
  <c r="AD17" i="29"/>
  <c r="AC17" i="29"/>
  <c r="AB17" i="29"/>
  <c r="AA17" i="29"/>
  <c r="Z17" i="29"/>
  <c r="Y17" i="29"/>
  <c r="X17" i="29"/>
  <c r="W17" i="29"/>
  <c r="V17" i="29"/>
  <c r="U17" i="29"/>
  <c r="T17" i="29"/>
  <c r="S17" i="29"/>
  <c r="R17" i="29"/>
  <c r="Q17" i="29"/>
  <c r="P17" i="29"/>
  <c r="O17" i="29"/>
  <c r="N17" i="29"/>
  <c r="AK16" i="29"/>
  <c r="AJ16" i="29"/>
  <c r="AI16" i="29"/>
  <c r="AH16" i="29"/>
  <c r="AG16" i="29"/>
  <c r="AF16" i="29"/>
  <c r="AE16" i="29"/>
  <c r="AD16" i="29"/>
  <c r="AC16" i="29"/>
  <c r="AB16" i="29"/>
  <c r="AA16" i="29"/>
  <c r="Z16" i="29"/>
  <c r="Y16" i="29"/>
  <c r="X16" i="29"/>
  <c r="W16" i="29"/>
  <c r="V16" i="29"/>
  <c r="U16" i="29"/>
  <c r="T16" i="29"/>
  <c r="S16" i="29"/>
  <c r="R16" i="29"/>
  <c r="Q16" i="29"/>
  <c r="P16" i="29"/>
  <c r="O16" i="29"/>
  <c r="N16" i="29"/>
  <c r="AK15" i="29"/>
  <c r="AJ15" i="29"/>
  <c r="AI15" i="29"/>
  <c r="AH15" i="29"/>
  <c r="AG15" i="29"/>
  <c r="AF15" i="29"/>
  <c r="AE15" i="29"/>
  <c r="AD15" i="29"/>
  <c r="AC15" i="29"/>
  <c r="AB15" i="29"/>
  <c r="AA15" i="29"/>
  <c r="Z15" i="29"/>
  <c r="Y15" i="29"/>
  <c r="X15" i="29"/>
  <c r="W15" i="29"/>
  <c r="V15" i="29"/>
  <c r="U15" i="29"/>
  <c r="T15" i="29"/>
  <c r="S15" i="29"/>
  <c r="R15" i="29"/>
  <c r="Q15" i="29"/>
  <c r="P15" i="29"/>
  <c r="O15" i="29"/>
  <c r="N15" i="29"/>
  <c r="AK14" i="29"/>
  <c r="AJ14" i="29"/>
  <c r="AI14" i="29"/>
  <c r="AH14" i="29"/>
  <c r="AG14" i="29"/>
  <c r="AF14" i="29"/>
  <c r="AE14" i="29"/>
  <c r="AD14" i="29"/>
  <c r="AC14" i="29"/>
  <c r="AB14" i="29"/>
  <c r="AA14" i="29"/>
  <c r="Z14" i="29"/>
  <c r="Y14" i="29"/>
  <c r="X14" i="29"/>
  <c r="W14" i="29"/>
  <c r="V14" i="29"/>
  <c r="U14" i="29"/>
  <c r="T14" i="29"/>
  <c r="S14" i="29"/>
  <c r="R14" i="29"/>
  <c r="Q14" i="29"/>
  <c r="P14" i="29"/>
  <c r="O14" i="29"/>
  <c r="N14" i="29"/>
  <c r="AK13" i="29"/>
  <c r="AJ13" i="29"/>
  <c r="AI13" i="29"/>
  <c r="AH13" i="29"/>
  <c r="AG13" i="29"/>
  <c r="AF13" i="29"/>
  <c r="AE13" i="29"/>
  <c r="AD13" i="29"/>
  <c r="AC13" i="29"/>
  <c r="AB13" i="29"/>
  <c r="AA13" i="29"/>
  <c r="Z13" i="29"/>
  <c r="Y13" i="29"/>
  <c r="X13" i="29"/>
  <c r="W13" i="29"/>
  <c r="V13" i="29"/>
  <c r="U13" i="29"/>
  <c r="T13" i="29"/>
  <c r="S13" i="29"/>
  <c r="R13" i="29"/>
  <c r="Q13" i="29"/>
  <c r="P13" i="29"/>
  <c r="O13" i="29"/>
  <c r="N13" i="29"/>
  <c r="AK12" i="29"/>
  <c r="AJ12" i="29"/>
  <c r="AI12" i="29"/>
  <c r="AH12" i="29"/>
  <c r="AG12" i="29"/>
  <c r="AF12" i="29"/>
  <c r="AE12" i="29"/>
  <c r="AD12" i="29"/>
  <c r="AC12" i="29"/>
  <c r="AB12" i="29"/>
  <c r="AA12" i="29"/>
  <c r="Z12" i="29"/>
  <c r="Y12" i="29"/>
  <c r="X12" i="29"/>
  <c r="W12" i="29"/>
  <c r="V12" i="29"/>
  <c r="U12" i="29"/>
  <c r="T12" i="29"/>
  <c r="S12" i="29"/>
  <c r="R12" i="29"/>
  <c r="Q12" i="29"/>
  <c r="P12" i="29"/>
  <c r="O12" i="29"/>
  <c r="N12"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AK10" i="29"/>
  <c r="AJ10" i="29"/>
  <c r="AI10" i="29"/>
  <c r="AH10" i="29"/>
  <c r="AG10" i="29"/>
  <c r="AF10" i="29"/>
  <c r="AE10" i="29"/>
  <c r="AD10" i="29"/>
  <c r="AC10" i="29"/>
  <c r="AB10" i="29"/>
  <c r="AA10" i="29"/>
  <c r="Z10" i="29"/>
  <c r="Y10" i="29"/>
  <c r="X10" i="29"/>
  <c r="W10" i="29"/>
  <c r="V10" i="29"/>
  <c r="U10" i="29"/>
  <c r="T10" i="29"/>
  <c r="S10" i="29"/>
  <c r="R10" i="29"/>
  <c r="Q10" i="29"/>
  <c r="P10" i="29"/>
  <c r="O10" i="29"/>
  <c r="N10" i="29"/>
  <c r="AK9" i="29"/>
  <c r="AJ9" i="29"/>
  <c r="AI9" i="29"/>
  <c r="AH9" i="29"/>
  <c r="AG9" i="29"/>
  <c r="AF9" i="29"/>
  <c r="AE9" i="29"/>
  <c r="AD9" i="29"/>
  <c r="AC9" i="29"/>
  <c r="AB9" i="29"/>
  <c r="AA9" i="29"/>
  <c r="Z9" i="29"/>
  <c r="Y9" i="29"/>
  <c r="X9" i="29"/>
  <c r="W9" i="29"/>
  <c r="V9" i="29"/>
  <c r="U9" i="29"/>
  <c r="T9" i="29"/>
  <c r="S9" i="29"/>
  <c r="R9" i="29"/>
  <c r="Q9" i="29"/>
  <c r="P9" i="29"/>
  <c r="O9" i="29"/>
  <c r="N9" i="29"/>
  <c r="AK8" i="29"/>
  <c r="AJ8" i="29"/>
  <c r="AI8" i="29"/>
  <c r="AH8" i="29"/>
  <c r="AG8" i="29"/>
  <c r="AF8" i="29"/>
  <c r="AE8" i="29"/>
  <c r="AD8" i="29"/>
  <c r="AC8" i="29"/>
  <c r="AB8" i="29"/>
  <c r="AA8" i="29"/>
  <c r="Z8" i="29"/>
  <c r="Y8" i="29"/>
  <c r="X8" i="29"/>
  <c r="W8" i="29"/>
  <c r="V8" i="29"/>
  <c r="U8" i="29"/>
  <c r="T8" i="29"/>
  <c r="S8" i="29"/>
  <c r="R8" i="29"/>
  <c r="Q8" i="29"/>
  <c r="P8" i="29"/>
  <c r="O8" i="29"/>
  <c r="N8" i="29"/>
  <c r="AK7" i="29"/>
  <c r="AJ7" i="29"/>
  <c r="AI7" i="29"/>
  <c r="AH7" i="29"/>
  <c r="AG7" i="29"/>
  <c r="AF7" i="29"/>
  <c r="AE7" i="29"/>
  <c r="AD7" i="29"/>
  <c r="AC7" i="29"/>
  <c r="AB7" i="29"/>
  <c r="AA7" i="29"/>
  <c r="Z7" i="29"/>
  <c r="Y7" i="29"/>
  <c r="X7" i="29"/>
  <c r="W7" i="29"/>
  <c r="V7" i="29"/>
  <c r="U7" i="29"/>
  <c r="T7" i="29"/>
  <c r="S7" i="29"/>
  <c r="R7" i="29"/>
  <c r="Q7" i="29"/>
  <c r="P7" i="29"/>
  <c r="O7" i="29"/>
  <c r="N7" i="29"/>
  <c r="AK6" i="29"/>
  <c r="AJ6" i="29"/>
  <c r="AI6" i="29"/>
  <c r="AH6" i="29"/>
  <c r="AG6" i="29"/>
  <c r="AF6" i="29"/>
  <c r="AE6" i="29"/>
  <c r="AD6" i="29"/>
  <c r="AC6" i="29"/>
  <c r="AB6" i="29"/>
  <c r="AA6" i="29"/>
  <c r="Z6" i="29"/>
  <c r="Y6" i="29"/>
  <c r="X6" i="29"/>
  <c r="W6" i="29"/>
  <c r="V6" i="29"/>
  <c r="U6" i="29"/>
  <c r="T6" i="29"/>
  <c r="S6" i="29"/>
  <c r="R6" i="29"/>
  <c r="Q6" i="29"/>
  <c r="P6" i="29"/>
  <c r="O6" i="29"/>
  <c r="N6" i="29"/>
  <c r="AK4" i="29"/>
  <c r="AJ4" i="29"/>
  <c r="AI4" i="29"/>
  <c r="AH4" i="29"/>
  <c r="AG4" i="29"/>
  <c r="AF4" i="29"/>
  <c r="AE4" i="29"/>
  <c r="AD4" i="29"/>
  <c r="AC4" i="29"/>
  <c r="AB4" i="29"/>
  <c r="AA4" i="29"/>
  <c r="Z4" i="29"/>
  <c r="Y4" i="29"/>
  <c r="X4" i="29"/>
  <c r="W4" i="29"/>
  <c r="V4" i="29"/>
  <c r="U4" i="29"/>
  <c r="T4" i="29"/>
  <c r="S4" i="29"/>
  <c r="R4" i="29"/>
  <c r="Q4" i="29"/>
  <c r="P4" i="29"/>
  <c r="AK23" i="25"/>
  <c r="AJ23" i="25"/>
  <c r="AI23" i="25"/>
  <c r="AH23" i="25"/>
  <c r="AG23" i="25"/>
  <c r="AF23" i="25"/>
  <c r="AE23" i="25"/>
  <c r="AD23" i="25"/>
  <c r="AC23" i="25"/>
  <c r="AB23" i="25"/>
  <c r="AA23" i="25"/>
  <c r="Z23" i="25"/>
  <c r="Y23" i="25"/>
  <c r="X23" i="25"/>
  <c r="W23" i="25"/>
  <c r="V23" i="25"/>
  <c r="U23" i="25"/>
  <c r="T23" i="25"/>
  <c r="S23" i="25"/>
  <c r="R23" i="25"/>
  <c r="Q23" i="25"/>
  <c r="P23" i="25"/>
  <c r="O23" i="25"/>
  <c r="N23"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AK9" i="25"/>
  <c r="AJ9" i="25"/>
  <c r="AI9" i="25"/>
  <c r="AH9" i="25"/>
  <c r="AG9" i="25"/>
  <c r="AF9" i="25"/>
  <c r="AE9" i="25"/>
  <c r="AD9" i="25"/>
  <c r="AC9" i="25"/>
  <c r="AB9" i="25"/>
  <c r="AA9" i="25"/>
  <c r="Z9" i="25"/>
  <c r="Y9" i="25"/>
  <c r="X9" i="25"/>
  <c r="W9" i="25"/>
  <c r="V9" i="25"/>
  <c r="U9" i="25"/>
  <c r="T9" i="25"/>
  <c r="S9" i="25"/>
  <c r="R9" i="25"/>
  <c r="Q9" i="25"/>
  <c r="P9" i="25"/>
  <c r="O9" i="25"/>
  <c r="N9" i="25"/>
  <c r="AK8" i="25"/>
  <c r="AJ8" i="25"/>
  <c r="AI8" i="25"/>
  <c r="AH8" i="25"/>
  <c r="AG8" i="25"/>
  <c r="AF8" i="25"/>
  <c r="AE8" i="25"/>
  <c r="AD8" i="25"/>
  <c r="AC8" i="25"/>
  <c r="AB8" i="25"/>
  <c r="AA8" i="25"/>
  <c r="Z8" i="25"/>
  <c r="Y8" i="25"/>
  <c r="X8" i="25"/>
  <c r="W8" i="25"/>
  <c r="V8" i="25"/>
  <c r="U8" i="25"/>
  <c r="T8" i="25"/>
  <c r="S8" i="25"/>
  <c r="R8" i="25"/>
  <c r="Q8" i="25"/>
  <c r="P8" i="25"/>
  <c r="O8" i="25"/>
  <c r="N8" i="25"/>
  <c r="AK7" i="25"/>
  <c r="AJ7" i="25"/>
  <c r="AI7" i="25"/>
  <c r="AH7" i="25"/>
  <c r="AG7" i="25"/>
  <c r="AF7" i="25"/>
  <c r="AE7" i="25"/>
  <c r="AD7" i="25"/>
  <c r="AC7" i="25"/>
  <c r="AB7" i="25"/>
  <c r="AA7" i="25"/>
  <c r="Z7" i="25"/>
  <c r="Y7" i="25"/>
  <c r="X7" i="25"/>
  <c r="W7" i="25"/>
  <c r="V7" i="25"/>
  <c r="U7" i="25"/>
  <c r="T7" i="25"/>
  <c r="S7" i="25"/>
  <c r="R7" i="25"/>
  <c r="Q7" i="25"/>
  <c r="P7" i="25"/>
  <c r="O7" i="25"/>
  <c r="N7" i="25"/>
  <c r="AK6" i="25"/>
  <c r="AJ6" i="25"/>
  <c r="AI6" i="25"/>
  <c r="AH6" i="25"/>
  <c r="AG6" i="25"/>
  <c r="AF6" i="25"/>
  <c r="AE6" i="25"/>
  <c r="AD6" i="25"/>
  <c r="AC6" i="25"/>
  <c r="AB6" i="25"/>
  <c r="AA6" i="25"/>
  <c r="Z6" i="25"/>
  <c r="Y6" i="25"/>
  <c r="X6" i="25"/>
  <c r="W6" i="25"/>
  <c r="V6" i="25"/>
  <c r="U6" i="25"/>
  <c r="T6" i="25"/>
  <c r="S6" i="25"/>
  <c r="R6" i="25"/>
  <c r="Q6" i="25"/>
  <c r="P6" i="25"/>
  <c r="O6" i="25"/>
  <c r="N6" i="25"/>
  <c r="AK4" i="25"/>
  <c r="AJ4" i="25"/>
  <c r="AI4" i="25"/>
  <c r="AH4" i="25"/>
  <c r="AG4" i="25"/>
  <c r="AF4" i="25"/>
  <c r="AE4" i="25"/>
  <c r="AD4" i="25"/>
  <c r="AC4" i="25"/>
  <c r="AB4" i="25"/>
  <c r="AA4" i="25"/>
  <c r="Z4" i="25"/>
  <c r="Y4" i="25"/>
  <c r="X4" i="25"/>
  <c r="W4" i="25"/>
  <c r="V4" i="25"/>
  <c r="U4" i="25"/>
  <c r="T4" i="25"/>
  <c r="S4" i="25"/>
  <c r="R4" i="25"/>
  <c r="Q4" i="25"/>
  <c r="P4" i="25"/>
  <c r="AK4" i="21"/>
  <c r="AK6" i="21"/>
  <c r="AK7" i="21"/>
  <c r="AK8" i="21"/>
  <c r="AK9" i="21"/>
  <c r="AK10" i="21"/>
  <c r="AK11" i="21"/>
  <c r="AK12" i="21"/>
  <c r="AK13" i="21"/>
  <c r="AK14" i="21"/>
  <c r="AK15" i="21"/>
  <c r="AK16" i="21"/>
  <c r="AK17" i="21"/>
  <c r="AK18" i="21"/>
  <c r="AK19" i="21"/>
  <c r="AK20" i="21"/>
  <c r="AK21" i="21"/>
  <c r="AK22" i="21"/>
  <c r="AK23" i="21"/>
  <c r="AB4" i="21"/>
  <c r="AC4" i="21"/>
  <c r="AD4" i="21"/>
  <c r="AE4" i="21"/>
  <c r="AF4" i="21"/>
  <c r="AG4" i="21"/>
  <c r="AH4" i="21"/>
  <c r="AI4" i="21"/>
  <c r="AJ4" i="21"/>
  <c r="AB6" i="21"/>
  <c r="AC6" i="21"/>
  <c r="AD6" i="21"/>
  <c r="AE6" i="21"/>
  <c r="AF6" i="21"/>
  <c r="AG6" i="21"/>
  <c r="AH6" i="21"/>
  <c r="AI6" i="21"/>
  <c r="AJ6" i="21"/>
  <c r="AB7" i="21"/>
  <c r="AC7" i="21"/>
  <c r="AD7" i="21"/>
  <c r="AE7" i="21"/>
  <c r="AF7" i="21"/>
  <c r="AG7" i="21"/>
  <c r="AH7" i="21"/>
  <c r="AI7" i="21"/>
  <c r="AJ7" i="21"/>
  <c r="AB8" i="21"/>
  <c r="AC8" i="21"/>
  <c r="AD8" i="21"/>
  <c r="AE8" i="21"/>
  <c r="AF8" i="21"/>
  <c r="AG8" i="21"/>
  <c r="AH8" i="21"/>
  <c r="AI8" i="21"/>
  <c r="AJ8" i="21"/>
  <c r="AB9" i="21"/>
  <c r="AC9" i="21"/>
  <c r="AD9" i="21"/>
  <c r="AE9" i="21"/>
  <c r="AF9" i="21"/>
  <c r="AG9" i="21"/>
  <c r="AH9" i="21"/>
  <c r="AI9" i="21"/>
  <c r="AJ9" i="21"/>
  <c r="AB10" i="21"/>
  <c r="AC10" i="21"/>
  <c r="AD10" i="21"/>
  <c r="AE10" i="21"/>
  <c r="AF10" i="21"/>
  <c r="AG10" i="21"/>
  <c r="AH10" i="21"/>
  <c r="AI10" i="21"/>
  <c r="AJ10" i="21"/>
  <c r="AB11" i="21"/>
  <c r="AC11" i="21"/>
  <c r="AD11" i="21"/>
  <c r="AE11" i="21"/>
  <c r="AF11" i="21"/>
  <c r="AG11" i="21"/>
  <c r="AH11" i="21"/>
  <c r="AI11" i="21"/>
  <c r="AJ11" i="21"/>
  <c r="AB12" i="21"/>
  <c r="AC12" i="21"/>
  <c r="AD12" i="21"/>
  <c r="AE12" i="21"/>
  <c r="AF12" i="21"/>
  <c r="AG12" i="21"/>
  <c r="AH12" i="21"/>
  <c r="AI12" i="21"/>
  <c r="AJ12" i="21"/>
  <c r="AB13" i="21"/>
  <c r="AC13" i="21"/>
  <c r="AD13" i="21"/>
  <c r="AE13" i="21"/>
  <c r="AF13" i="21"/>
  <c r="AG13" i="21"/>
  <c r="AH13" i="21"/>
  <c r="AI13" i="21"/>
  <c r="AJ13" i="21"/>
  <c r="AB14" i="21"/>
  <c r="AC14" i="21"/>
  <c r="AD14" i="21"/>
  <c r="AE14" i="21"/>
  <c r="AF14" i="21"/>
  <c r="AG14" i="21"/>
  <c r="AH14" i="21"/>
  <c r="AI14" i="21"/>
  <c r="AJ14" i="21"/>
  <c r="AB15" i="21"/>
  <c r="AC15" i="21"/>
  <c r="AD15" i="21"/>
  <c r="AE15" i="21"/>
  <c r="AF15" i="21"/>
  <c r="AG15" i="21"/>
  <c r="AH15" i="21"/>
  <c r="AI15" i="21"/>
  <c r="AJ15" i="21"/>
  <c r="AB16" i="21"/>
  <c r="AC16" i="21"/>
  <c r="AD16" i="21"/>
  <c r="AE16" i="21"/>
  <c r="AF16" i="21"/>
  <c r="AG16" i="21"/>
  <c r="AH16" i="21"/>
  <c r="AI16" i="21"/>
  <c r="AJ16" i="21"/>
  <c r="AB17" i="21"/>
  <c r="AC17" i="21"/>
  <c r="AD17" i="21"/>
  <c r="AE17" i="21"/>
  <c r="AF17" i="21"/>
  <c r="AG17" i="21"/>
  <c r="AH17" i="21"/>
  <c r="AI17" i="21"/>
  <c r="AJ17" i="21"/>
  <c r="AB18" i="21"/>
  <c r="AC18" i="21"/>
  <c r="AD18" i="21"/>
  <c r="AE18" i="21"/>
  <c r="AF18" i="21"/>
  <c r="AG18" i="21"/>
  <c r="AH18" i="21"/>
  <c r="AI18" i="21"/>
  <c r="AJ18" i="21"/>
  <c r="AB19" i="21"/>
  <c r="AC19" i="21"/>
  <c r="AD19" i="21"/>
  <c r="AE19" i="21"/>
  <c r="AF19" i="21"/>
  <c r="AG19" i="21"/>
  <c r="AH19" i="21"/>
  <c r="AI19" i="21"/>
  <c r="AJ19" i="21"/>
  <c r="AB20" i="21"/>
  <c r="AC20" i="21"/>
  <c r="AD20" i="21"/>
  <c r="AE20" i="21"/>
  <c r="AF20" i="21"/>
  <c r="AG20" i="21"/>
  <c r="AH20" i="21"/>
  <c r="AI20" i="21"/>
  <c r="AJ20" i="21"/>
  <c r="AB21" i="21"/>
  <c r="AC21" i="21"/>
  <c r="AD21" i="21"/>
  <c r="AE21" i="21"/>
  <c r="AF21" i="21"/>
  <c r="AG21" i="21"/>
  <c r="AH21" i="21"/>
  <c r="AI21" i="21"/>
  <c r="AJ21" i="21"/>
  <c r="AB22" i="21"/>
  <c r="AC22" i="21"/>
  <c r="AD22" i="21"/>
  <c r="AE22" i="21"/>
  <c r="AF22" i="21"/>
  <c r="AG22" i="21"/>
  <c r="AH22" i="21"/>
  <c r="AI22" i="21"/>
  <c r="AJ22" i="21"/>
  <c r="AB23" i="21"/>
  <c r="AC23" i="21"/>
  <c r="AD23" i="21"/>
  <c r="AE23" i="21"/>
  <c r="AF23" i="21"/>
  <c r="AG23" i="21"/>
  <c r="AH23" i="21"/>
  <c r="AI23" i="21"/>
  <c r="AJ23" i="21"/>
  <c r="AA4" i="21"/>
  <c r="AA7" i="21"/>
  <c r="AA8" i="21"/>
  <c r="AA9" i="21"/>
  <c r="AA10" i="21"/>
  <c r="AA11" i="21"/>
  <c r="AA12" i="21"/>
  <c r="AA13" i="21"/>
  <c r="AA14" i="21"/>
  <c r="AA15" i="21"/>
  <c r="AA16" i="21"/>
  <c r="AA17" i="21"/>
  <c r="AA18" i="21"/>
  <c r="AA19" i="21"/>
  <c r="AA20" i="21"/>
  <c r="AA21" i="21"/>
  <c r="AA22" i="21"/>
  <c r="AA23" i="21"/>
  <c r="AA6" i="21"/>
  <c r="P7" i="21"/>
  <c r="Q7" i="21"/>
  <c r="R7" i="21"/>
  <c r="S7" i="21"/>
  <c r="T7" i="21"/>
  <c r="U7" i="21"/>
  <c r="V7" i="21"/>
  <c r="W7" i="21"/>
  <c r="X7" i="21"/>
  <c r="Y7" i="21"/>
  <c r="Z7" i="21"/>
  <c r="P8" i="21"/>
  <c r="Q8" i="21"/>
  <c r="R8" i="21"/>
  <c r="S8" i="21"/>
  <c r="T8" i="21"/>
  <c r="U8" i="21"/>
  <c r="V8" i="21"/>
  <c r="W8" i="21"/>
  <c r="X8" i="21"/>
  <c r="Y8" i="21"/>
  <c r="Z8" i="21"/>
  <c r="P9" i="21"/>
  <c r="Q9" i="21"/>
  <c r="R9" i="21"/>
  <c r="S9" i="21"/>
  <c r="T9" i="21"/>
  <c r="U9" i="21"/>
  <c r="V9" i="21"/>
  <c r="W9" i="21"/>
  <c r="X9" i="21"/>
  <c r="Y9" i="21"/>
  <c r="Z9" i="21"/>
  <c r="P10" i="21"/>
  <c r="Q10" i="21"/>
  <c r="R10" i="21"/>
  <c r="S10" i="21"/>
  <c r="T10" i="21"/>
  <c r="U10" i="21"/>
  <c r="V10" i="21"/>
  <c r="W10" i="21"/>
  <c r="X10" i="21"/>
  <c r="Y10" i="21"/>
  <c r="Z10" i="21"/>
  <c r="P11" i="21"/>
  <c r="Q11" i="21"/>
  <c r="R11" i="21"/>
  <c r="S11" i="21"/>
  <c r="T11" i="21"/>
  <c r="U11" i="21"/>
  <c r="V11" i="21"/>
  <c r="W11" i="21"/>
  <c r="X11" i="21"/>
  <c r="Y11" i="21"/>
  <c r="Z11" i="21"/>
  <c r="P12" i="21"/>
  <c r="Q12" i="21"/>
  <c r="R12" i="21"/>
  <c r="S12" i="21"/>
  <c r="T12" i="21"/>
  <c r="U12" i="21"/>
  <c r="V12" i="21"/>
  <c r="W12" i="21"/>
  <c r="X12" i="21"/>
  <c r="Y12" i="21"/>
  <c r="Z12" i="21"/>
  <c r="P13" i="21"/>
  <c r="Q13" i="21"/>
  <c r="R13" i="21"/>
  <c r="S13" i="21"/>
  <c r="T13" i="21"/>
  <c r="U13" i="21"/>
  <c r="V13" i="21"/>
  <c r="W13" i="21"/>
  <c r="X13" i="21"/>
  <c r="Y13" i="21"/>
  <c r="Z13" i="21"/>
  <c r="P14" i="21"/>
  <c r="Q14" i="21"/>
  <c r="R14" i="21"/>
  <c r="S14" i="21"/>
  <c r="T14" i="21"/>
  <c r="U14" i="21"/>
  <c r="V14" i="21"/>
  <c r="W14" i="21"/>
  <c r="X14" i="21"/>
  <c r="Y14" i="21"/>
  <c r="Z14" i="21"/>
  <c r="P15" i="21"/>
  <c r="Q15" i="21"/>
  <c r="R15" i="21"/>
  <c r="S15" i="21"/>
  <c r="T15" i="21"/>
  <c r="U15" i="21"/>
  <c r="V15" i="21"/>
  <c r="W15" i="21"/>
  <c r="X15" i="21"/>
  <c r="Y15" i="21"/>
  <c r="Z15" i="21"/>
  <c r="P16" i="21"/>
  <c r="Q16" i="21"/>
  <c r="R16" i="21"/>
  <c r="S16" i="21"/>
  <c r="T16" i="21"/>
  <c r="U16" i="21"/>
  <c r="V16" i="21"/>
  <c r="W16" i="21"/>
  <c r="X16" i="21"/>
  <c r="Y16" i="21"/>
  <c r="Z16" i="21"/>
  <c r="P17" i="21"/>
  <c r="Q17" i="21"/>
  <c r="R17" i="21"/>
  <c r="S17" i="21"/>
  <c r="T17" i="21"/>
  <c r="U17" i="21"/>
  <c r="V17" i="21"/>
  <c r="W17" i="21"/>
  <c r="X17" i="21"/>
  <c r="Y17" i="21"/>
  <c r="Z17" i="21"/>
  <c r="P18" i="21"/>
  <c r="Q18" i="21"/>
  <c r="R18" i="21"/>
  <c r="S18" i="21"/>
  <c r="T18" i="21"/>
  <c r="U18" i="21"/>
  <c r="V18" i="21"/>
  <c r="W18" i="21"/>
  <c r="X18" i="21"/>
  <c r="Y18" i="21"/>
  <c r="Z18" i="21"/>
  <c r="P19" i="21"/>
  <c r="Q19" i="21"/>
  <c r="R19" i="21"/>
  <c r="S19" i="21"/>
  <c r="T19" i="21"/>
  <c r="U19" i="21"/>
  <c r="V19" i="21"/>
  <c r="W19" i="21"/>
  <c r="X19" i="21"/>
  <c r="Y19" i="21"/>
  <c r="Z19" i="21"/>
  <c r="P20" i="21"/>
  <c r="Q20" i="21"/>
  <c r="R20" i="21"/>
  <c r="S20" i="21"/>
  <c r="T20" i="21"/>
  <c r="U20" i="21"/>
  <c r="V20" i="21"/>
  <c r="W20" i="21"/>
  <c r="X20" i="21"/>
  <c r="Y20" i="21"/>
  <c r="Z20" i="21"/>
  <c r="P21" i="21"/>
  <c r="Q21" i="21"/>
  <c r="R21" i="21"/>
  <c r="S21" i="21"/>
  <c r="T21" i="21"/>
  <c r="U21" i="21"/>
  <c r="V21" i="21"/>
  <c r="W21" i="21"/>
  <c r="X21" i="21"/>
  <c r="Y21" i="21"/>
  <c r="Z21" i="21"/>
  <c r="P22" i="21"/>
  <c r="Q22" i="21"/>
  <c r="R22" i="21"/>
  <c r="S22" i="21"/>
  <c r="T22" i="21"/>
  <c r="U22" i="21"/>
  <c r="V22" i="21"/>
  <c r="W22" i="21"/>
  <c r="X22" i="21"/>
  <c r="Y22" i="21"/>
  <c r="Z22" i="21"/>
  <c r="P23" i="21"/>
  <c r="Q23" i="21"/>
  <c r="R23" i="21"/>
  <c r="S23" i="21"/>
  <c r="T23" i="21"/>
  <c r="U23" i="21"/>
  <c r="V23" i="21"/>
  <c r="W23" i="21"/>
  <c r="X23" i="21"/>
  <c r="Y23" i="21"/>
  <c r="Z23" i="21"/>
  <c r="Q6" i="21"/>
  <c r="R6" i="21"/>
  <c r="S6" i="21"/>
  <c r="T6" i="21"/>
  <c r="U6" i="21"/>
  <c r="V6" i="21"/>
  <c r="W6" i="21"/>
  <c r="X6" i="21"/>
  <c r="Y6" i="21"/>
  <c r="Z6" i="21"/>
  <c r="X4" i="21"/>
  <c r="Y4" i="21"/>
  <c r="Z4" i="21"/>
  <c r="Q4" i="21"/>
  <c r="R4" i="21"/>
  <c r="S4" i="21"/>
  <c r="T4" i="21"/>
  <c r="U4" i="21"/>
  <c r="V4" i="21"/>
  <c r="W4" i="21"/>
  <c r="P4" i="21"/>
  <c r="P6" i="21"/>
  <c r="O6" i="21"/>
  <c r="O7" i="21"/>
  <c r="O8" i="21"/>
  <c r="O9" i="21"/>
  <c r="O10" i="21"/>
  <c r="O23" i="21"/>
  <c r="O12" i="21"/>
  <c r="O13" i="21"/>
  <c r="O14" i="21"/>
  <c r="O15" i="21"/>
  <c r="O16" i="21"/>
  <c r="O17" i="21"/>
  <c r="O18" i="21"/>
  <c r="O19" i="21"/>
  <c r="O20" i="21"/>
  <c r="O21" i="21"/>
  <c r="O22" i="21"/>
  <c r="O11" i="21"/>
  <c r="N7" i="21"/>
  <c r="N8" i="21"/>
  <c r="N9" i="21"/>
  <c r="N10" i="21"/>
  <c r="N11" i="21"/>
  <c r="N12" i="21"/>
  <c r="N13" i="21"/>
  <c r="N14" i="21"/>
  <c r="N15" i="21"/>
  <c r="N16" i="21"/>
  <c r="N17" i="21"/>
  <c r="N18" i="21"/>
  <c r="N19" i="21"/>
  <c r="N20" i="21"/>
  <c r="N21" i="21"/>
  <c r="N22" i="21"/>
  <c r="N23" i="21"/>
  <c r="N6" i="21"/>
  <c r="P7" i="55" l="1"/>
  <c r="P10" i="55"/>
  <c r="P8" i="55"/>
  <c r="P6" i="5"/>
  <c r="P8" i="5"/>
  <c r="P6" i="35"/>
  <c r="P9" i="35"/>
  <c r="O5" i="14"/>
  <c r="O5" i="50"/>
  <c r="N5" i="14"/>
  <c r="N5" i="50"/>
  <c r="Y97" i="74"/>
  <c r="Y94" i="74"/>
  <c r="R97" i="74"/>
  <c r="R94" i="74"/>
  <c r="C29" i="28"/>
  <c r="L28" i="28"/>
  <c r="L29" i="28" s="1"/>
  <c r="K28" i="28"/>
  <c r="K29" i="28" s="1"/>
  <c r="J28" i="28"/>
  <c r="J29" i="28" s="1"/>
  <c r="I28" i="28"/>
  <c r="I29" i="28" s="1"/>
  <c r="H28" i="28"/>
  <c r="H29" i="28" s="1"/>
  <c r="G28" i="28"/>
  <c r="G29" i="28" s="1"/>
  <c r="F28" i="28"/>
  <c r="F29" i="28" s="1"/>
  <c r="E28" i="28"/>
  <c r="E29" i="28" s="1"/>
  <c r="D28" i="28"/>
  <c r="D29" i="28" s="1"/>
  <c r="C28" i="28"/>
  <c r="B28" i="28"/>
  <c r="B29" i="28" s="1"/>
  <c r="B25" i="28"/>
  <c r="L24" i="28"/>
  <c r="L25" i="28" s="1"/>
  <c r="K24" i="28"/>
  <c r="K25" i="28" s="1"/>
  <c r="J24" i="28"/>
  <c r="J25" i="28" s="1"/>
  <c r="I24" i="28"/>
  <c r="I25" i="28" s="1"/>
  <c r="H24" i="28"/>
  <c r="H25" i="28" s="1"/>
  <c r="G24" i="28"/>
  <c r="G25" i="28" s="1"/>
  <c r="F24" i="28"/>
  <c r="F25" i="28" s="1"/>
  <c r="E24" i="28"/>
  <c r="E25" i="28" s="1"/>
  <c r="D24" i="28"/>
  <c r="D25" i="28" s="1"/>
  <c r="C24" i="28"/>
  <c r="C25" i="28" s="1"/>
  <c r="B24" i="28"/>
  <c r="B22" i="28"/>
  <c r="L21" i="28"/>
  <c r="L22" i="28" s="1"/>
  <c r="K21" i="28"/>
  <c r="K22" i="28" s="1"/>
  <c r="J21" i="28"/>
  <c r="J22" i="28" s="1"/>
  <c r="I21" i="28"/>
  <c r="I22" i="28" s="1"/>
  <c r="H21" i="28"/>
  <c r="H22" i="28" s="1"/>
  <c r="G21" i="28"/>
  <c r="G22" i="28" s="1"/>
  <c r="F21" i="28"/>
  <c r="F22" i="28" s="1"/>
  <c r="E21" i="28"/>
  <c r="E22" i="28" s="1"/>
  <c r="D21" i="28"/>
  <c r="D22" i="28" s="1"/>
  <c r="C21" i="28"/>
  <c r="C22" i="28" s="1"/>
  <c r="B21" i="28"/>
  <c r="O9" i="31"/>
  <c r="P9" i="31"/>
  <c r="O10" i="31"/>
  <c r="P10" i="31"/>
  <c r="O11" i="31"/>
  <c r="P11" i="31"/>
  <c r="O12" i="31"/>
  <c r="P12" i="31"/>
  <c r="O13" i="31"/>
  <c r="P13" i="31"/>
  <c r="O14" i="31"/>
  <c r="P14" i="31"/>
  <c r="O15" i="31"/>
  <c r="P15" i="31"/>
  <c r="O16" i="31"/>
  <c r="P16" i="31"/>
  <c r="O17" i="31"/>
  <c r="P17" i="31"/>
  <c r="O18" i="31"/>
  <c r="P18" i="31"/>
  <c r="O19" i="31"/>
  <c r="P19" i="31"/>
  <c r="O20" i="31"/>
  <c r="P20" i="31"/>
  <c r="O21" i="31"/>
  <c r="P21" i="31"/>
  <c r="O22" i="31"/>
  <c r="P22" i="31"/>
  <c r="O23" i="31"/>
  <c r="P23" i="31"/>
  <c r="O24" i="31"/>
  <c r="P24" i="31"/>
  <c r="O25" i="31"/>
  <c r="P25" i="31"/>
  <c r="O26" i="31"/>
  <c r="P26" i="31"/>
  <c r="O27" i="31"/>
  <c r="P27" i="31"/>
  <c r="O28" i="31"/>
  <c r="P28" i="31"/>
  <c r="O29" i="31"/>
  <c r="P29" i="31"/>
  <c r="O30" i="31"/>
  <c r="P30" i="31"/>
  <c r="O31" i="31"/>
  <c r="P31" i="31"/>
  <c r="O32" i="31"/>
  <c r="P32" i="31"/>
  <c r="O33" i="31"/>
  <c r="P33" i="31"/>
  <c r="O34" i="31"/>
  <c r="P34" i="31"/>
  <c r="O35" i="31"/>
  <c r="P35" i="31"/>
  <c r="O36" i="31"/>
  <c r="P36" i="31"/>
  <c r="O37" i="31"/>
  <c r="P37" i="31"/>
  <c r="O38" i="31"/>
  <c r="P38" i="31"/>
  <c r="O39" i="31"/>
  <c r="P39" i="31"/>
  <c r="O40" i="31"/>
  <c r="P40" i="31"/>
  <c r="O41" i="31"/>
  <c r="P41" i="31"/>
  <c r="O42" i="31"/>
  <c r="P42" i="31"/>
  <c r="O43" i="31"/>
  <c r="P43" i="31"/>
  <c r="O44" i="31"/>
  <c r="P44" i="31"/>
  <c r="O45" i="31"/>
  <c r="P45" i="31"/>
  <c r="O46" i="31"/>
  <c r="P46" i="31"/>
  <c r="O47" i="31"/>
  <c r="P47" i="31"/>
  <c r="O48" i="31"/>
  <c r="P48" i="31"/>
  <c r="O49" i="31"/>
  <c r="P49" i="31"/>
  <c r="O50" i="31"/>
  <c r="P50" i="31"/>
  <c r="O51" i="31"/>
  <c r="P51" i="31"/>
  <c r="O52" i="31"/>
  <c r="P52" i="31"/>
  <c r="O53" i="31"/>
  <c r="P53" i="31"/>
  <c r="O54" i="31"/>
  <c r="P54" i="31"/>
  <c r="O55" i="31"/>
  <c r="P55" i="31"/>
  <c r="O56" i="31"/>
  <c r="P56" i="31"/>
  <c r="O57" i="31"/>
  <c r="P57" i="31"/>
  <c r="O58" i="31"/>
  <c r="P58" i="31"/>
  <c r="O59" i="31"/>
  <c r="P59" i="31"/>
  <c r="O60" i="31"/>
  <c r="P60" i="31"/>
  <c r="O61" i="31"/>
  <c r="P61" i="31"/>
  <c r="O62" i="31"/>
  <c r="P62" i="31"/>
  <c r="O63" i="31"/>
  <c r="P63" i="31"/>
  <c r="O64" i="31"/>
  <c r="P64" i="31"/>
  <c r="O65" i="31"/>
  <c r="P65" i="31"/>
  <c r="O66" i="31"/>
  <c r="P66" i="31"/>
  <c r="O67" i="31"/>
  <c r="P67" i="31"/>
  <c r="O68" i="31"/>
  <c r="P68" i="31"/>
  <c r="O69" i="31"/>
  <c r="P69" i="31"/>
  <c r="O70" i="31"/>
  <c r="P70" i="31"/>
  <c r="O71" i="31"/>
  <c r="P71" i="31"/>
  <c r="O72" i="31"/>
  <c r="P72" i="31"/>
  <c r="O73" i="31"/>
  <c r="P73" i="31"/>
  <c r="O74" i="31"/>
  <c r="P74" i="31"/>
  <c r="O75" i="31"/>
  <c r="P75" i="31"/>
  <c r="O76" i="31"/>
  <c r="P76" i="31"/>
  <c r="O77" i="31"/>
  <c r="P77" i="31"/>
  <c r="O78" i="31"/>
  <c r="P78" i="31"/>
  <c r="O79" i="31"/>
  <c r="P79" i="31"/>
  <c r="O80" i="31"/>
  <c r="P80" i="31"/>
  <c r="O81" i="31"/>
  <c r="P81" i="31"/>
  <c r="O82" i="31"/>
  <c r="P82" i="31"/>
  <c r="O83" i="31"/>
  <c r="P83" i="31"/>
  <c r="O84" i="31"/>
  <c r="P84" i="31"/>
  <c r="O85" i="31"/>
  <c r="P85" i="31"/>
  <c r="O86" i="31"/>
  <c r="P86" i="31"/>
  <c r="O87" i="31"/>
  <c r="P87" i="31"/>
  <c r="O88" i="31"/>
  <c r="P88" i="31"/>
  <c r="O89" i="31"/>
  <c r="P89" i="31"/>
  <c r="O90" i="31"/>
  <c r="P90" i="31"/>
  <c r="O91" i="31"/>
  <c r="P91" i="31"/>
  <c r="O92" i="31"/>
  <c r="P92" i="31"/>
  <c r="O93" i="31"/>
  <c r="P93" i="31"/>
  <c r="O94" i="31"/>
  <c r="P94" i="31"/>
  <c r="O95" i="31"/>
  <c r="P95" i="31"/>
  <c r="O96" i="31"/>
  <c r="P96" i="31"/>
  <c r="O97" i="31"/>
  <c r="P97" i="31"/>
  <c r="O98" i="31"/>
  <c r="P98" i="31"/>
  <c r="O99" i="31"/>
  <c r="P99" i="31"/>
  <c r="O100" i="31"/>
  <c r="P100" i="31"/>
  <c r="O101" i="31"/>
  <c r="P101" i="31"/>
  <c r="P8" i="31"/>
  <c r="O8" i="31"/>
  <c r="O41" i="27"/>
  <c r="P41" i="27"/>
  <c r="O42" i="27"/>
  <c r="P42" i="27"/>
  <c r="O43" i="27"/>
  <c r="P43" i="27"/>
  <c r="O44" i="27"/>
  <c r="P44" i="27"/>
  <c r="O45" i="27"/>
  <c r="P45" i="27"/>
  <c r="O46" i="27"/>
  <c r="P46" i="27"/>
  <c r="O47" i="27"/>
  <c r="P47" i="27"/>
  <c r="O9" i="27"/>
  <c r="P9" i="27"/>
  <c r="O10" i="27"/>
  <c r="P10" i="27"/>
  <c r="O11" i="27"/>
  <c r="P11" i="27"/>
  <c r="O12" i="27"/>
  <c r="P12" i="27"/>
  <c r="O13" i="27"/>
  <c r="P13" i="27"/>
  <c r="O14" i="27"/>
  <c r="P14" i="27"/>
  <c r="O15" i="27"/>
  <c r="P15" i="27"/>
  <c r="O16" i="27"/>
  <c r="P16" i="27"/>
  <c r="O17" i="27"/>
  <c r="P17" i="27"/>
  <c r="O18" i="27"/>
  <c r="P18" i="27"/>
  <c r="O19" i="27"/>
  <c r="P19" i="27"/>
  <c r="O20" i="27"/>
  <c r="P20" i="27"/>
  <c r="O21" i="27"/>
  <c r="P21" i="27"/>
  <c r="O22" i="27"/>
  <c r="P22" i="27"/>
  <c r="O23" i="27"/>
  <c r="P23" i="27"/>
  <c r="O24" i="27"/>
  <c r="P24" i="27"/>
  <c r="O25" i="27"/>
  <c r="P25" i="27"/>
  <c r="O26" i="27"/>
  <c r="P26" i="27"/>
  <c r="O27" i="27"/>
  <c r="P27" i="27"/>
  <c r="O28" i="27"/>
  <c r="P28" i="27"/>
  <c r="O29" i="27"/>
  <c r="P29" i="27"/>
  <c r="O30" i="27"/>
  <c r="P30" i="27"/>
  <c r="O31" i="27"/>
  <c r="P31" i="27"/>
  <c r="O32" i="27"/>
  <c r="P32" i="27"/>
  <c r="O33" i="27"/>
  <c r="P33" i="27"/>
  <c r="O34" i="27"/>
  <c r="P34" i="27"/>
  <c r="O35" i="27"/>
  <c r="P35" i="27"/>
  <c r="O36" i="27"/>
  <c r="P36" i="27"/>
  <c r="O37" i="27"/>
  <c r="P37" i="27"/>
  <c r="O38" i="27"/>
  <c r="P38" i="27"/>
  <c r="O39" i="27"/>
  <c r="P39" i="27"/>
  <c r="O40" i="27"/>
  <c r="P40" i="27"/>
  <c r="P8" i="27"/>
  <c r="O8" i="27"/>
  <c r="O5" i="31"/>
  <c r="P5" i="31"/>
  <c r="P5" i="27"/>
  <c r="O5" i="27"/>
  <c r="N5" i="20"/>
  <c r="N5" i="24"/>
  <c r="L29" i="24"/>
  <c r="F29" i="24"/>
  <c r="L28" i="24"/>
  <c r="K28" i="24"/>
  <c r="K29" i="24" s="1"/>
  <c r="J28" i="24"/>
  <c r="J29" i="24" s="1"/>
  <c r="I28" i="24"/>
  <c r="I29" i="24" s="1"/>
  <c r="H28" i="24"/>
  <c r="H29" i="24" s="1"/>
  <c r="G28" i="24"/>
  <c r="G29" i="24" s="1"/>
  <c r="F28" i="24"/>
  <c r="E28" i="24"/>
  <c r="E29" i="24" s="1"/>
  <c r="D28" i="24"/>
  <c r="D29" i="24" s="1"/>
  <c r="C28" i="24"/>
  <c r="C29" i="24" s="1"/>
  <c r="B28" i="24"/>
  <c r="B29" i="24" s="1"/>
  <c r="H25" i="24"/>
  <c r="L24" i="24"/>
  <c r="L25" i="24" s="1"/>
  <c r="K24" i="24"/>
  <c r="K25" i="24" s="1"/>
  <c r="J24" i="24"/>
  <c r="J25" i="24" s="1"/>
  <c r="I24" i="24"/>
  <c r="I25" i="24" s="1"/>
  <c r="H24" i="24"/>
  <c r="G24" i="24"/>
  <c r="G25" i="24" s="1"/>
  <c r="F24" i="24"/>
  <c r="F25" i="24" s="1"/>
  <c r="E24" i="24"/>
  <c r="E25" i="24" s="1"/>
  <c r="D24" i="24"/>
  <c r="D25" i="24" s="1"/>
  <c r="C24" i="24"/>
  <c r="C25" i="24" s="1"/>
  <c r="B24" i="24"/>
  <c r="B25" i="24" s="1"/>
  <c r="C22" i="24"/>
  <c r="L21" i="24"/>
  <c r="L22" i="24" s="1"/>
  <c r="K21" i="24"/>
  <c r="K22" i="24" s="1"/>
  <c r="J21" i="24"/>
  <c r="J22" i="24" s="1"/>
  <c r="I21" i="24"/>
  <c r="I22" i="24" s="1"/>
  <c r="H21" i="24"/>
  <c r="H22" i="24" s="1"/>
  <c r="G21" i="24"/>
  <c r="G22" i="24" s="1"/>
  <c r="F21" i="24"/>
  <c r="F22" i="24" s="1"/>
  <c r="E21" i="24"/>
  <c r="E22" i="24" s="1"/>
  <c r="D21" i="24"/>
  <c r="D22" i="24" s="1"/>
  <c r="C21" i="24"/>
  <c r="B21" i="24"/>
  <c r="B22" i="24" s="1"/>
  <c r="C28" i="20"/>
  <c r="C29" i="20" s="1"/>
  <c r="D28" i="20"/>
  <c r="D29" i="20" s="1"/>
  <c r="E28" i="20"/>
  <c r="E29" i="20" s="1"/>
  <c r="F28" i="20"/>
  <c r="F29" i="20" s="1"/>
  <c r="G28" i="20"/>
  <c r="G29" i="20" s="1"/>
  <c r="H28" i="20"/>
  <c r="H29" i="20" s="1"/>
  <c r="I28" i="20"/>
  <c r="I29" i="20" s="1"/>
  <c r="J28" i="20"/>
  <c r="J29" i="20" s="1"/>
  <c r="K28" i="20"/>
  <c r="K29" i="20" s="1"/>
  <c r="L28" i="20"/>
  <c r="L29" i="20" s="1"/>
  <c r="B28" i="20"/>
  <c r="B29" i="20" s="1"/>
  <c r="H25" i="20"/>
  <c r="B22" i="20"/>
  <c r="C21" i="20"/>
  <c r="C22" i="20" s="1"/>
  <c r="D21" i="20"/>
  <c r="D22" i="20" s="1"/>
  <c r="E21" i="20"/>
  <c r="E22" i="20" s="1"/>
  <c r="F21" i="20"/>
  <c r="F22" i="20" s="1"/>
  <c r="G21" i="20"/>
  <c r="G22" i="20" s="1"/>
  <c r="H21" i="20"/>
  <c r="H22" i="20" s="1"/>
  <c r="I21" i="20"/>
  <c r="I22" i="20" s="1"/>
  <c r="J21" i="20"/>
  <c r="J22" i="20" s="1"/>
  <c r="K21" i="20"/>
  <c r="K22" i="20" s="1"/>
  <c r="L21" i="20"/>
  <c r="L22" i="20" s="1"/>
  <c r="C24" i="20"/>
  <c r="C25" i="20" s="1"/>
  <c r="D24" i="20"/>
  <c r="D25" i="20" s="1"/>
  <c r="E24" i="20"/>
  <c r="E25" i="20" s="1"/>
  <c r="F24" i="20"/>
  <c r="F25" i="20" s="1"/>
  <c r="G24" i="20"/>
  <c r="G25" i="20" s="1"/>
  <c r="H24" i="20"/>
  <c r="I24" i="20"/>
  <c r="I25" i="20" s="1"/>
  <c r="J24" i="20"/>
  <c r="J25" i="20" s="1"/>
  <c r="K24" i="20"/>
  <c r="K25" i="20" s="1"/>
  <c r="L24" i="20"/>
  <c r="L25" i="20" s="1"/>
  <c r="B24" i="20"/>
  <c r="B25" i="20" s="1"/>
  <c r="B21" i="20"/>
  <c r="P11" i="23"/>
  <c r="O11" i="23"/>
  <c r="P9" i="23"/>
  <c r="O9" i="23"/>
  <c r="P8" i="23"/>
  <c r="O8" i="23"/>
  <c r="P38" i="23"/>
  <c r="O38" i="23"/>
  <c r="P36" i="23"/>
  <c r="O36" i="23"/>
  <c r="P35" i="23"/>
  <c r="O35" i="23"/>
  <c r="P38" i="19"/>
  <c r="O38" i="19"/>
  <c r="P35" i="19"/>
  <c r="O35" i="19"/>
  <c r="P36" i="19"/>
  <c r="O36" i="19"/>
  <c r="N71" i="84" l="1"/>
  <c r="N70" i="84"/>
  <c r="N69" i="84"/>
  <c r="N68" i="84"/>
  <c r="N67" i="84"/>
  <c r="N60" i="84"/>
  <c r="N59" i="84"/>
  <c r="N58" i="84"/>
  <c r="N57" i="84"/>
  <c r="N56" i="84"/>
  <c r="N49" i="84"/>
  <c r="N48" i="84"/>
  <c r="N47" i="84"/>
  <c r="N46" i="84"/>
  <c r="N45" i="84"/>
  <c r="P7" i="84"/>
  <c r="P8" i="84"/>
  <c r="P9" i="84"/>
  <c r="P10" i="84"/>
  <c r="P6" i="84"/>
  <c r="F57" i="85"/>
  <c r="C57" i="85"/>
  <c r="U101" i="79" l="1"/>
  <c r="V101" i="79"/>
  <c r="W101" i="79"/>
  <c r="X101" i="79"/>
  <c r="Y101" i="79"/>
  <c r="Z101" i="79"/>
  <c r="AA101" i="79"/>
  <c r="AB101" i="79"/>
  <c r="AC101" i="79"/>
  <c r="AD101" i="79"/>
  <c r="AA108" i="79" s="1"/>
  <c r="T101" i="79"/>
  <c r="U61" i="79"/>
  <c r="V61" i="79"/>
  <c r="W61" i="79"/>
  <c r="X61" i="79"/>
  <c r="Y61" i="79"/>
  <c r="Z61" i="79"/>
  <c r="AA61" i="79"/>
  <c r="AB61" i="79"/>
  <c r="AC61" i="79"/>
  <c r="AD61" i="79"/>
  <c r="AA68" i="79" s="1"/>
  <c r="T61" i="79"/>
  <c r="U21" i="79"/>
  <c r="V21" i="79"/>
  <c r="W21" i="79"/>
  <c r="X21" i="79"/>
  <c r="Y21" i="79"/>
  <c r="Z21" i="79"/>
  <c r="AA21" i="79"/>
  <c r="AB21" i="79"/>
  <c r="AC21" i="79"/>
  <c r="AD21" i="79"/>
  <c r="AA28" i="79" s="1"/>
  <c r="T21" i="79"/>
  <c r="CF24" i="75"/>
  <c r="CE24" i="75"/>
  <c r="CD24" i="75"/>
  <c r="CC24" i="75"/>
  <c r="CB24" i="75"/>
  <c r="CA24" i="75"/>
  <c r="BZ24" i="75"/>
  <c r="BY24" i="75"/>
  <c r="BX24" i="75"/>
  <c r="BW24" i="75"/>
  <c r="BV24" i="75"/>
  <c r="CF17" i="75"/>
  <c r="CE17" i="75"/>
  <c r="CD17" i="75"/>
  <c r="CC17" i="75"/>
  <c r="CB17" i="75"/>
  <c r="CA17" i="75"/>
  <c r="BZ17" i="75"/>
  <c r="BY17" i="75"/>
  <c r="BX17" i="75"/>
  <c r="BW17" i="75"/>
  <c r="BV17" i="75"/>
  <c r="CF10" i="75"/>
  <c r="CE10" i="75"/>
  <c r="CD10" i="75"/>
  <c r="CC10" i="75"/>
  <c r="CB10" i="75"/>
  <c r="CA10" i="75"/>
  <c r="BZ10" i="75"/>
  <c r="BY10" i="75"/>
  <c r="BX10" i="75"/>
  <c r="BW10" i="75"/>
  <c r="BV10" i="75"/>
  <c r="CF3" i="75"/>
  <c r="CE3" i="75"/>
  <c r="CD3" i="75"/>
  <c r="CC3" i="75"/>
  <c r="CB3" i="75"/>
  <c r="CA3" i="75"/>
  <c r="BZ3" i="75"/>
  <c r="BY3" i="75"/>
  <c r="BX3" i="75"/>
  <c r="BW3" i="75"/>
  <c r="BV3" i="75"/>
  <c r="R60" i="75"/>
  <c r="R61" i="75"/>
  <c r="R62" i="75"/>
  <c r="R59" i="75"/>
  <c r="R52" i="75"/>
  <c r="R53" i="75"/>
  <c r="R54" i="75"/>
  <c r="R51" i="75"/>
  <c r="X93" i="74" l="1"/>
  <c r="X92" i="74"/>
  <c r="Q93" i="74"/>
  <c r="Q96" i="74"/>
  <c r="Q95" i="74"/>
  <c r="Q92" i="74"/>
  <c r="V96" i="74"/>
  <c r="V95" i="74"/>
  <c r="C4" i="94"/>
  <c r="AR4" i="94" s="1"/>
  <c r="D4" i="94"/>
  <c r="AS4" i="94" s="1"/>
  <c r="E4" i="94"/>
  <c r="AT4" i="94" s="1"/>
  <c r="F4" i="94"/>
  <c r="AU4" i="94" s="1"/>
  <c r="G4" i="94"/>
  <c r="AV4" i="94" s="1"/>
  <c r="H4" i="94"/>
  <c r="AW4" i="94" s="1"/>
  <c r="I4" i="94"/>
  <c r="AX4" i="94" s="1"/>
  <c r="J4" i="94"/>
  <c r="AY4" i="94" s="1"/>
  <c r="K4" i="94"/>
  <c r="AZ4" i="94" s="1"/>
  <c r="L4" i="94"/>
  <c r="BA4" i="94" s="1"/>
  <c r="M4" i="94"/>
  <c r="BB4" i="94" s="1"/>
  <c r="A5" i="94"/>
  <c r="B5" i="94"/>
  <c r="C5" i="94"/>
  <c r="C89" i="80" s="1"/>
  <c r="D5" i="94"/>
  <c r="D89" i="80" s="1"/>
  <c r="E5" i="94"/>
  <c r="E89" i="80" s="1"/>
  <c r="F5" i="94"/>
  <c r="F89" i="80" s="1"/>
  <c r="G5" i="94"/>
  <c r="G89" i="80" s="1"/>
  <c r="H5" i="94"/>
  <c r="H89" i="80" s="1"/>
  <c r="I5" i="94"/>
  <c r="I89" i="80" s="1"/>
  <c r="J5" i="94"/>
  <c r="J89" i="80" s="1"/>
  <c r="K5" i="94"/>
  <c r="K89" i="80" s="1"/>
  <c r="L5" i="94"/>
  <c r="L89" i="80" s="1"/>
  <c r="M5" i="94"/>
  <c r="M89" i="80" s="1"/>
  <c r="B6" i="94"/>
  <c r="C6" i="94"/>
  <c r="C71" i="80" s="1"/>
  <c r="D6" i="94"/>
  <c r="D71" i="80" s="1"/>
  <c r="E6" i="94"/>
  <c r="E71" i="80" s="1"/>
  <c r="F6" i="94"/>
  <c r="F71" i="80" s="1"/>
  <c r="G6" i="94"/>
  <c r="G71" i="80" s="1"/>
  <c r="H6" i="94"/>
  <c r="H71" i="80" s="1"/>
  <c r="I6" i="94"/>
  <c r="I71" i="80" s="1"/>
  <c r="J6" i="94"/>
  <c r="J71" i="80" s="1"/>
  <c r="K6" i="94"/>
  <c r="K71" i="80" s="1"/>
  <c r="L6" i="94"/>
  <c r="L71" i="80" s="1"/>
  <c r="M6" i="94"/>
  <c r="M71" i="80" s="1"/>
  <c r="B7" i="94"/>
  <c r="C7" i="94"/>
  <c r="C80" i="80" s="1"/>
  <c r="D7" i="94"/>
  <c r="D80" i="80" s="1"/>
  <c r="E7" i="94"/>
  <c r="E80" i="80" s="1"/>
  <c r="F7" i="94"/>
  <c r="F80" i="80" s="1"/>
  <c r="G7" i="94"/>
  <c r="G80" i="80" s="1"/>
  <c r="H7" i="94"/>
  <c r="H80" i="80" s="1"/>
  <c r="I7" i="94"/>
  <c r="I80" i="80" s="1"/>
  <c r="J7" i="94"/>
  <c r="J80" i="80" s="1"/>
  <c r="K7" i="94"/>
  <c r="K80" i="80" s="1"/>
  <c r="L7" i="94"/>
  <c r="L80" i="80" s="1"/>
  <c r="M7" i="94"/>
  <c r="M80" i="80" s="1"/>
  <c r="A8" i="94"/>
  <c r="B8" i="94"/>
  <c r="C8" i="94"/>
  <c r="AG8" i="94" s="1"/>
  <c r="D8" i="94"/>
  <c r="AH8" i="94" s="1"/>
  <c r="E8" i="94"/>
  <c r="F8" i="94"/>
  <c r="G8" i="94"/>
  <c r="AK8" i="94" s="1"/>
  <c r="H8" i="94"/>
  <c r="AL8" i="94" s="1"/>
  <c r="I8" i="94"/>
  <c r="AM8" i="94" s="1"/>
  <c r="J8" i="94"/>
  <c r="AN8" i="94" s="1"/>
  <c r="K8" i="94"/>
  <c r="L8" i="94"/>
  <c r="M8" i="94"/>
  <c r="AQ8" i="94" s="1"/>
  <c r="B9" i="94"/>
  <c r="C9" i="94"/>
  <c r="AG9" i="94" s="1"/>
  <c r="D9" i="94"/>
  <c r="AH9" i="94" s="1"/>
  <c r="E9" i="94"/>
  <c r="F9" i="94"/>
  <c r="G9" i="94"/>
  <c r="H9" i="94"/>
  <c r="AL9" i="94" s="1"/>
  <c r="I9" i="94"/>
  <c r="AM9" i="94" s="1"/>
  <c r="J9" i="94"/>
  <c r="AN9" i="94" s="1"/>
  <c r="K9" i="94"/>
  <c r="AO9" i="94" s="1"/>
  <c r="L9" i="94"/>
  <c r="M9" i="94"/>
  <c r="B10" i="94"/>
  <c r="C10" i="94"/>
  <c r="AG10" i="94" s="1"/>
  <c r="D10" i="94"/>
  <c r="AH10" i="94" s="1"/>
  <c r="E10" i="94"/>
  <c r="F10" i="94"/>
  <c r="G10" i="94"/>
  <c r="AK10" i="94" s="1"/>
  <c r="H10" i="94"/>
  <c r="AL10" i="94" s="1"/>
  <c r="I10" i="94"/>
  <c r="AM10" i="94" s="1"/>
  <c r="J10" i="94"/>
  <c r="AN10" i="94" s="1"/>
  <c r="K10" i="94"/>
  <c r="L10" i="94"/>
  <c r="M10" i="94"/>
  <c r="AQ10" i="94" s="1"/>
  <c r="A11" i="94"/>
  <c r="B11" i="94"/>
  <c r="C11" i="94"/>
  <c r="AG11" i="94" s="1"/>
  <c r="D11" i="94"/>
  <c r="AH11" i="94" s="1"/>
  <c r="E11" i="94"/>
  <c r="F11" i="94"/>
  <c r="AJ11" i="94" s="1"/>
  <c r="G11" i="94"/>
  <c r="AK11" i="94" s="1"/>
  <c r="H11" i="94"/>
  <c r="AL11" i="94" s="1"/>
  <c r="I11" i="94"/>
  <c r="AM11" i="94" s="1"/>
  <c r="J11" i="94"/>
  <c r="AN11" i="94" s="1"/>
  <c r="K11" i="94"/>
  <c r="L11" i="94"/>
  <c r="AP11" i="94" s="1"/>
  <c r="M11" i="94"/>
  <c r="AQ11" i="94" s="1"/>
  <c r="B12" i="94"/>
  <c r="C12" i="94"/>
  <c r="AG12" i="94" s="1"/>
  <c r="D12" i="94"/>
  <c r="E12" i="94"/>
  <c r="F12" i="94"/>
  <c r="AJ12" i="94" s="1"/>
  <c r="G12" i="94"/>
  <c r="AK12" i="94" s="1"/>
  <c r="H12" i="94"/>
  <c r="AL12" i="94" s="1"/>
  <c r="I12" i="94"/>
  <c r="AM12" i="94" s="1"/>
  <c r="J12" i="94"/>
  <c r="K12" i="94"/>
  <c r="L12" i="94"/>
  <c r="AP12" i="94" s="1"/>
  <c r="M12" i="94"/>
  <c r="AQ12" i="94" s="1"/>
  <c r="B13" i="94"/>
  <c r="C13" i="94"/>
  <c r="D13" i="94"/>
  <c r="AH13" i="94" s="1"/>
  <c r="E13" i="94"/>
  <c r="F13" i="94"/>
  <c r="AJ13" i="94" s="1"/>
  <c r="G13" i="94"/>
  <c r="AK13" i="94" s="1"/>
  <c r="H13" i="94"/>
  <c r="AL13" i="94" s="1"/>
  <c r="I13" i="94"/>
  <c r="J13" i="94"/>
  <c r="K13" i="94"/>
  <c r="AO13" i="94" s="1"/>
  <c r="L13" i="94"/>
  <c r="AP13" i="94" s="1"/>
  <c r="M13" i="94"/>
  <c r="AQ13" i="94" s="1"/>
  <c r="A14" i="94"/>
  <c r="B14" i="94"/>
  <c r="C14" i="94"/>
  <c r="D14" i="94"/>
  <c r="E14" i="94"/>
  <c r="F14" i="94"/>
  <c r="G14" i="94"/>
  <c r="H14" i="94"/>
  <c r="I14" i="94"/>
  <c r="J14" i="94"/>
  <c r="K14" i="94"/>
  <c r="L14" i="94"/>
  <c r="M14" i="94"/>
  <c r="B15" i="94"/>
  <c r="C15" i="94"/>
  <c r="D15" i="94"/>
  <c r="E15" i="94"/>
  <c r="F15" i="94"/>
  <c r="G15" i="94"/>
  <c r="H15" i="94"/>
  <c r="I15" i="94"/>
  <c r="J15" i="94"/>
  <c r="K15" i="94"/>
  <c r="L15" i="94"/>
  <c r="M15" i="94"/>
  <c r="B16" i="94"/>
  <c r="C16" i="94"/>
  <c r="D16" i="94"/>
  <c r="E16" i="94"/>
  <c r="F16" i="94"/>
  <c r="G16" i="94"/>
  <c r="H16" i="94"/>
  <c r="I16" i="94"/>
  <c r="J16" i="94"/>
  <c r="K16" i="94"/>
  <c r="L16" i="94"/>
  <c r="M16" i="94"/>
  <c r="A17" i="94"/>
  <c r="B17" i="94"/>
  <c r="C17" i="94"/>
  <c r="D17" i="94"/>
  <c r="E17" i="94"/>
  <c r="F17" i="94"/>
  <c r="G17" i="94"/>
  <c r="H17" i="94"/>
  <c r="I17" i="94"/>
  <c r="J17" i="94"/>
  <c r="K17" i="94"/>
  <c r="L17" i="94"/>
  <c r="M17" i="94"/>
  <c r="B18" i="94"/>
  <c r="C18" i="94"/>
  <c r="D18" i="94"/>
  <c r="E18" i="94"/>
  <c r="F18" i="94"/>
  <c r="G18" i="94"/>
  <c r="H18" i="94"/>
  <c r="I18" i="94"/>
  <c r="J18" i="94"/>
  <c r="K18" i="94"/>
  <c r="L18" i="94"/>
  <c r="M18" i="94"/>
  <c r="B19" i="94"/>
  <c r="C19" i="94"/>
  <c r="D19" i="94"/>
  <c r="E19" i="94"/>
  <c r="F19" i="94"/>
  <c r="G19" i="94"/>
  <c r="H19" i="94"/>
  <c r="I19" i="94"/>
  <c r="J19" i="94"/>
  <c r="K19" i="94"/>
  <c r="L19" i="94"/>
  <c r="M19" i="94"/>
  <c r="A20" i="94"/>
  <c r="B20" i="94"/>
  <c r="C20" i="94"/>
  <c r="D20" i="94"/>
  <c r="E20" i="94"/>
  <c r="F20" i="94"/>
  <c r="G20" i="94"/>
  <c r="H20" i="94"/>
  <c r="I20" i="94"/>
  <c r="J20" i="94"/>
  <c r="K20" i="94"/>
  <c r="L20" i="94"/>
  <c r="M20" i="94"/>
  <c r="B21" i="94"/>
  <c r="C21" i="94"/>
  <c r="D21" i="94"/>
  <c r="E21" i="94"/>
  <c r="F21" i="94"/>
  <c r="G21" i="94"/>
  <c r="H21" i="94"/>
  <c r="I21" i="94"/>
  <c r="J21" i="94"/>
  <c r="K21" i="94"/>
  <c r="L21" i="94"/>
  <c r="M21" i="94"/>
  <c r="B22" i="94"/>
  <c r="C22" i="94"/>
  <c r="D22" i="94"/>
  <c r="E22" i="94"/>
  <c r="F22" i="94"/>
  <c r="G22" i="94"/>
  <c r="H22" i="94"/>
  <c r="I22" i="94"/>
  <c r="J22" i="94"/>
  <c r="K22" i="94"/>
  <c r="L22" i="94"/>
  <c r="M22" i="94"/>
  <c r="A23" i="94"/>
  <c r="B23" i="94"/>
  <c r="C23" i="94"/>
  <c r="D23" i="94"/>
  <c r="E23" i="94"/>
  <c r="F23" i="94"/>
  <c r="G23" i="94"/>
  <c r="H23" i="94"/>
  <c r="I23" i="94"/>
  <c r="J23" i="94"/>
  <c r="K23" i="94"/>
  <c r="L23" i="94"/>
  <c r="M23" i="94"/>
  <c r="B24" i="94"/>
  <c r="C24" i="94"/>
  <c r="D24" i="94"/>
  <c r="E24" i="94"/>
  <c r="F24" i="94"/>
  <c r="G24" i="94"/>
  <c r="H24" i="94"/>
  <c r="I24" i="94"/>
  <c r="J24" i="94"/>
  <c r="K24" i="94"/>
  <c r="L24" i="94"/>
  <c r="M24" i="94"/>
  <c r="B25" i="94"/>
  <c r="C25" i="94"/>
  <c r="D25" i="94"/>
  <c r="E25" i="94"/>
  <c r="F25" i="94"/>
  <c r="G25" i="94"/>
  <c r="H25" i="94"/>
  <c r="I25" i="94"/>
  <c r="J25" i="94"/>
  <c r="K25" i="94"/>
  <c r="L25" i="94"/>
  <c r="M25" i="94"/>
  <c r="A26" i="94"/>
  <c r="B26" i="94"/>
  <c r="C26" i="94"/>
  <c r="D26" i="94"/>
  <c r="E26" i="94"/>
  <c r="F26" i="94"/>
  <c r="G26" i="94"/>
  <c r="H26" i="94"/>
  <c r="I26" i="94"/>
  <c r="J26" i="94"/>
  <c r="K26" i="94"/>
  <c r="L26" i="94"/>
  <c r="M26" i="94"/>
  <c r="B27" i="94"/>
  <c r="C27" i="94"/>
  <c r="D27" i="94"/>
  <c r="E27" i="94"/>
  <c r="F27" i="94"/>
  <c r="G27" i="94"/>
  <c r="H27" i="94"/>
  <c r="I27" i="94"/>
  <c r="J27" i="94"/>
  <c r="K27" i="94"/>
  <c r="L27" i="94"/>
  <c r="M27" i="94"/>
  <c r="B28" i="94"/>
  <c r="C28" i="94"/>
  <c r="D28" i="94"/>
  <c r="E28" i="94"/>
  <c r="F28" i="94"/>
  <c r="G28" i="94"/>
  <c r="H28" i="94"/>
  <c r="I28" i="94"/>
  <c r="J28" i="94"/>
  <c r="K28" i="94"/>
  <c r="L28" i="94"/>
  <c r="M28" i="94"/>
  <c r="A29" i="94"/>
  <c r="B29" i="94"/>
  <c r="C29" i="94"/>
  <c r="D29" i="94"/>
  <c r="E29" i="94"/>
  <c r="F29" i="94"/>
  <c r="G29" i="94"/>
  <c r="H29" i="94"/>
  <c r="I29" i="94"/>
  <c r="J29" i="94"/>
  <c r="K29" i="94"/>
  <c r="L29" i="94"/>
  <c r="M29" i="94"/>
  <c r="B30" i="94"/>
  <c r="C30" i="94"/>
  <c r="D30" i="94"/>
  <c r="E30" i="94"/>
  <c r="F30" i="94"/>
  <c r="G30" i="94"/>
  <c r="H30" i="94"/>
  <c r="I30" i="94"/>
  <c r="J30" i="94"/>
  <c r="K30" i="94"/>
  <c r="L30" i="94"/>
  <c r="M30" i="94"/>
  <c r="B31" i="94"/>
  <c r="C31" i="94"/>
  <c r="D31" i="94"/>
  <c r="E31" i="94"/>
  <c r="F31" i="94"/>
  <c r="G31" i="94"/>
  <c r="H31" i="94"/>
  <c r="I31" i="94"/>
  <c r="J31" i="94"/>
  <c r="K31" i="94"/>
  <c r="L31" i="94"/>
  <c r="M31" i="94"/>
  <c r="A32" i="94"/>
  <c r="B32" i="94"/>
  <c r="C32" i="94"/>
  <c r="D32" i="94"/>
  <c r="E32" i="94"/>
  <c r="F32" i="94"/>
  <c r="G32" i="94"/>
  <c r="H32" i="94"/>
  <c r="I32" i="94"/>
  <c r="J32" i="94"/>
  <c r="K32" i="94"/>
  <c r="L32" i="94"/>
  <c r="M32" i="94"/>
  <c r="B33" i="94"/>
  <c r="C33" i="94"/>
  <c r="D33" i="94"/>
  <c r="E33" i="94"/>
  <c r="F33" i="94"/>
  <c r="G33" i="94"/>
  <c r="H33" i="94"/>
  <c r="I33" i="94"/>
  <c r="J33" i="94"/>
  <c r="K33" i="94"/>
  <c r="L33" i="94"/>
  <c r="M33" i="94"/>
  <c r="B34" i="94"/>
  <c r="C34" i="94"/>
  <c r="D34" i="94"/>
  <c r="E34" i="94"/>
  <c r="F34" i="94"/>
  <c r="G34" i="94"/>
  <c r="H34" i="94"/>
  <c r="I34" i="94"/>
  <c r="J34" i="94"/>
  <c r="K34" i="94"/>
  <c r="L34" i="94"/>
  <c r="M34" i="94"/>
  <c r="A35" i="94"/>
  <c r="B35" i="94"/>
  <c r="C35" i="94"/>
  <c r="D35" i="94"/>
  <c r="E35" i="94"/>
  <c r="F35" i="94"/>
  <c r="G35" i="94"/>
  <c r="H35" i="94"/>
  <c r="I35" i="94"/>
  <c r="J35" i="94"/>
  <c r="K35" i="94"/>
  <c r="L35" i="94"/>
  <c r="M35" i="94"/>
  <c r="B36" i="94"/>
  <c r="C36" i="94"/>
  <c r="D36" i="94"/>
  <c r="E36" i="94"/>
  <c r="F36" i="94"/>
  <c r="G36" i="94"/>
  <c r="H36" i="94"/>
  <c r="I36" i="94"/>
  <c r="J36" i="94"/>
  <c r="K36" i="94"/>
  <c r="L36" i="94"/>
  <c r="M36" i="94"/>
  <c r="B37" i="94"/>
  <c r="C37" i="94"/>
  <c r="D37" i="94"/>
  <c r="E37" i="94"/>
  <c r="F37" i="94"/>
  <c r="G37" i="94"/>
  <c r="H37" i="94"/>
  <c r="I37" i="94"/>
  <c r="J37" i="94"/>
  <c r="K37" i="94"/>
  <c r="L37" i="94"/>
  <c r="M37" i="94"/>
  <c r="A38" i="94"/>
  <c r="B38" i="94"/>
  <c r="C38" i="94"/>
  <c r="AG38" i="94" s="1"/>
  <c r="D38" i="94"/>
  <c r="AH38" i="94" s="1"/>
  <c r="E38" i="94"/>
  <c r="AI38" i="94" s="1"/>
  <c r="F38" i="94"/>
  <c r="AJ38" i="94" s="1"/>
  <c r="G38" i="94"/>
  <c r="AK38" i="94" s="1"/>
  <c r="H38" i="94"/>
  <c r="I38" i="94"/>
  <c r="AM38" i="94" s="1"/>
  <c r="J38" i="94"/>
  <c r="K38" i="94"/>
  <c r="L38" i="94"/>
  <c r="AP38" i="94" s="1"/>
  <c r="M38" i="94"/>
  <c r="B39" i="94"/>
  <c r="C39" i="94"/>
  <c r="AG39" i="94" s="1"/>
  <c r="D39" i="94"/>
  <c r="AH39" i="94" s="1"/>
  <c r="E39" i="94"/>
  <c r="AI39" i="94" s="1"/>
  <c r="F39" i="94"/>
  <c r="AJ39" i="94" s="1"/>
  <c r="G39" i="94"/>
  <c r="H39" i="94"/>
  <c r="I39" i="94"/>
  <c r="AM39" i="94" s="1"/>
  <c r="J39" i="94"/>
  <c r="AN39" i="94" s="1"/>
  <c r="K39" i="94"/>
  <c r="AO39" i="94" s="1"/>
  <c r="L39" i="94"/>
  <c r="AP39" i="94" s="1"/>
  <c r="M39" i="94"/>
  <c r="B40" i="94"/>
  <c r="C40" i="94"/>
  <c r="AG40" i="94" s="1"/>
  <c r="D40" i="94"/>
  <c r="AH40" i="94" s="1"/>
  <c r="E40" i="94"/>
  <c r="AI40" i="94" s="1"/>
  <c r="F40" i="94"/>
  <c r="G40" i="94"/>
  <c r="H40" i="94"/>
  <c r="I40" i="94"/>
  <c r="AM40" i="94" s="1"/>
  <c r="J40" i="94"/>
  <c r="AN40" i="94" s="1"/>
  <c r="K40" i="94"/>
  <c r="AO40" i="94" s="1"/>
  <c r="L40" i="94"/>
  <c r="M40" i="94"/>
  <c r="A41" i="94"/>
  <c r="B41" i="94"/>
  <c r="C41" i="94"/>
  <c r="AG41" i="94" s="1"/>
  <c r="D41" i="94"/>
  <c r="AH41" i="94" s="1"/>
  <c r="E41" i="94"/>
  <c r="AI41" i="94" s="1"/>
  <c r="F41" i="94"/>
  <c r="G41" i="94"/>
  <c r="H41" i="94"/>
  <c r="AL41" i="94" s="1"/>
  <c r="I41" i="94"/>
  <c r="AM41" i="94" s="1"/>
  <c r="J41" i="94"/>
  <c r="AN41" i="94" s="1"/>
  <c r="K41" i="94"/>
  <c r="L41" i="94"/>
  <c r="AP41" i="94" s="1"/>
  <c r="M41" i="94"/>
  <c r="B42" i="94"/>
  <c r="C42" i="94"/>
  <c r="AG42" i="94" s="1"/>
  <c r="D42" i="94"/>
  <c r="E42" i="94"/>
  <c r="AI42" i="94" s="1"/>
  <c r="F42" i="94"/>
  <c r="G42" i="94"/>
  <c r="H42" i="94"/>
  <c r="I42" i="94"/>
  <c r="AM42" i="94" s="1"/>
  <c r="J42" i="94"/>
  <c r="K42" i="94"/>
  <c r="AO42" i="94" s="1"/>
  <c r="L42" i="94"/>
  <c r="AP42" i="94" s="1"/>
  <c r="M42" i="94"/>
  <c r="AQ42" i="94" s="1"/>
  <c r="B43" i="94"/>
  <c r="C43" i="94"/>
  <c r="D43" i="94"/>
  <c r="AH43" i="94" s="1"/>
  <c r="E43" i="94"/>
  <c r="AI43" i="94" s="1"/>
  <c r="F43" i="94"/>
  <c r="G43" i="94"/>
  <c r="H43" i="94"/>
  <c r="AL43" i="94" s="1"/>
  <c r="I43" i="94"/>
  <c r="J43" i="94"/>
  <c r="AN43" i="94" s="1"/>
  <c r="K43" i="94"/>
  <c r="AO43" i="94" s="1"/>
  <c r="L43" i="94"/>
  <c r="AP43" i="94" s="1"/>
  <c r="M43" i="94"/>
  <c r="A44" i="94"/>
  <c r="W8" i="94"/>
  <c r="H82" i="80" s="1"/>
  <c r="T38" i="94"/>
  <c r="E88" i="80" s="1"/>
  <c r="W41" i="94"/>
  <c r="AB42" i="94"/>
  <c r="S43" i="94"/>
  <c r="M3" i="94"/>
  <c r="A3" i="94"/>
  <c r="A1" i="94"/>
  <c r="AA43" i="94"/>
  <c r="Z43" i="94"/>
  <c r="Z42" i="94"/>
  <c r="T42" i="94"/>
  <c r="AA41" i="94"/>
  <c r="S41" i="94"/>
  <c r="R41" i="94"/>
  <c r="Z40" i="94"/>
  <c r="K79" i="80" s="1"/>
  <c r="T40" i="94"/>
  <c r="E79" i="80" s="1"/>
  <c r="AA39" i="94"/>
  <c r="L70" i="80" s="1"/>
  <c r="Z39" i="94"/>
  <c r="K70" i="80" s="1"/>
  <c r="U39" i="94"/>
  <c r="F70" i="80" s="1"/>
  <c r="T39" i="94"/>
  <c r="E70" i="80" s="1"/>
  <c r="AA38" i="94"/>
  <c r="L88" i="80" s="1"/>
  <c r="V38" i="94"/>
  <c r="G88" i="80" s="1"/>
  <c r="U38" i="94"/>
  <c r="F88" i="80" s="1"/>
  <c r="AB13" i="94"/>
  <c r="M74" i="80" s="1"/>
  <c r="Z13" i="94"/>
  <c r="K74" i="80" s="1"/>
  <c r="W13" i="94"/>
  <c r="H74" i="80" s="1"/>
  <c r="S13" i="94"/>
  <c r="D74" i="80" s="1"/>
  <c r="X12" i="94"/>
  <c r="I65" i="80" s="1"/>
  <c r="W12" i="94"/>
  <c r="H65" i="80" s="1"/>
  <c r="R12" i="94"/>
  <c r="C65" i="80" s="1"/>
  <c r="AA11" i="94"/>
  <c r="L83" i="80" s="1"/>
  <c r="Y11" i="94"/>
  <c r="J83" i="80" s="1"/>
  <c r="X11" i="94"/>
  <c r="I83" i="80" s="1"/>
  <c r="W11" i="94"/>
  <c r="H83" i="80" s="1"/>
  <c r="S11" i="94"/>
  <c r="D83" i="80" s="1"/>
  <c r="R11" i="94"/>
  <c r="C83" i="80" s="1"/>
  <c r="Y10" i="94"/>
  <c r="J73" i="80" s="1"/>
  <c r="X10" i="94"/>
  <c r="I73" i="80" s="1"/>
  <c r="V10" i="94"/>
  <c r="G73" i="80" s="1"/>
  <c r="S10" i="94"/>
  <c r="D73" i="80" s="1"/>
  <c r="R10" i="94"/>
  <c r="C73" i="80" s="1"/>
  <c r="Z9" i="94"/>
  <c r="K64" i="80" s="1"/>
  <c r="Y9" i="94"/>
  <c r="J64" i="80" s="1"/>
  <c r="X9" i="94"/>
  <c r="I64" i="80" s="1"/>
  <c r="S9" i="94"/>
  <c r="D64" i="80" s="1"/>
  <c r="R9" i="94"/>
  <c r="C64" i="80" s="1"/>
  <c r="Y8" i="94"/>
  <c r="J82" i="80" s="1"/>
  <c r="X8" i="94"/>
  <c r="I82" i="80" s="1"/>
  <c r="V8" i="94"/>
  <c r="G82" i="80" s="1"/>
  <c r="S8" i="94"/>
  <c r="D82" i="80" s="1"/>
  <c r="R8" i="94"/>
  <c r="C82" i="80" s="1"/>
  <c r="C4" i="93"/>
  <c r="D4" i="93"/>
  <c r="E4" i="93"/>
  <c r="F4" i="93"/>
  <c r="G4" i="93"/>
  <c r="H4" i="93"/>
  <c r="I4" i="93"/>
  <c r="J4" i="93"/>
  <c r="K4" i="93"/>
  <c r="L4" i="93"/>
  <c r="M4" i="93"/>
  <c r="A5" i="93"/>
  <c r="B5" i="93"/>
  <c r="C5" i="93"/>
  <c r="C61" i="80" s="1"/>
  <c r="D5" i="93"/>
  <c r="D61" i="80" s="1"/>
  <c r="E5" i="93"/>
  <c r="E61" i="80" s="1"/>
  <c r="F5" i="93"/>
  <c r="F61" i="80" s="1"/>
  <c r="G5" i="93"/>
  <c r="G61" i="80" s="1"/>
  <c r="H5" i="93"/>
  <c r="H61" i="80" s="1"/>
  <c r="I5" i="93"/>
  <c r="I61" i="80" s="1"/>
  <c r="J5" i="93"/>
  <c r="J61" i="80" s="1"/>
  <c r="K5" i="93"/>
  <c r="K61" i="80" s="1"/>
  <c r="L5" i="93"/>
  <c r="L61" i="80" s="1"/>
  <c r="M5" i="93"/>
  <c r="M61" i="80" s="1"/>
  <c r="B6" i="93"/>
  <c r="C6" i="93"/>
  <c r="C43" i="80" s="1"/>
  <c r="D6" i="93"/>
  <c r="D43" i="80" s="1"/>
  <c r="E6" i="93"/>
  <c r="E43" i="80" s="1"/>
  <c r="F6" i="93"/>
  <c r="F43" i="80" s="1"/>
  <c r="G6" i="93"/>
  <c r="G43" i="80" s="1"/>
  <c r="H6" i="93"/>
  <c r="H43" i="80" s="1"/>
  <c r="I6" i="93"/>
  <c r="I43" i="80" s="1"/>
  <c r="J6" i="93"/>
  <c r="J43" i="80" s="1"/>
  <c r="K6" i="93"/>
  <c r="K43" i="80" s="1"/>
  <c r="L6" i="93"/>
  <c r="L43" i="80" s="1"/>
  <c r="M6" i="93"/>
  <c r="M43" i="80" s="1"/>
  <c r="B7" i="93"/>
  <c r="C7" i="93"/>
  <c r="C52" i="80" s="1"/>
  <c r="D7" i="93"/>
  <c r="D52" i="80" s="1"/>
  <c r="E7" i="93"/>
  <c r="E52" i="80" s="1"/>
  <c r="F7" i="93"/>
  <c r="F52" i="80" s="1"/>
  <c r="G7" i="93"/>
  <c r="G52" i="80" s="1"/>
  <c r="H7" i="93"/>
  <c r="H52" i="80" s="1"/>
  <c r="I7" i="93"/>
  <c r="I52" i="80" s="1"/>
  <c r="J7" i="93"/>
  <c r="J52" i="80" s="1"/>
  <c r="K7" i="93"/>
  <c r="K52" i="80" s="1"/>
  <c r="L7" i="93"/>
  <c r="L52" i="80" s="1"/>
  <c r="M7" i="93"/>
  <c r="M52" i="80" s="1"/>
  <c r="A8" i="93"/>
  <c r="B8" i="93"/>
  <c r="C8" i="93"/>
  <c r="AG8" i="93" s="1"/>
  <c r="D8" i="93"/>
  <c r="AH8" i="93" s="1"/>
  <c r="E8" i="93"/>
  <c r="AI8" i="93" s="1"/>
  <c r="F8" i="93"/>
  <c r="G8" i="93"/>
  <c r="AK8" i="93" s="1"/>
  <c r="H8" i="93"/>
  <c r="AL8" i="93" s="1"/>
  <c r="I8" i="93"/>
  <c r="AM8" i="93" s="1"/>
  <c r="J8" i="93"/>
  <c r="AN8" i="93" s="1"/>
  <c r="K8" i="93"/>
  <c r="AO8" i="93" s="1"/>
  <c r="L8" i="93"/>
  <c r="M8" i="93"/>
  <c r="AQ8" i="93" s="1"/>
  <c r="B9" i="93"/>
  <c r="C9" i="93"/>
  <c r="AG9" i="93" s="1"/>
  <c r="D9" i="93"/>
  <c r="AH9" i="93" s="1"/>
  <c r="E9" i="93"/>
  <c r="AI9" i="93" s="1"/>
  <c r="F9" i="93"/>
  <c r="G9" i="93"/>
  <c r="H9" i="93"/>
  <c r="AL9" i="93" s="1"/>
  <c r="I9" i="93"/>
  <c r="AM9" i="93" s="1"/>
  <c r="J9" i="93"/>
  <c r="AN9" i="93" s="1"/>
  <c r="K9" i="93"/>
  <c r="AO9" i="93" s="1"/>
  <c r="L9" i="93"/>
  <c r="M9" i="93"/>
  <c r="B10" i="93"/>
  <c r="C10" i="93"/>
  <c r="AG10" i="93" s="1"/>
  <c r="D10" i="93"/>
  <c r="AH10" i="93" s="1"/>
  <c r="E10" i="93"/>
  <c r="AI10" i="93" s="1"/>
  <c r="F10" i="93"/>
  <c r="G10" i="93"/>
  <c r="AK10" i="93" s="1"/>
  <c r="H10" i="93"/>
  <c r="AL10" i="93" s="1"/>
  <c r="I10" i="93"/>
  <c r="AM10" i="93" s="1"/>
  <c r="J10" i="93"/>
  <c r="AN10" i="93" s="1"/>
  <c r="K10" i="93"/>
  <c r="AO10" i="93" s="1"/>
  <c r="L10" i="93"/>
  <c r="M10" i="93"/>
  <c r="AQ10" i="93" s="1"/>
  <c r="A11" i="93"/>
  <c r="B11" i="93"/>
  <c r="C11" i="93"/>
  <c r="AG11" i="93" s="1"/>
  <c r="D11" i="93"/>
  <c r="AH11" i="93" s="1"/>
  <c r="E11" i="93"/>
  <c r="F11" i="93"/>
  <c r="AJ11" i="93" s="1"/>
  <c r="G11" i="93"/>
  <c r="AK11" i="93" s="1"/>
  <c r="H11" i="93"/>
  <c r="AL11" i="93" s="1"/>
  <c r="I11" i="93"/>
  <c r="AM11" i="93" s="1"/>
  <c r="J11" i="93"/>
  <c r="AN11" i="93" s="1"/>
  <c r="K11" i="93"/>
  <c r="L11" i="93"/>
  <c r="AP11" i="93" s="1"/>
  <c r="M11" i="93"/>
  <c r="AQ11" i="93" s="1"/>
  <c r="B12" i="93"/>
  <c r="C12" i="93"/>
  <c r="AG12" i="93" s="1"/>
  <c r="D12" i="93"/>
  <c r="AH12" i="93" s="1"/>
  <c r="E12" i="93"/>
  <c r="F12" i="93"/>
  <c r="AJ12" i="93" s="1"/>
  <c r="G12" i="93"/>
  <c r="AK12" i="93" s="1"/>
  <c r="H12" i="93"/>
  <c r="AL12" i="93" s="1"/>
  <c r="I12" i="93"/>
  <c r="AM12" i="93" s="1"/>
  <c r="J12" i="93"/>
  <c r="K12" i="93"/>
  <c r="L12" i="93"/>
  <c r="AP12" i="93" s="1"/>
  <c r="M12" i="93"/>
  <c r="AQ12" i="93" s="1"/>
  <c r="B13" i="93"/>
  <c r="C13" i="93"/>
  <c r="D13" i="93"/>
  <c r="AH13" i="93" s="1"/>
  <c r="E13" i="93"/>
  <c r="AI13" i="93" s="1"/>
  <c r="F13" i="93"/>
  <c r="AJ13" i="93" s="1"/>
  <c r="G13" i="93"/>
  <c r="AK13" i="93" s="1"/>
  <c r="H13" i="93"/>
  <c r="AL13" i="93" s="1"/>
  <c r="I13" i="93"/>
  <c r="J13" i="93"/>
  <c r="AN13" i="93" s="1"/>
  <c r="K13" i="93"/>
  <c r="L13" i="93"/>
  <c r="AP13" i="93" s="1"/>
  <c r="M13" i="93"/>
  <c r="AQ13" i="93" s="1"/>
  <c r="A14" i="93"/>
  <c r="B14" i="93"/>
  <c r="C14" i="93"/>
  <c r="D14" i="93"/>
  <c r="E14" i="93"/>
  <c r="F14" i="93"/>
  <c r="G14" i="93"/>
  <c r="H14" i="93"/>
  <c r="I14" i="93"/>
  <c r="J14" i="93"/>
  <c r="K14" i="93"/>
  <c r="L14" i="93"/>
  <c r="M14" i="93"/>
  <c r="B15" i="93"/>
  <c r="C15" i="93"/>
  <c r="D15" i="93"/>
  <c r="E15" i="93"/>
  <c r="F15" i="93"/>
  <c r="G15" i="93"/>
  <c r="H15" i="93"/>
  <c r="I15" i="93"/>
  <c r="J15" i="93"/>
  <c r="K15" i="93"/>
  <c r="L15" i="93"/>
  <c r="M15" i="93"/>
  <c r="B16" i="93"/>
  <c r="C16" i="93"/>
  <c r="D16" i="93"/>
  <c r="E16" i="93"/>
  <c r="F16" i="93"/>
  <c r="G16" i="93"/>
  <c r="H16" i="93"/>
  <c r="I16" i="93"/>
  <c r="J16" i="93"/>
  <c r="K16" i="93"/>
  <c r="L16" i="93"/>
  <c r="M16" i="93"/>
  <c r="A17" i="93"/>
  <c r="B17" i="93"/>
  <c r="C17" i="93"/>
  <c r="D17" i="93"/>
  <c r="E17" i="93"/>
  <c r="F17" i="93"/>
  <c r="G17" i="93"/>
  <c r="H17" i="93"/>
  <c r="I17" i="93"/>
  <c r="J17" i="93"/>
  <c r="K17" i="93"/>
  <c r="L17" i="93"/>
  <c r="M17" i="93"/>
  <c r="B18" i="93"/>
  <c r="C18" i="93"/>
  <c r="D18" i="93"/>
  <c r="E18" i="93"/>
  <c r="F18" i="93"/>
  <c r="G18" i="93"/>
  <c r="H18" i="93"/>
  <c r="I18" i="93"/>
  <c r="J18" i="93"/>
  <c r="K18" i="93"/>
  <c r="L18" i="93"/>
  <c r="M18" i="93"/>
  <c r="B19" i="93"/>
  <c r="C19" i="93"/>
  <c r="D19" i="93"/>
  <c r="E19" i="93"/>
  <c r="F19" i="93"/>
  <c r="G19" i="93"/>
  <c r="H19" i="93"/>
  <c r="I19" i="93"/>
  <c r="J19" i="93"/>
  <c r="K19" i="93"/>
  <c r="L19" i="93"/>
  <c r="M19" i="93"/>
  <c r="A20" i="93"/>
  <c r="B20" i="93"/>
  <c r="C20" i="93"/>
  <c r="D20" i="93"/>
  <c r="E20" i="93"/>
  <c r="F20" i="93"/>
  <c r="G20" i="93"/>
  <c r="H20" i="93"/>
  <c r="I20" i="93"/>
  <c r="J20" i="93"/>
  <c r="K20" i="93"/>
  <c r="L20" i="93"/>
  <c r="M20" i="93"/>
  <c r="B21" i="93"/>
  <c r="C21" i="93"/>
  <c r="D21" i="93"/>
  <c r="E21" i="93"/>
  <c r="F21" i="93"/>
  <c r="G21" i="93"/>
  <c r="H21" i="93"/>
  <c r="I21" i="93"/>
  <c r="J21" i="93"/>
  <c r="K21" i="93"/>
  <c r="L21" i="93"/>
  <c r="M21" i="93"/>
  <c r="B22" i="93"/>
  <c r="C22" i="93"/>
  <c r="D22" i="93"/>
  <c r="E22" i="93"/>
  <c r="F22" i="93"/>
  <c r="G22" i="93"/>
  <c r="H22" i="93"/>
  <c r="I22" i="93"/>
  <c r="J22" i="93"/>
  <c r="K22" i="93"/>
  <c r="L22" i="93"/>
  <c r="M22" i="93"/>
  <c r="A23" i="93"/>
  <c r="B23" i="93"/>
  <c r="C23" i="93"/>
  <c r="D23" i="93"/>
  <c r="E23" i="93"/>
  <c r="F23" i="93"/>
  <c r="G23" i="93"/>
  <c r="H23" i="93"/>
  <c r="I23" i="93"/>
  <c r="J23" i="93"/>
  <c r="K23" i="93"/>
  <c r="L23" i="93"/>
  <c r="M23" i="93"/>
  <c r="B24" i="93"/>
  <c r="C24" i="93"/>
  <c r="D24" i="93"/>
  <c r="E24" i="93"/>
  <c r="F24" i="93"/>
  <c r="G24" i="93"/>
  <c r="H24" i="93"/>
  <c r="I24" i="93"/>
  <c r="J24" i="93"/>
  <c r="K24" i="93"/>
  <c r="L24" i="93"/>
  <c r="M24" i="93"/>
  <c r="B25" i="93"/>
  <c r="C25" i="93"/>
  <c r="D25" i="93"/>
  <c r="E25" i="93"/>
  <c r="F25" i="93"/>
  <c r="G25" i="93"/>
  <c r="H25" i="93"/>
  <c r="I25" i="93"/>
  <c r="J25" i="93"/>
  <c r="K25" i="93"/>
  <c r="L25" i="93"/>
  <c r="M25" i="93"/>
  <c r="A26" i="93"/>
  <c r="B26" i="93"/>
  <c r="C26" i="93"/>
  <c r="D26" i="93"/>
  <c r="E26" i="93"/>
  <c r="F26" i="93"/>
  <c r="G26" i="93"/>
  <c r="H26" i="93"/>
  <c r="I26" i="93"/>
  <c r="J26" i="93"/>
  <c r="K26" i="93"/>
  <c r="L26" i="93"/>
  <c r="M26" i="93"/>
  <c r="B27" i="93"/>
  <c r="C27" i="93"/>
  <c r="D27" i="93"/>
  <c r="E27" i="93"/>
  <c r="F27" i="93"/>
  <c r="G27" i="93"/>
  <c r="H27" i="93"/>
  <c r="I27" i="93"/>
  <c r="J27" i="93"/>
  <c r="K27" i="93"/>
  <c r="L27" i="93"/>
  <c r="M27" i="93"/>
  <c r="B28" i="93"/>
  <c r="C28" i="93"/>
  <c r="D28" i="93"/>
  <c r="E28" i="93"/>
  <c r="F28" i="93"/>
  <c r="G28" i="93"/>
  <c r="H28" i="93"/>
  <c r="I28" i="93"/>
  <c r="J28" i="93"/>
  <c r="K28" i="93"/>
  <c r="L28" i="93"/>
  <c r="M28" i="93"/>
  <c r="A29" i="93"/>
  <c r="B29" i="93"/>
  <c r="C29" i="93"/>
  <c r="D29" i="93"/>
  <c r="E29" i="93"/>
  <c r="F29" i="93"/>
  <c r="G29" i="93"/>
  <c r="H29" i="93"/>
  <c r="I29" i="93"/>
  <c r="J29" i="93"/>
  <c r="K29" i="93"/>
  <c r="L29" i="93"/>
  <c r="M29" i="93"/>
  <c r="B30" i="93"/>
  <c r="C30" i="93"/>
  <c r="D30" i="93"/>
  <c r="E30" i="93"/>
  <c r="F30" i="93"/>
  <c r="G30" i="93"/>
  <c r="H30" i="93"/>
  <c r="I30" i="93"/>
  <c r="J30" i="93"/>
  <c r="K30" i="93"/>
  <c r="L30" i="93"/>
  <c r="M30" i="93"/>
  <c r="B31" i="93"/>
  <c r="C31" i="93"/>
  <c r="D31" i="93"/>
  <c r="E31" i="93"/>
  <c r="F31" i="93"/>
  <c r="G31" i="93"/>
  <c r="H31" i="93"/>
  <c r="I31" i="93"/>
  <c r="J31" i="93"/>
  <c r="K31" i="93"/>
  <c r="L31" i="93"/>
  <c r="M31" i="93"/>
  <c r="A32" i="93"/>
  <c r="B32" i="93"/>
  <c r="C32" i="93"/>
  <c r="D32" i="93"/>
  <c r="E32" i="93"/>
  <c r="F32" i="93"/>
  <c r="G32" i="93"/>
  <c r="H32" i="93"/>
  <c r="I32" i="93"/>
  <c r="J32" i="93"/>
  <c r="K32" i="93"/>
  <c r="L32" i="93"/>
  <c r="M32" i="93"/>
  <c r="B33" i="93"/>
  <c r="C33" i="93"/>
  <c r="D33" i="93"/>
  <c r="E33" i="93"/>
  <c r="F33" i="93"/>
  <c r="G33" i="93"/>
  <c r="H33" i="93"/>
  <c r="I33" i="93"/>
  <c r="J33" i="93"/>
  <c r="K33" i="93"/>
  <c r="L33" i="93"/>
  <c r="M33" i="93"/>
  <c r="B34" i="93"/>
  <c r="C34" i="93"/>
  <c r="D34" i="93"/>
  <c r="E34" i="93"/>
  <c r="F34" i="93"/>
  <c r="G34" i="93"/>
  <c r="H34" i="93"/>
  <c r="I34" i="93"/>
  <c r="J34" i="93"/>
  <c r="K34" i="93"/>
  <c r="L34" i="93"/>
  <c r="M34" i="93"/>
  <c r="A35" i="93"/>
  <c r="B35" i="93"/>
  <c r="C35" i="93"/>
  <c r="D35" i="93"/>
  <c r="E35" i="93"/>
  <c r="F35" i="93"/>
  <c r="G35" i="93"/>
  <c r="H35" i="93"/>
  <c r="I35" i="93"/>
  <c r="J35" i="93"/>
  <c r="K35" i="93"/>
  <c r="L35" i="93"/>
  <c r="M35" i="93"/>
  <c r="B36" i="93"/>
  <c r="C36" i="93"/>
  <c r="D36" i="93"/>
  <c r="E36" i="93"/>
  <c r="F36" i="93"/>
  <c r="G36" i="93"/>
  <c r="H36" i="93"/>
  <c r="I36" i="93"/>
  <c r="J36" i="93"/>
  <c r="K36" i="93"/>
  <c r="L36" i="93"/>
  <c r="M36" i="93"/>
  <c r="B37" i="93"/>
  <c r="C37" i="93"/>
  <c r="D37" i="93"/>
  <c r="E37" i="93"/>
  <c r="F37" i="93"/>
  <c r="G37" i="93"/>
  <c r="H37" i="93"/>
  <c r="I37" i="93"/>
  <c r="J37" i="93"/>
  <c r="K37" i="93"/>
  <c r="L37" i="93"/>
  <c r="M37" i="93"/>
  <c r="A38" i="93"/>
  <c r="B38" i="93"/>
  <c r="C38" i="93"/>
  <c r="AG38" i="93" s="1"/>
  <c r="D38" i="93"/>
  <c r="AH38" i="93" s="1"/>
  <c r="E38" i="93"/>
  <c r="F38" i="93"/>
  <c r="G38" i="93"/>
  <c r="AK38" i="93" s="1"/>
  <c r="H38" i="93"/>
  <c r="I38" i="93"/>
  <c r="AM38" i="93" s="1"/>
  <c r="J38" i="93"/>
  <c r="AN38" i="93" s="1"/>
  <c r="K38" i="93"/>
  <c r="AO38" i="93" s="1"/>
  <c r="L38" i="93"/>
  <c r="M38" i="93"/>
  <c r="AQ38" i="93" s="1"/>
  <c r="B39" i="93"/>
  <c r="C39" i="93"/>
  <c r="AG39" i="93" s="1"/>
  <c r="D39" i="93"/>
  <c r="E39" i="93"/>
  <c r="AI39" i="93" s="1"/>
  <c r="F39" i="93"/>
  <c r="AJ39" i="93" s="1"/>
  <c r="G39" i="93"/>
  <c r="H39" i="93"/>
  <c r="I39" i="93"/>
  <c r="AM39" i="93" s="1"/>
  <c r="J39" i="93"/>
  <c r="AN39" i="93" s="1"/>
  <c r="K39" i="93"/>
  <c r="AO39" i="93" s="1"/>
  <c r="L39" i="93"/>
  <c r="AP39" i="93" s="1"/>
  <c r="M39" i="93"/>
  <c r="B40" i="93"/>
  <c r="C40" i="93"/>
  <c r="D40" i="93"/>
  <c r="AH40" i="93" s="1"/>
  <c r="E40" i="93"/>
  <c r="AI40" i="93" s="1"/>
  <c r="F40" i="93"/>
  <c r="G40" i="93"/>
  <c r="AK40" i="93" s="1"/>
  <c r="H40" i="93"/>
  <c r="I40" i="93"/>
  <c r="J40" i="93"/>
  <c r="AN40" i="93" s="1"/>
  <c r="K40" i="93"/>
  <c r="AO40" i="93" s="1"/>
  <c r="L40" i="93"/>
  <c r="M40" i="93"/>
  <c r="AQ40" i="93" s="1"/>
  <c r="A41" i="93"/>
  <c r="B41" i="93"/>
  <c r="C41" i="93"/>
  <c r="AG41" i="93" s="1"/>
  <c r="D41" i="93"/>
  <c r="AH41" i="93" s="1"/>
  <c r="E41" i="93"/>
  <c r="F41" i="93"/>
  <c r="AJ41" i="93" s="1"/>
  <c r="G41" i="93"/>
  <c r="H41" i="93"/>
  <c r="I41" i="93"/>
  <c r="AM41" i="93" s="1"/>
  <c r="J41" i="93"/>
  <c r="AN41" i="93" s="1"/>
  <c r="K41" i="93"/>
  <c r="L41" i="93"/>
  <c r="AP41" i="93" s="1"/>
  <c r="M41" i="93"/>
  <c r="B42" i="93"/>
  <c r="C42" i="93"/>
  <c r="AG42" i="93" s="1"/>
  <c r="D42" i="93"/>
  <c r="AH42" i="93" s="1"/>
  <c r="E42" i="93"/>
  <c r="AI42" i="93" s="1"/>
  <c r="F42" i="93"/>
  <c r="AJ42" i="93" s="1"/>
  <c r="G42" i="93"/>
  <c r="H42" i="93"/>
  <c r="AL42" i="93" s="1"/>
  <c r="I42" i="93"/>
  <c r="AM42" i="93" s="1"/>
  <c r="J42" i="93"/>
  <c r="K42" i="93"/>
  <c r="AO42" i="93" s="1"/>
  <c r="L42" i="93"/>
  <c r="AP42" i="93" s="1"/>
  <c r="M42" i="93"/>
  <c r="B43" i="93"/>
  <c r="C43" i="93"/>
  <c r="D43" i="93"/>
  <c r="AH43" i="93" s="1"/>
  <c r="E43" i="93"/>
  <c r="AI43" i="93" s="1"/>
  <c r="F43" i="93"/>
  <c r="AJ43" i="93" s="1"/>
  <c r="G43" i="93"/>
  <c r="H43" i="93"/>
  <c r="AL43" i="93" s="1"/>
  <c r="I43" i="93"/>
  <c r="J43" i="93"/>
  <c r="AN43" i="93" s="1"/>
  <c r="K43" i="93"/>
  <c r="AO43" i="93" s="1"/>
  <c r="L43" i="93"/>
  <c r="AP43" i="93" s="1"/>
  <c r="M43" i="93"/>
  <c r="A44" i="93"/>
  <c r="B44" i="93"/>
  <c r="W8" i="93"/>
  <c r="H54" i="80" s="1"/>
  <c r="S12" i="93"/>
  <c r="D37" i="80" s="1"/>
  <c r="S42" i="93"/>
  <c r="M3" i="93"/>
  <c r="A3" i="93"/>
  <c r="A1" i="93"/>
  <c r="Z38" i="93"/>
  <c r="K60" i="80" s="1"/>
  <c r="T43" i="93"/>
  <c r="AA43" i="93"/>
  <c r="S43" i="93"/>
  <c r="Y43" i="93"/>
  <c r="W43" i="93"/>
  <c r="T42" i="93"/>
  <c r="AA41" i="93"/>
  <c r="Y41" i="93"/>
  <c r="S41" i="93"/>
  <c r="Z40" i="93"/>
  <c r="K51" i="80" s="1"/>
  <c r="T40" i="93"/>
  <c r="E51" i="80" s="1"/>
  <c r="S40" i="93"/>
  <c r="D51" i="80" s="1"/>
  <c r="Z39" i="93"/>
  <c r="K42" i="80" s="1"/>
  <c r="T39" i="93"/>
  <c r="E42" i="80" s="1"/>
  <c r="V38" i="93"/>
  <c r="G60" i="80" s="1"/>
  <c r="AB13" i="93"/>
  <c r="M46" i="80" s="1"/>
  <c r="W13" i="93"/>
  <c r="H46" i="80" s="1"/>
  <c r="V13" i="93"/>
  <c r="G46" i="80" s="1"/>
  <c r="T13" i="93"/>
  <c r="E46" i="80" s="1"/>
  <c r="AB12" i="93"/>
  <c r="M37" i="80" s="1"/>
  <c r="X12" i="93"/>
  <c r="I37" i="80" s="1"/>
  <c r="W12" i="93"/>
  <c r="H37" i="80" s="1"/>
  <c r="V12" i="93"/>
  <c r="G37" i="80" s="1"/>
  <c r="AB11" i="93"/>
  <c r="M55" i="80" s="1"/>
  <c r="X11" i="93"/>
  <c r="I55" i="80" s="1"/>
  <c r="W11" i="93"/>
  <c r="H55" i="80" s="1"/>
  <c r="V11" i="93"/>
  <c r="G55" i="80" s="1"/>
  <c r="S11" i="93"/>
  <c r="D55" i="80" s="1"/>
  <c r="AB10" i="93"/>
  <c r="M45" i="80" s="1"/>
  <c r="Y10" i="93"/>
  <c r="J45" i="80" s="1"/>
  <c r="X10" i="93"/>
  <c r="I45" i="80" s="1"/>
  <c r="W10" i="93"/>
  <c r="H45" i="80" s="1"/>
  <c r="T10" i="93"/>
  <c r="E45" i="80" s="1"/>
  <c r="S10" i="93"/>
  <c r="D45" i="80" s="1"/>
  <c r="R10" i="93"/>
  <c r="C45" i="80" s="1"/>
  <c r="Z9" i="93"/>
  <c r="K36" i="80" s="1"/>
  <c r="Y9" i="93"/>
  <c r="J36" i="80" s="1"/>
  <c r="X9" i="93"/>
  <c r="I36" i="80" s="1"/>
  <c r="W9" i="93"/>
  <c r="H36" i="80" s="1"/>
  <c r="T9" i="93"/>
  <c r="E36" i="80" s="1"/>
  <c r="S9" i="93"/>
  <c r="D36" i="80" s="1"/>
  <c r="R9" i="93"/>
  <c r="C36" i="80" s="1"/>
  <c r="AB8" i="93"/>
  <c r="M54" i="80" s="1"/>
  <c r="Y8" i="93"/>
  <c r="J54" i="80" s="1"/>
  <c r="X8" i="93"/>
  <c r="I54" i="80" s="1"/>
  <c r="T8" i="93"/>
  <c r="E54" i="80" s="1"/>
  <c r="S8" i="93"/>
  <c r="D54" i="80" s="1"/>
  <c r="R8" i="93"/>
  <c r="C54" i="80" s="1"/>
  <c r="BZ22" i="75"/>
  <c r="A32" i="92"/>
  <c r="A5" i="92"/>
  <c r="B5" i="92"/>
  <c r="C5" i="92"/>
  <c r="D5" i="92"/>
  <c r="E5" i="92"/>
  <c r="F5" i="92"/>
  <c r="G5" i="92"/>
  <c r="H5" i="92"/>
  <c r="I5" i="92"/>
  <c r="J5" i="92"/>
  <c r="K5" i="92"/>
  <c r="L5" i="92"/>
  <c r="M5" i="92"/>
  <c r="B6" i="92"/>
  <c r="C6" i="92"/>
  <c r="BV22" i="75" s="1"/>
  <c r="D6" i="92"/>
  <c r="BW22" i="75" s="1"/>
  <c r="E6" i="92"/>
  <c r="BX22" i="75" s="1"/>
  <c r="F6" i="92"/>
  <c r="BY22" i="75" s="1"/>
  <c r="G6" i="92"/>
  <c r="H6" i="92"/>
  <c r="CA22" i="75" s="1"/>
  <c r="I6" i="92"/>
  <c r="CB22" i="75" s="1"/>
  <c r="J6" i="92"/>
  <c r="CC22" i="75" s="1"/>
  <c r="K6" i="92"/>
  <c r="CD22" i="75" s="1"/>
  <c r="L6" i="92"/>
  <c r="CE22" i="75" s="1"/>
  <c r="M6" i="92"/>
  <c r="CF22" i="75" s="1"/>
  <c r="B7" i="92"/>
  <c r="C7" i="92"/>
  <c r="BV29" i="75" s="1"/>
  <c r="D7" i="92"/>
  <c r="BW29" i="75" s="1"/>
  <c r="E7" i="92"/>
  <c r="BX29" i="75" s="1"/>
  <c r="F7" i="92"/>
  <c r="BY29" i="75" s="1"/>
  <c r="G7" i="92"/>
  <c r="BZ29" i="75" s="1"/>
  <c r="H7" i="92"/>
  <c r="CA29" i="75" s="1"/>
  <c r="I7" i="92"/>
  <c r="CB29" i="75" s="1"/>
  <c r="J7" i="92"/>
  <c r="CC29" i="75" s="1"/>
  <c r="K7" i="92"/>
  <c r="CD29" i="75" s="1"/>
  <c r="L7" i="92"/>
  <c r="CE29" i="75" s="1"/>
  <c r="M7" i="92"/>
  <c r="CF29" i="75" s="1"/>
  <c r="A8" i="92"/>
  <c r="B8" i="92"/>
  <c r="C8" i="92"/>
  <c r="R8" i="92" s="1"/>
  <c r="D8" i="92"/>
  <c r="S8" i="92" s="1"/>
  <c r="E8" i="92"/>
  <c r="T8" i="92" s="1"/>
  <c r="F8" i="92"/>
  <c r="U8" i="92" s="1"/>
  <c r="G8" i="92"/>
  <c r="V8" i="92" s="1"/>
  <c r="H8" i="92"/>
  <c r="W8" i="92" s="1"/>
  <c r="I8" i="92"/>
  <c r="X8" i="92" s="1"/>
  <c r="J8" i="92"/>
  <c r="Y8" i="92" s="1"/>
  <c r="K8" i="92"/>
  <c r="Z8" i="92" s="1"/>
  <c r="L8" i="92"/>
  <c r="AA8" i="92" s="1"/>
  <c r="M8" i="92"/>
  <c r="AB8" i="92" s="1"/>
  <c r="B9" i="92"/>
  <c r="C9" i="92"/>
  <c r="R9" i="92" s="1"/>
  <c r="D9" i="92"/>
  <c r="S9" i="92" s="1"/>
  <c r="E9" i="92"/>
  <c r="T9" i="92" s="1"/>
  <c r="F9" i="92"/>
  <c r="U9" i="92" s="1"/>
  <c r="G9" i="92"/>
  <c r="V9" i="92" s="1"/>
  <c r="H9" i="92"/>
  <c r="W9" i="92" s="1"/>
  <c r="I9" i="92"/>
  <c r="X9" i="92" s="1"/>
  <c r="J9" i="92"/>
  <c r="Y9" i="92" s="1"/>
  <c r="K9" i="92"/>
  <c r="Z9" i="92" s="1"/>
  <c r="L9" i="92"/>
  <c r="AA9" i="92" s="1"/>
  <c r="M9" i="92"/>
  <c r="AB9" i="92" s="1"/>
  <c r="B10" i="92"/>
  <c r="C10" i="92"/>
  <c r="R10" i="92" s="1"/>
  <c r="D10" i="92"/>
  <c r="S10" i="92" s="1"/>
  <c r="E10" i="92"/>
  <c r="T10" i="92" s="1"/>
  <c r="F10" i="92"/>
  <c r="U10" i="92" s="1"/>
  <c r="G10" i="92"/>
  <c r="V10" i="92" s="1"/>
  <c r="H10" i="92"/>
  <c r="W10" i="92" s="1"/>
  <c r="I10" i="92"/>
  <c r="X10" i="92" s="1"/>
  <c r="J10" i="92"/>
  <c r="Y10" i="92" s="1"/>
  <c r="K10" i="92"/>
  <c r="Z10" i="92" s="1"/>
  <c r="L10" i="92"/>
  <c r="AA10" i="92" s="1"/>
  <c r="M10" i="92"/>
  <c r="AB10" i="92" s="1"/>
  <c r="A11" i="92"/>
  <c r="B11" i="92"/>
  <c r="C11" i="92"/>
  <c r="R11" i="92" s="1"/>
  <c r="D11" i="92"/>
  <c r="S11" i="92" s="1"/>
  <c r="E11" i="92"/>
  <c r="T11" i="92" s="1"/>
  <c r="F11" i="92"/>
  <c r="U11" i="92" s="1"/>
  <c r="G11" i="92"/>
  <c r="V11" i="92" s="1"/>
  <c r="H11" i="92"/>
  <c r="W11" i="92" s="1"/>
  <c r="I11" i="92"/>
  <c r="X11" i="92" s="1"/>
  <c r="J11" i="92"/>
  <c r="Y11" i="92" s="1"/>
  <c r="K11" i="92"/>
  <c r="Z11" i="92" s="1"/>
  <c r="L11" i="92"/>
  <c r="AA11" i="92" s="1"/>
  <c r="M11" i="92"/>
  <c r="AB11" i="92" s="1"/>
  <c r="B12" i="92"/>
  <c r="C12" i="92"/>
  <c r="R12" i="92" s="1"/>
  <c r="D12" i="92"/>
  <c r="S12" i="92" s="1"/>
  <c r="E12" i="92"/>
  <c r="T12" i="92" s="1"/>
  <c r="F12" i="92"/>
  <c r="U12" i="92" s="1"/>
  <c r="G12" i="92"/>
  <c r="V12" i="92" s="1"/>
  <c r="H12" i="92"/>
  <c r="W12" i="92" s="1"/>
  <c r="I12" i="92"/>
  <c r="X12" i="92" s="1"/>
  <c r="J12" i="92"/>
  <c r="Y12" i="92" s="1"/>
  <c r="K12" i="92"/>
  <c r="Z12" i="92" s="1"/>
  <c r="L12" i="92"/>
  <c r="AA12" i="92" s="1"/>
  <c r="M12" i="92"/>
  <c r="AB12" i="92" s="1"/>
  <c r="B13" i="92"/>
  <c r="C13" i="92"/>
  <c r="R13" i="92" s="1"/>
  <c r="D13" i="92"/>
  <c r="S13" i="92" s="1"/>
  <c r="E13" i="92"/>
  <c r="T13" i="92" s="1"/>
  <c r="F13" i="92"/>
  <c r="U13" i="92" s="1"/>
  <c r="G13" i="92"/>
  <c r="V13" i="92" s="1"/>
  <c r="H13" i="92"/>
  <c r="W13" i="92" s="1"/>
  <c r="I13" i="92"/>
  <c r="X13" i="92" s="1"/>
  <c r="J13" i="92"/>
  <c r="Y13" i="92" s="1"/>
  <c r="K13" i="92"/>
  <c r="Z13" i="92" s="1"/>
  <c r="L13" i="92"/>
  <c r="AA13" i="92" s="1"/>
  <c r="M13" i="92"/>
  <c r="AB13" i="92" s="1"/>
  <c r="A14" i="92"/>
  <c r="B14" i="92"/>
  <c r="C14" i="92"/>
  <c r="R14" i="92" s="1"/>
  <c r="D14" i="92"/>
  <c r="S14" i="92" s="1"/>
  <c r="E14" i="92"/>
  <c r="T14" i="92" s="1"/>
  <c r="F14" i="92"/>
  <c r="U14" i="92" s="1"/>
  <c r="G14" i="92"/>
  <c r="V14" i="92" s="1"/>
  <c r="H14" i="92"/>
  <c r="W14" i="92" s="1"/>
  <c r="I14" i="92"/>
  <c r="X14" i="92" s="1"/>
  <c r="J14" i="92"/>
  <c r="Y14" i="92" s="1"/>
  <c r="K14" i="92"/>
  <c r="Z14" i="92" s="1"/>
  <c r="L14" i="92"/>
  <c r="AA14" i="92" s="1"/>
  <c r="M14" i="92"/>
  <c r="AB14" i="92" s="1"/>
  <c r="B15" i="92"/>
  <c r="C15" i="92"/>
  <c r="R15" i="92" s="1"/>
  <c r="D15" i="92"/>
  <c r="S15" i="92" s="1"/>
  <c r="E15" i="92"/>
  <c r="T15" i="92" s="1"/>
  <c r="F15" i="92"/>
  <c r="U15" i="92" s="1"/>
  <c r="G15" i="92"/>
  <c r="V15" i="92" s="1"/>
  <c r="H15" i="92"/>
  <c r="W15" i="92" s="1"/>
  <c r="I15" i="92"/>
  <c r="X15" i="92" s="1"/>
  <c r="J15" i="92"/>
  <c r="Y15" i="92" s="1"/>
  <c r="K15" i="92"/>
  <c r="Z15" i="92" s="1"/>
  <c r="L15" i="92"/>
  <c r="AA15" i="92" s="1"/>
  <c r="M15" i="92"/>
  <c r="AB15" i="92" s="1"/>
  <c r="B16" i="92"/>
  <c r="C16" i="92"/>
  <c r="R16" i="92" s="1"/>
  <c r="D16" i="92"/>
  <c r="S16" i="92" s="1"/>
  <c r="E16" i="92"/>
  <c r="T16" i="92" s="1"/>
  <c r="F16" i="92"/>
  <c r="U16" i="92" s="1"/>
  <c r="G16" i="92"/>
  <c r="V16" i="92" s="1"/>
  <c r="H16" i="92"/>
  <c r="W16" i="92" s="1"/>
  <c r="I16" i="92"/>
  <c r="X16" i="92" s="1"/>
  <c r="J16" i="92"/>
  <c r="Y16" i="92" s="1"/>
  <c r="K16" i="92"/>
  <c r="Z16" i="92" s="1"/>
  <c r="L16" i="92"/>
  <c r="AA16" i="92" s="1"/>
  <c r="M16" i="92"/>
  <c r="AB16" i="92" s="1"/>
  <c r="A17" i="92"/>
  <c r="B17" i="92"/>
  <c r="C17" i="92"/>
  <c r="R17" i="92" s="1"/>
  <c r="D17" i="92"/>
  <c r="S17" i="92" s="1"/>
  <c r="E17" i="92"/>
  <c r="T17" i="92" s="1"/>
  <c r="F17" i="92"/>
  <c r="U17" i="92" s="1"/>
  <c r="G17" i="92"/>
  <c r="V17" i="92" s="1"/>
  <c r="H17" i="92"/>
  <c r="W17" i="92" s="1"/>
  <c r="I17" i="92"/>
  <c r="X17" i="92" s="1"/>
  <c r="J17" i="92"/>
  <c r="Y17" i="92" s="1"/>
  <c r="K17" i="92"/>
  <c r="Z17" i="92" s="1"/>
  <c r="L17" i="92"/>
  <c r="AA17" i="92" s="1"/>
  <c r="M17" i="92"/>
  <c r="AB17" i="92" s="1"/>
  <c r="B18" i="92"/>
  <c r="C18" i="92"/>
  <c r="R18" i="92" s="1"/>
  <c r="D18" i="92"/>
  <c r="S18" i="92" s="1"/>
  <c r="E18" i="92"/>
  <c r="T18" i="92" s="1"/>
  <c r="F18" i="92"/>
  <c r="U18" i="92" s="1"/>
  <c r="G18" i="92"/>
  <c r="V18" i="92" s="1"/>
  <c r="H18" i="92"/>
  <c r="W18" i="92" s="1"/>
  <c r="I18" i="92"/>
  <c r="X18" i="92" s="1"/>
  <c r="J18" i="92"/>
  <c r="Y18" i="92" s="1"/>
  <c r="K18" i="92"/>
  <c r="Z18" i="92" s="1"/>
  <c r="L18" i="92"/>
  <c r="AA18" i="92" s="1"/>
  <c r="M18" i="92"/>
  <c r="AB18" i="92" s="1"/>
  <c r="B19" i="92"/>
  <c r="C19" i="92"/>
  <c r="R19" i="92" s="1"/>
  <c r="D19" i="92"/>
  <c r="S19" i="92" s="1"/>
  <c r="E19" i="92"/>
  <c r="T19" i="92" s="1"/>
  <c r="F19" i="92"/>
  <c r="U19" i="92" s="1"/>
  <c r="G19" i="92"/>
  <c r="V19" i="92" s="1"/>
  <c r="H19" i="92"/>
  <c r="W19" i="92" s="1"/>
  <c r="I19" i="92"/>
  <c r="X19" i="92" s="1"/>
  <c r="J19" i="92"/>
  <c r="Y19" i="92" s="1"/>
  <c r="K19" i="92"/>
  <c r="Z19" i="92" s="1"/>
  <c r="L19" i="92"/>
  <c r="AA19" i="92" s="1"/>
  <c r="M19" i="92"/>
  <c r="AB19" i="92" s="1"/>
  <c r="A20" i="92"/>
  <c r="B20" i="92"/>
  <c r="C20" i="92"/>
  <c r="R20" i="92" s="1"/>
  <c r="D20" i="92"/>
  <c r="S20" i="92" s="1"/>
  <c r="E20" i="92"/>
  <c r="T20" i="92" s="1"/>
  <c r="F20" i="92"/>
  <c r="U20" i="92" s="1"/>
  <c r="G20" i="92"/>
  <c r="V20" i="92" s="1"/>
  <c r="H20" i="92"/>
  <c r="W20" i="92" s="1"/>
  <c r="I20" i="92"/>
  <c r="X20" i="92" s="1"/>
  <c r="J20" i="92"/>
  <c r="Y20" i="92" s="1"/>
  <c r="K20" i="92"/>
  <c r="Z20" i="92" s="1"/>
  <c r="L20" i="92"/>
  <c r="AA20" i="92" s="1"/>
  <c r="M20" i="92"/>
  <c r="AB20" i="92" s="1"/>
  <c r="B21" i="92"/>
  <c r="C21" i="92"/>
  <c r="R21" i="92" s="1"/>
  <c r="D21" i="92"/>
  <c r="S21" i="92" s="1"/>
  <c r="E21" i="92"/>
  <c r="T21" i="92" s="1"/>
  <c r="F21" i="92"/>
  <c r="U21" i="92" s="1"/>
  <c r="G21" i="92"/>
  <c r="V21" i="92" s="1"/>
  <c r="H21" i="92"/>
  <c r="W21" i="92" s="1"/>
  <c r="I21" i="92"/>
  <c r="X21" i="92" s="1"/>
  <c r="J21" i="92"/>
  <c r="Y21" i="92" s="1"/>
  <c r="K21" i="92"/>
  <c r="Z21" i="92" s="1"/>
  <c r="L21" i="92"/>
  <c r="AA21" i="92" s="1"/>
  <c r="M21" i="92"/>
  <c r="AB21" i="92" s="1"/>
  <c r="B22" i="92"/>
  <c r="C22" i="92"/>
  <c r="R22" i="92" s="1"/>
  <c r="D22" i="92"/>
  <c r="S22" i="92" s="1"/>
  <c r="E22" i="92"/>
  <c r="T22" i="92" s="1"/>
  <c r="F22" i="92"/>
  <c r="U22" i="92" s="1"/>
  <c r="G22" i="92"/>
  <c r="V22" i="92" s="1"/>
  <c r="H22" i="92"/>
  <c r="W22" i="92" s="1"/>
  <c r="I22" i="92"/>
  <c r="X22" i="92" s="1"/>
  <c r="J22" i="92"/>
  <c r="Y22" i="92" s="1"/>
  <c r="K22" i="92"/>
  <c r="Z22" i="92" s="1"/>
  <c r="L22" i="92"/>
  <c r="AA22" i="92" s="1"/>
  <c r="M22" i="92"/>
  <c r="AB22" i="92" s="1"/>
  <c r="A23" i="92"/>
  <c r="B23" i="92"/>
  <c r="C23" i="92"/>
  <c r="R23" i="92" s="1"/>
  <c r="D23" i="92"/>
  <c r="S23" i="92" s="1"/>
  <c r="E23" i="92"/>
  <c r="T23" i="92" s="1"/>
  <c r="F23" i="92"/>
  <c r="U23" i="92" s="1"/>
  <c r="G23" i="92"/>
  <c r="V23" i="92" s="1"/>
  <c r="H23" i="92"/>
  <c r="W23" i="92" s="1"/>
  <c r="I23" i="92"/>
  <c r="X23" i="92" s="1"/>
  <c r="J23" i="92"/>
  <c r="Y23" i="92" s="1"/>
  <c r="K23" i="92"/>
  <c r="Z23" i="92" s="1"/>
  <c r="L23" i="92"/>
  <c r="AA23" i="92" s="1"/>
  <c r="M23" i="92"/>
  <c r="AB23" i="92" s="1"/>
  <c r="B24" i="92"/>
  <c r="C24" i="92"/>
  <c r="R24" i="92" s="1"/>
  <c r="D24" i="92"/>
  <c r="S24" i="92" s="1"/>
  <c r="E24" i="92"/>
  <c r="T24" i="92" s="1"/>
  <c r="F24" i="92"/>
  <c r="U24" i="92" s="1"/>
  <c r="G24" i="92"/>
  <c r="V24" i="92" s="1"/>
  <c r="H24" i="92"/>
  <c r="W24" i="92" s="1"/>
  <c r="I24" i="92"/>
  <c r="X24" i="92" s="1"/>
  <c r="J24" i="92"/>
  <c r="Y24" i="92" s="1"/>
  <c r="K24" i="92"/>
  <c r="Z24" i="92" s="1"/>
  <c r="L24" i="92"/>
  <c r="AA24" i="92" s="1"/>
  <c r="M24" i="92"/>
  <c r="AB24" i="92" s="1"/>
  <c r="B25" i="92"/>
  <c r="C25" i="92"/>
  <c r="R25" i="92" s="1"/>
  <c r="D25" i="92"/>
  <c r="S25" i="92" s="1"/>
  <c r="E25" i="92"/>
  <c r="T25" i="92" s="1"/>
  <c r="F25" i="92"/>
  <c r="U25" i="92" s="1"/>
  <c r="G25" i="92"/>
  <c r="V25" i="92" s="1"/>
  <c r="H25" i="92"/>
  <c r="W25" i="92" s="1"/>
  <c r="I25" i="92"/>
  <c r="X25" i="92" s="1"/>
  <c r="J25" i="92"/>
  <c r="Y25" i="92" s="1"/>
  <c r="K25" i="92"/>
  <c r="Z25" i="92" s="1"/>
  <c r="L25" i="92"/>
  <c r="AA25" i="92" s="1"/>
  <c r="M25" i="92"/>
  <c r="AB25" i="92" s="1"/>
  <c r="A26" i="92"/>
  <c r="B26" i="92"/>
  <c r="C26" i="92"/>
  <c r="R26" i="92" s="1"/>
  <c r="D26" i="92"/>
  <c r="S26" i="92" s="1"/>
  <c r="E26" i="92"/>
  <c r="T26" i="92" s="1"/>
  <c r="F26" i="92"/>
  <c r="U26" i="92" s="1"/>
  <c r="G26" i="92"/>
  <c r="V26" i="92" s="1"/>
  <c r="H26" i="92"/>
  <c r="W26" i="92" s="1"/>
  <c r="I26" i="92"/>
  <c r="X26" i="92" s="1"/>
  <c r="J26" i="92"/>
  <c r="Y26" i="92" s="1"/>
  <c r="K26" i="92"/>
  <c r="Z26" i="92" s="1"/>
  <c r="L26" i="92"/>
  <c r="AA26" i="92" s="1"/>
  <c r="M26" i="92"/>
  <c r="AB26" i="92" s="1"/>
  <c r="B27" i="92"/>
  <c r="C27" i="92"/>
  <c r="R27" i="92" s="1"/>
  <c r="D27" i="92"/>
  <c r="S27" i="92" s="1"/>
  <c r="E27" i="92"/>
  <c r="T27" i="92" s="1"/>
  <c r="F27" i="92"/>
  <c r="U27" i="92" s="1"/>
  <c r="G27" i="92"/>
  <c r="V27" i="92" s="1"/>
  <c r="H27" i="92"/>
  <c r="W27" i="92" s="1"/>
  <c r="I27" i="92"/>
  <c r="X27" i="92" s="1"/>
  <c r="J27" i="92"/>
  <c r="Y27" i="92" s="1"/>
  <c r="K27" i="92"/>
  <c r="Z27" i="92" s="1"/>
  <c r="L27" i="92"/>
  <c r="AA27" i="92" s="1"/>
  <c r="M27" i="92"/>
  <c r="AB27" i="92" s="1"/>
  <c r="B28" i="92"/>
  <c r="C28" i="92"/>
  <c r="R28" i="92" s="1"/>
  <c r="D28" i="92"/>
  <c r="S28" i="92" s="1"/>
  <c r="E28" i="92"/>
  <c r="T28" i="92" s="1"/>
  <c r="F28" i="92"/>
  <c r="U28" i="92" s="1"/>
  <c r="G28" i="92"/>
  <c r="V28" i="92" s="1"/>
  <c r="H28" i="92"/>
  <c r="W28" i="92" s="1"/>
  <c r="I28" i="92"/>
  <c r="X28" i="92" s="1"/>
  <c r="J28" i="92"/>
  <c r="Y28" i="92" s="1"/>
  <c r="K28" i="92"/>
  <c r="Z28" i="92" s="1"/>
  <c r="L28" i="92"/>
  <c r="AA28" i="92" s="1"/>
  <c r="M28" i="92"/>
  <c r="AB28" i="92" s="1"/>
  <c r="A29" i="92"/>
  <c r="B29" i="92"/>
  <c r="C29" i="92"/>
  <c r="R29" i="92" s="1"/>
  <c r="D29" i="92"/>
  <c r="S29" i="92" s="1"/>
  <c r="E29" i="92"/>
  <c r="T29" i="92" s="1"/>
  <c r="F29" i="92"/>
  <c r="U29" i="92" s="1"/>
  <c r="G29" i="92"/>
  <c r="V29" i="92" s="1"/>
  <c r="H29" i="92"/>
  <c r="W29" i="92" s="1"/>
  <c r="I29" i="92"/>
  <c r="X29" i="92" s="1"/>
  <c r="J29" i="92"/>
  <c r="Y29" i="92" s="1"/>
  <c r="K29" i="92"/>
  <c r="Z29" i="92" s="1"/>
  <c r="L29" i="92"/>
  <c r="AA29" i="92" s="1"/>
  <c r="M29" i="92"/>
  <c r="AB29" i="92" s="1"/>
  <c r="B30" i="92"/>
  <c r="C30" i="92"/>
  <c r="R30" i="92" s="1"/>
  <c r="D30" i="92"/>
  <c r="S30" i="92" s="1"/>
  <c r="E30" i="92"/>
  <c r="T30" i="92" s="1"/>
  <c r="F30" i="92"/>
  <c r="U30" i="92" s="1"/>
  <c r="G30" i="92"/>
  <c r="V30" i="92" s="1"/>
  <c r="H30" i="92"/>
  <c r="W30" i="92" s="1"/>
  <c r="I30" i="92"/>
  <c r="X30" i="92" s="1"/>
  <c r="J30" i="92"/>
  <c r="Y30" i="92" s="1"/>
  <c r="K30" i="92"/>
  <c r="Z30" i="92" s="1"/>
  <c r="L30" i="92"/>
  <c r="AA30" i="92" s="1"/>
  <c r="M30" i="92"/>
  <c r="AB30" i="92" s="1"/>
  <c r="B31" i="92"/>
  <c r="C31" i="92"/>
  <c r="R31" i="92" s="1"/>
  <c r="D31" i="92"/>
  <c r="S31" i="92" s="1"/>
  <c r="E31" i="92"/>
  <c r="T31" i="92" s="1"/>
  <c r="F31" i="92"/>
  <c r="U31" i="92" s="1"/>
  <c r="G31" i="92"/>
  <c r="V31" i="92" s="1"/>
  <c r="H31" i="92"/>
  <c r="W31" i="92" s="1"/>
  <c r="I31" i="92"/>
  <c r="X31" i="92" s="1"/>
  <c r="J31" i="92"/>
  <c r="Y31" i="92" s="1"/>
  <c r="K31" i="92"/>
  <c r="Z31" i="92" s="1"/>
  <c r="L31" i="92"/>
  <c r="AA31" i="92" s="1"/>
  <c r="M31" i="92"/>
  <c r="AB31" i="92" s="1"/>
  <c r="B32" i="92"/>
  <c r="C32" i="92"/>
  <c r="R32" i="92" s="1"/>
  <c r="D32" i="92"/>
  <c r="S32" i="92" s="1"/>
  <c r="E32" i="92"/>
  <c r="T32" i="92" s="1"/>
  <c r="F32" i="92"/>
  <c r="U32" i="92" s="1"/>
  <c r="G32" i="92"/>
  <c r="V32" i="92" s="1"/>
  <c r="H32" i="92"/>
  <c r="W32" i="92" s="1"/>
  <c r="I32" i="92"/>
  <c r="X32" i="92" s="1"/>
  <c r="J32" i="92"/>
  <c r="Y32" i="92" s="1"/>
  <c r="K32" i="92"/>
  <c r="Z32" i="92" s="1"/>
  <c r="L32" i="92"/>
  <c r="AA32" i="92" s="1"/>
  <c r="M32" i="92"/>
  <c r="AB32" i="92" s="1"/>
  <c r="B33" i="92"/>
  <c r="C33" i="92"/>
  <c r="R33" i="92" s="1"/>
  <c r="D33" i="92"/>
  <c r="S33" i="92" s="1"/>
  <c r="E33" i="92"/>
  <c r="T33" i="92" s="1"/>
  <c r="F33" i="92"/>
  <c r="U33" i="92" s="1"/>
  <c r="G33" i="92"/>
  <c r="V33" i="92" s="1"/>
  <c r="H33" i="92"/>
  <c r="W33" i="92" s="1"/>
  <c r="I33" i="92"/>
  <c r="X33" i="92" s="1"/>
  <c r="J33" i="92"/>
  <c r="Y33" i="92" s="1"/>
  <c r="K33" i="92"/>
  <c r="Z33" i="92" s="1"/>
  <c r="L33" i="92"/>
  <c r="AA33" i="92" s="1"/>
  <c r="M33" i="92"/>
  <c r="AB33" i="92" s="1"/>
  <c r="B34" i="92"/>
  <c r="C34" i="92"/>
  <c r="R34" i="92" s="1"/>
  <c r="D34" i="92"/>
  <c r="S34" i="92" s="1"/>
  <c r="E34" i="92"/>
  <c r="T34" i="92" s="1"/>
  <c r="F34" i="92"/>
  <c r="U34" i="92" s="1"/>
  <c r="G34" i="92"/>
  <c r="V34" i="92" s="1"/>
  <c r="H34" i="92"/>
  <c r="W34" i="92" s="1"/>
  <c r="I34" i="92"/>
  <c r="X34" i="92" s="1"/>
  <c r="J34" i="92"/>
  <c r="Y34" i="92" s="1"/>
  <c r="K34" i="92"/>
  <c r="Z34" i="92" s="1"/>
  <c r="L34" i="92"/>
  <c r="AA34" i="92" s="1"/>
  <c r="M34" i="92"/>
  <c r="AB34" i="92" s="1"/>
  <c r="A35" i="92"/>
  <c r="B35" i="92"/>
  <c r="C35" i="92"/>
  <c r="R35" i="92" s="1"/>
  <c r="D35" i="92"/>
  <c r="S35" i="92" s="1"/>
  <c r="E35" i="92"/>
  <c r="T35" i="92" s="1"/>
  <c r="F35" i="92"/>
  <c r="U35" i="92" s="1"/>
  <c r="G35" i="92"/>
  <c r="V35" i="92" s="1"/>
  <c r="H35" i="92"/>
  <c r="W35" i="92" s="1"/>
  <c r="I35" i="92"/>
  <c r="X35" i="92" s="1"/>
  <c r="J35" i="92"/>
  <c r="Y35" i="92" s="1"/>
  <c r="K35" i="92"/>
  <c r="Z35" i="92" s="1"/>
  <c r="L35" i="92"/>
  <c r="AA35" i="92" s="1"/>
  <c r="M35" i="92"/>
  <c r="AB35" i="92" s="1"/>
  <c r="B36" i="92"/>
  <c r="C36" i="92"/>
  <c r="R36" i="92" s="1"/>
  <c r="D36" i="92"/>
  <c r="S36" i="92" s="1"/>
  <c r="E36" i="92"/>
  <c r="T36" i="92" s="1"/>
  <c r="F36" i="92"/>
  <c r="U36" i="92" s="1"/>
  <c r="G36" i="92"/>
  <c r="V36" i="92" s="1"/>
  <c r="H36" i="92"/>
  <c r="W36" i="92" s="1"/>
  <c r="I36" i="92"/>
  <c r="X36" i="92" s="1"/>
  <c r="J36" i="92"/>
  <c r="Y36" i="92" s="1"/>
  <c r="K36" i="92"/>
  <c r="Z36" i="92" s="1"/>
  <c r="L36" i="92"/>
  <c r="AA36" i="92" s="1"/>
  <c r="M36" i="92"/>
  <c r="AB36" i="92" s="1"/>
  <c r="B37" i="92"/>
  <c r="C37" i="92"/>
  <c r="R37" i="92" s="1"/>
  <c r="D37" i="92"/>
  <c r="S37" i="92" s="1"/>
  <c r="E37" i="92"/>
  <c r="T37" i="92" s="1"/>
  <c r="F37" i="92"/>
  <c r="U37" i="92" s="1"/>
  <c r="G37" i="92"/>
  <c r="V37" i="92" s="1"/>
  <c r="H37" i="92"/>
  <c r="W37" i="92" s="1"/>
  <c r="I37" i="92"/>
  <c r="X37" i="92" s="1"/>
  <c r="J37" i="92"/>
  <c r="Y37" i="92" s="1"/>
  <c r="K37" i="92"/>
  <c r="Z37" i="92" s="1"/>
  <c r="L37" i="92"/>
  <c r="AA37" i="92" s="1"/>
  <c r="M37" i="92"/>
  <c r="AB37" i="92" s="1"/>
  <c r="A38" i="92"/>
  <c r="B38" i="92"/>
  <c r="C38" i="92"/>
  <c r="R38" i="92" s="1"/>
  <c r="D38" i="92"/>
  <c r="S38" i="92" s="1"/>
  <c r="E38" i="92"/>
  <c r="T38" i="92" s="1"/>
  <c r="F38" i="92"/>
  <c r="U38" i="92" s="1"/>
  <c r="G38" i="92"/>
  <c r="V38" i="92" s="1"/>
  <c r="H38" i="92"/>
  <c r="W38" i="92" s="1"/>
  <c r="I38" i="92"/>
  <c r="X38" i="92" s="1"/>
  <c r="J38" i="92"/>
  <c r="Y38" i="92" s="1"/>
  <c r="K38" i="92"/>
  <c r="Z38" i="92" s="1"/>
  <c r="L38" i="92"/>
  <c r="AA38" i="92" s="1"/>
  <c r="M38" i="92"/>
  <c r="AB38" i="92" s="1"/>
  <c r="B39" i="92"/>
  <c r="C39" i="92"/>
  <c r="R39" i="92" s="1"/>
  <c r="D39" i="92"/>
  <c r="S39" i="92" s="1"/>
  <c r="E39" i="92"/>
  <c r="T39" i="92" s="1"/>
  <c r="F39" i="92"/>
  <c r="U39" i="92" s="1"/>
  <c r="G39" i="92"/>
  <c r="V39" i="92" s="1"/>
  <c r="H39" i="92"/>
  <c r="W39" i="92" s="1"/>
  <c r="I39" i="92"/>
  <c r="X39" i="92" s="1"/>
  <c r="J39" i="92"/>
  <c r="Y39" i="92" s="1"/>
  <c r="K39" i="92"/>
  <c r="Z39" i="92" s="1"/>
  <c r="L39" i="92"/>
  <c r="AA39" i="92" s="1"/>
  <c r="M39" i="92"/>
  <c r="AB39" i="92" s="1"/>
  <c r="B40" i="92"/>
  <c r="C40" i="92"/>
  <c r="R40" i="92" s="1"/>
  <c r="D40" i="92"/>
  <c r="S40" i="92" s="1"/>
  <c r="E40" i="92"/>
  <c r="T40" i="92" s="1"/>
  <c r="F40" i="92"/>
  <c r="U40" i="92" s="1"/>
  <c r="G40" i="92"/>
  <c r="V40" i="92" s="1"/>
  <c r="H40" i="92"/>
  <c r="W40" i="92" s="1"/>
  <c r="I40" i="92"/>
  <c r="X40" i="92" s="1"/>
  <c r="J40" i="92"/>
  <c r="Y40" i="92" s="1"/>
  <c r="K40" i="92"/>
  <c r="Z40" i="92" s="1"/>
  <c r="L40" i="92"/>
  <c r="AA40" i="92" s="1"/>
  <c r="M40" i="92"/>
  <c r="AB40" i="92" s="1"/>
  <c r="A41" i="92"/>
  <c r="C4" i="92"/>
  <c r="AD4" i="92" s="1"/>
  <c r="D4" i="92"/>
  <c r="AE4" i="92" s="1"/>
  <c r="E4" i="92"/>
  <c r="AF4" i="92" s="1"/>
  <c r="F4" i="92"/>
  <c r="AG4" i="92" s="1"/>
  <c r="G4" i="92"/>
  <c r="AH4" i="92" s="1"/>
  <c r="H4" i="92"/>
  <c r="AI4" i="92" s="1"/>
  <c r="I4" i="92"/>
  <c r="AJ4" i="92" s="1"/>
  <c r="J4" i="92"/>
  <c r="AK4" i="92" s="1"/>
  <c r="K4" i="92"/>
  <c r="AL4" i="92" s="1"/>
  <c r="L4" i="92"/>
  <c r="AM4" i="92" s="1"/>
  <c r="M4" i="92"/>
  <c r="AN4" i="92" s="1"/>
  <c r="A1" i="92"/>
  <c r="A1" i="91"/>
  <c r="A42" i="91"/>
  <c r="A41" i="91"/>
  <c r="B6" i="91"/>
  <c r="B7" i="91"/>
  <c r="A8" i="91"/>
  <c r="B8" i="91"/>
  <c r="B9" i="91"/>
  <c r="B10" i="91"/>
  <c r="A11" i="91"/>
  <c r="B11" i="91"/>
  <c r="B12" i="91"/>
  <c r="B13" i="91"/>
  <c r="A14" i="91"/>
  <c r="B14" i="91"/>
  <c r="B15" i="91"/>
  <c r="B16" i="91"/>
  <c r="A17" i="91"/>
  <c r="B17" i="91"/>
  <c r="B18" i="91"/>
  <c r="B19" i="91"/>
  <c r="A20" i="91"/>
  <c r="B20" i="91"/>
  <c r="B21" i="91"/>
  <c r="B22" i="91"/>
  <c r="A23" i="91"/>
  <c r="B23" i="91"/>
  <c r="B24" i="91"/>
  <c r="B25" i="91"/>
  <c r="A26" i="91"/>
  <c r="B26" i="91"/>
  <c r="B27" i="91"/>
  <c r="B28" i="91"/>
  <c r="A29" i="91"/>
  <c r="B29" i="91"/>
  <c r="B30" i="91"/>
  <c r="B31" i="91"/>
  <c r="A32" i="91"/>
  <c r="B32" i="91"/>
  <c r="B33" i="91"/>
  <c r="B34" i="91"/>
  <c r="A35" i="91"/>
  <c r="B35" i="91"/>
  <c r="B36" i="91"/>
  <c r="B37" i="91"/>
  <c r="A38" i="91"/>
  <c r="B38" i="91"/>
  <c r="B39" i="91"/>
  <c r="B40" i="91"/>
  <c r="B5" i="91"/>
  <c r="A5" i="91"/>
  <c r="C5" i="91"/>
  <c r="D5" i="91"/>
  <c r="E5" i="91"/>
  <c r="F5" i="91"/>
  <c r="G5" i="91"/>
  <c r="H5" i="91"/>
  <c r="I5" i="91"/>
  <c r="J5" i="91"/>
  <c r="K5" i="91"/>
  <c r="L5" i="91"/>
  <c r="M5" i="91"/>
  <c r="C6" i="91"/>
  <c r="BV8" i="75" s="1"/>
  <c r="D6" i="91"/>
  <c r="BW8" i="75" s="1"/>
  <c r="E6" i="91"/>
  <c r="BX8" i="75" s="1"/>
  <c r="F6" i="91"/>
  <c r="BY8" i="75" s="1"/>
  <c r="G6" i="91"/>
  <c r="BZ8" i="75" s="1"/>
  <c r="H6" i="91"/>
  <c r="CA8" i="75" s="1"/>
  <c r="I6" i="91"/>
  <c r="CB8" i="75" s="1"/>
  <c r="J6" i="91"/>
  <c r="CC8" i="75" s="1"/>
  <c r="K6" i="91"/>
  <c r="CD8" i="75" s="1"/>
  <c r="L6" i="91"/>
  <c r="CE8" i="75" s="1"/>
  <c r="M6" i="91"/>
  <c r="CF8" i="75" s="1"/>
  <c r="C7" i="91"/>
  <c r="BV15" i="75" s="1"/>
  <c r="D7" i="91"/>
  <c r="BW15" i="75" s="1"/>
  <c r="E7" i="91"/>
  <c r="BX15" i="75" s="1"/>
  <c r="F7" i="91"/>
  <c r="BY15" i="75" s="1"/>
  <c r="G7" i="91"/>
  <c r="BZ15" i="75" s="1"/>
  <c r="H7" i="91"/>
  <c r="CA15" i="75" s="1"/>
  <c r="I7" i="91"/>
  <c r="CB15" i="75" s="1"/>
  <c r="J7" i="91"/>
  <c r="CC15" i="75" s="1"/>
  <c r="K7" i="91"/>
  <c r="CD15" i="75" s="1"/>
  <c r="L7" i="91"/>
  <c r="CE15" i="75" s="1"/>
  <c r="M7" i="91"/>
  <c r="CF15" i="75" s="1"/>
  <c r="C8" i="91"/>
  <c r="R8" i="91" s="1"/>
  <c r="D8" i="91"/>
  <c r="S8" i="91" s="1"/>
  <c r="E8" i="91"/>
  <c r="T8" i="91" s="1"/>
  <c r="F8" i="91"/>
  <c r="U8" i="91" s="1"/>
  <c r="G8" i="91"/>
  <c r="V8" i="91" s="1"/>
  <c r="H8" i="91"/>
  <c r="W8" i="91" s="1"/>
  <c r="I8" i="91"/>
  <c r="X8" i="91" s="1"/>
  <c r="J8" i="91"/>
  <c r="Y8" i="91" s="1"/>
  <c r="K8" i="91"/>
  <c r="Z8" i="91" s="1"/>
  <c r="L8" i="91"/>
  <c r="AA8" i="91" s="1"/>
  <c r="M8" i="91"/>
  <c r="AB8" i="91" s="1"/>
  <c r="C9" i="91"/>
  <c r="R9" i="91" s="1"/>
  <c r="D9" i="91"/>
  <c r="S9" i="91" s="1"/>
  <c r="E9" i="91"/>
  <c r="T9" i="91" s="1"/>
  <c r="F9" i="91"/>
  <c r="U9" i="91" s="1"/>
  <c r="G9" i="91"/>
  <c r="V9" i="91" s="1"/>
  <c r="H9" i="91"/>
  <c r="W9" i="91" s="1"/>
  <c r="I9" i="91"/>
  <c r="X9" i="91" s="1"/>
  <c r="J9" i="91"/>
  <c r="Y9" i="91" s="1"/>
  <c r="K9" i="91"/>
  <c r="Z9" i="91" s="1"/>
  <c r="L9" i="91"/>
  <c r="AA9" i="91" s="1"/>
  <c r="M9" i="91"/>
  <c r="AB9" i="91" s="1"/>
  <c r="C10" i="91"/>
  <c r="R10" i="91" s="1"/>
  <c r="D10" i="91"/>
  <c r="S10" i="91" s="1"/>
  <c r="E10" i="91"/>
  <c r="T10" i="91" s="1"/>
  <c r="F10" i="91"/>
  <c r="U10" i="91" s="1"/>
  <c r="G10" i="91"/>
  <c r="V10" i="91" s="1"/>
  <c r="H10" i="91"/>
  <c r="W10" i="91" s="1"/>
  <c r="I10" i="91"/>
  <c r="X10" i="91" s="1"/>
  <c r="J10" i="91"/>
  <c r="Y10" i="91" s="1"/>
  <c r="K10" i="91"/>
  <c r="Z10" i="91" s="1"/>
  <c r="L10" i="91"/>
  <c r="AA10" i="91" s="1"/>
  <c r="M10" i="91"/>
  <c r="AB10" i="91" s="1"/>
  <c r="C11" i="91"/>
  <c r="R11" i="91" s="1"/>
  <c r="D11" i="91"/>
  <c r="S11" i="91" s="1"/>
  <c r="E11" i="91"/>
  <c r="T11" i="91" s="1"/>
  <c r="F11" i="91"/>
  <c r="U11" i="91" s="1"/>
  <c r="G11" i="91"/>
  <c r="V11" i="91" s="1"/>
  <c r="H11" i="91"/>
  <c r="W11" i="91" s="1"/>
  <c r="I11" i="91"/>
  <c r="X11" i="91" s="1"/>
  <c r="J11" i="91"/>
  <c r="Y11" i="91" s="1"/>
  <c r="K11" i="91"/>
  <c r="Z11" i="91" s="1"/>
  <c r="L11" i="91"/>
  <c r="AA11" i="91" s="1"/>
  <c r="M11" i="91"/>
  <c r="AB11" i="91" s="1"/>
  <c r="C12" i="91"/>
  <c r="R12" i="91" s="1"/>
  <c r="D12" i="91"/>
  <c r="S12" i="91" s="1"/>
  <c r="E12" i="91"/>
  <c r="T12" i="91" s="1"/>
  <c r="F12" i="91"/>
  <c r="U12" i="91" s="1"/>
  <c r="G12" i="91"/>
  <c r="V12" i="91" s="1"/>
  <c r="H12" i="91"/>
  <c r="W12" i="91" s="1"/>
  <c r="I12" i="91"/>
  <c r="X12" i="91" s="1"/>
  <c r="J12" i="91"/>
  <c r="Y12" i="91" s="1"/>
  <c r="K12" i="91"/>
  <c r="Z12" i="91" s="1"/>
  <c r="L12" i="91"/>
  <c r="AA12" i="91" s="1"/>
  <c r="M12" i="91"/>
  <c r="AB12" i="91" s="1"/>
  <c r="C13" i="91"/>
  <c r="R13" i="91" s="1"/>
  <c r="D13" i="91"/>
  <c r="S13" i="91" s="1"/>
  <c r="E13" i="91"/>
  <c r="T13" i="91" s="1"/>
  <c r="F13" i="91"/>
  <c r="U13" i="91" s="1"/>
  <c r="G13" i="91"/>
  <c r="V13" i="91" s="1"/>
  <c r="H13" i="91"/>
  <c r="W13" i="91" s="1"/>
  <c r="I13" i="91"/>
  <c r="X13" i="91" s="1"/>
  <c r="J13" i="91"/>
  <c r="Y13" i="91" s="1"/>
  <c r="K13" i="91"/>
  <c r="Z13" i="91" s="1"/>
  <c r="L13" i="91"/>
  <c r="AA13" i="91" s="1"/>
  <c r="M13" i="91"/>
  <c r="AB13" i="91" s="1"/>
  <c r="C14" i="91"/>
  <c r="R14" i="91" s="1"/>
  <c r="D14" i="91"/>
  <c r="S14" i="91" s="1"/>
  <c r="E14" i="91"/>
  <c r="T14" i="91" s="1"/>
  <c r="F14" i="91"/>
  <c r="U14" i="91" s="1"/>
  <c r="G14" i="91"/>
  <c r="V14" i="91" s="1"/>
  <c r="H14" i="91"/>
  <c r="W14" i="91" s="1"/>
  <c r="I14" i="91"/>
  <c r="X14" i="91" s="1"/>
  <c r="J14" i="91"/>
  <c r="Y14" i="91" s="1"/>
  <c r="K14" i="91"/>
  <c r="Z14" i="91" s="1"/>
  <c r="L14" i="91"/>
  <c r="AA14" i="91" s="1"/>
  <c r="M14" i="91"/>
  <c r="AB14" i="91" s="1"/>
  <c r="C15" i="91"/>
  <c r="R15" i="91" s="1"/>
  <c r="D15" i="91"/>
  <c r="S15" i="91" s="1"/>
  <c r="E15" i="91"/>
  <c r="T15" i="91" s="1"/>
  <c r="F15" i="91"/>
  <c r="U15" i="91" s="1"/>
  <c r="G15" i="91"/>
  <c r="V15" i="91" s="1"/>
  <c r="H15" i="91"/>
  <c r="W15" i="91" s="1"/>
  <c r="I15" i="91"/>
  <c r="X15" i="91" s="1"/>
  <c r="J15" i="91"/>
  <c r="Y15" i="91" s="1"/>
  <c r="K15" i="91"/>
  <c r="Z15" i="91" s="1"/>
  <c r="L15" i="91"/>
  <c r="AA15" i="91" s="1"/>
  <c r="M15" i="91"/>
  <c r="AB15" i="91" s="1"/>
  <c r="C16" i="91"/>
  <c r="R16" i="91" s="1"/>
  <c r="D16" i="91"/>
  <c r="S16" i="91" s="1"/>
  <c r="E16" i="91"/>
  <c r="T16" i="91" s="1"/>
  <c r="F16" i="91"/>
  <c r="U16" i="91" s="1"/>
  <c r="G16" i="91"/>
  <c r="V16" i="91" s="1"/>
  <c r="H16" i="91"/>
  <c r="W16" i="91" s="1"/>
  <c r="I16" i="91"/>
  <c r="X16" i="91" s="1"/>
  <c r="J16" i="91"/>
  <c r="Y16" i="91" s="1"/>
  <c r="K16" i="91"/>
  <c r="Z16" i="91" s="1"/>
  <c r="L16" i="91"/>
  <c r="AA16" i="91" s="1"/>
  <c r="M16" i="91"/>
  <c r="AB16" i="91" s="1"/>
  <c r="C17" i="91"/>
  <c r="R17" i="91" s="1"/>
  <c r="D17" i="91"/>
  <c r="S17" i="91" s="1"/>
  <c r="E17" i="91"/>
  <c r="T17" i="91" s="1"/>
  <c r="F17" i="91"/>
  <c r="U17" i="91" s="1"/>
  <c r="G17" i="91"/>
  <c r="V17" i="91" s="1"/>
  <c r="H17" i="91"/>
  <c r="W17" i="91" s="1"/>
  <c r="I17" i="91"/>
  <c r="X17" i="91" s="1"/>
  <c r="J17" i="91"/>
  <c r="Y17" i="91" s="1"/>
  <c r="K17" i="91"/>
  <c r="Z17" i="91" s="1"/>
  <c r="L17" i="91"/>
  <c r="AA17" i="91" s="1"/>
  <c r="M17" i="91"/>
  <c r="AB17" i="91" s="1"/>
  <c r="C18" i="91"/>
  <c r="R18" i="91" s="1"/>
  <c r="D18" i="91"/>
  <c r="S18" i="91" s="1"/>
  <c r="E18" i="91"/>
  <c r="T18" i="91" s="1"/>
  <c r="F18" i="91"/>
  <c r="U18" i="91" s="1"/>
  <c r="G18" i="91"/>
  <c r="V18" i="91" s="1"/>
  <c r="H18" i="91"/>
  <c r="W18" i="91" s="1"/>
  <c r="I18" i="91"/>
  <c r="X18" i="91" s="1"/>
  <c r="J18" i="91"/>
  <c r="Y18" i="91" s="1"/>
  <c r="K18" i="91"/>
  <c r="Z18" i="91" s="1"/>
  <c r="L18" i="91"/>
  <c r="AA18" i="91" s="1"/>
  <c r="M18" i="91"/>
  <c r="AB18" i="91" s="1"/>
  <c r="C19" i="91"/>
  <c r="R19" i="91" s="1"/>
  <c r="D19" i="91"/>
  <c r="S19" i="91" s="1"/>
  <c r="E19" i="91"/>
  <c r="T19" i="91" s="1"/>
  <c r="F19" i="91"/>
  <c r="U19" i="91" s="1"/>
  <c r="G19" i="91"/>
  <c r="V19" i="91" s="1"/>
  <c r="H19" i="91"/>
  <c r="W19" i="91" s="1"/>
  <c r="I19" i="91"/>
  <c r="X19" i="91" s="1"/>
  <c r="J19" i="91"/>
  <c r="Y19" i="91" s="1"/>
  <c r="K19" i="91"/>
  <c r="Z19" i="91" s="1"/>
  <c r="L19" i="91"/>
  <c r="AA19" i="91" s="1"/>
  <c r="M19" i="91"/>
  <c r="AB19" i="91" s="1"/>
  <c r="C20" i="91"/>
  <c r="R20" i="91" s="1"/>
  <c r="D20" i="91"/>
  <c r="S20" i="91" s="1"/>
  <c r="E20" i="91"/>
  <c r="T20" i="91" s="1"/>
  <c r="F20" i="91"/>
  <c r="U20" i="91" s="1"/>
  <c r="G20" i="91"/>
  <c r="V20" i="91" s="1"/>
  <c r="H20" i="91"/>
  <c r="W20" i="91" s="1"/>
  <c r="I20" i="91"/>
  <c r="X20" i="91" s="1"/>
  <c r="J20" i="91"/>
  <c r="Y20" i="91" s="1"/>
  <c r="K20" i="91"/>
  <c r="Z20" i="91" s="1"/>
  <c r="L20" i="91"/>
  <c r="AA20" i="91" s="1"/>
  <c r="M20" i="91"/>
  <c r="AB20" i="91" s="1"/>
  <c r="C21" i="91"/>
  <c r="R21" i="91" s="1"/>
  <c r="D21" i="91"/>
  <c r="S21" i="91" s="1"/>
  <c r="E21" i="91"/>
  <c r="T21" i="91" s="1"/>
  <c r="F21" i="91"/>
  <c r="U21" i="91" s="1"/>
  <c r="G21" i="91"/>
  <c r="V21" i="91" s="1"/>
  <c r="H21" i="91"/>
  <c r="W21" i="91" s="1"/>
  <c r="I21" i="91"/>
  <c r="X21" i="91" s="1"/>
  <c r="J21" i="91"/>
  <c r="Y21" i="91" s="1"/>
  <c r="K21" i="91"/>
  <c r="Z21" i="91" s="1"/>
  <c r="L21" i="91"/>
  <c r="AA21" i="91" s="1"/>
  <c r="M21" i="91"/>
  <c r="AB21" i="91" s="1"/>
  <c r="C22" i="91"/>
  <c r="R22" i="91" s="1"/>
  <c r="D22" i="91"/>
  <c r="S22" i="91" s="1"/>
  <c r="E22" i="91"/>
  <c r="T22" i="91" s="1"/>
  <c r="F22" i="91"/>
  <c r="U22" i="91" s="1"/>
  <c r="G22" i="91"/>
  <c r="V22" i="91" s="1"/>
  <c r="H22" i="91"/>
  <c r="W22" i="91" s="1"/>
  <c r="I22" i="91"/>
  <c r="X22" i="91" s="1"/>
  <c r="J22" i="91"/>
  <c r="Y22" i="91" s="1"/>
  <c r="K22" i="91"/>
  <c r="Z22" i="91" s="1"/>
  <c r="L22" i="91"/>
  <c r="AA22" i="91" s="1"/>
  <c r="M22" i="91"/>
  <c r="AB22" i="91" s="1"/>
  <c r="C23" i="91"/>
  <c r="R23" i="91" s="1"/>
  <c r="D23" i="91"/>
  <c r="S23" i="91" s="1"/>
  <c r="E23" i="91"/>
  <c r="T23" i="91" s="1"/>
  <c r="F23" i="91"/>
  <c r="U23" i="91" s="1"/>
  <c r="G23" i="91"/>
  <c r="V23" i="91" s="1"/>
  <c r="H23" i="91"/>
  <c r="W23" i="91" s="1"/>
  <c r="I23" i="91"/>
  <c r="X23" i="91" s="1"/>
  <c r="J23" i="91"/>
  <c r="Y23" i="91" s="1"/>
  <c r="K23" i="91"/>
  <c r="Z23" i="91" s="1"/>
  <c r="L23" i="91"/>
  <c r="AA23" i="91" s="1"/>
  <c r="M23" i="91"/>
  <c r="AB23" i="91" s="1"/>
  <c r="C24" i="91"/>
  <c r="R24" i="91" s="1"/>
  <c r="D24" i="91"/>
  <c r="S24" i="91" s="1"/>
  <c r="E24" i="91"/>
  <c r="T24" i="91" s="1"/>
  <c r="F24" i="91"/>
  <c r="U24" i="91" s="1"/>
  <c r="G24" i="91"/>
  <c r="V24" i="91" s="1"/>
  <c r="H24" i="91"/>
  <c r="W24" i="91" s="1"/>
  <c r="I24" i="91"/>
  <c r="X24" i="91" s="1"/>
  <c r="J24" i="91"/>
  <c r="Y24" i="91" s="1"/>
  <c r="K24" i="91"/>
  <c r="Z24" i="91" s="1"/>
  <c r="L24" i="91"/>
  <c r="AA24" i="91" s="1"/>
  <c r="M24" i="91"/>
  <c r="AB24" i="91" s="1"/>
  <c r="C25" i="91"/>
  <c r="R25" i="91" s="1"/>
  <c r="D25" i="91"/>
  <c r="S25" i="91" s="1"/>
  <c r="E25" i="91"/>
  <c r="T25" i="91" s="1"/>
  <c r="F25" i="91"/>
  <c r="U25" i="91" s="1"/>
  <c r="G25" i="91"/>
  <c r="V25" i="91" s="1"/>
  <c r="H25" i="91"/>
  <c r="W25" i="91" s="1"/>
  <c r="I25" i="91"/>
  <c r="X25" i="91" s="1"/>
  <c r="J25" i="91"/>
  <c r="Y25" i="91" s="1"/>
  <c r="K25" i="91"/>
  <c r="Z25" i="91" s="1"/>
  <c r="L25" i="91"/>
  <c r="AA25" i="91" s="1"/>
  <c r="M25" i="91"/>
  <c r="AB25" i="91" s="1"/>
  <c r="C26" i="91"/>
  <c r="R26" i="91" s="1"/>
  <c r="D26" i="91"/>
  <c r="S26" i="91" s="1"/>
  <c r="E26" i="91"/>
  <c r="T26" i="91" s="1"/>
  <c r="F26" i="91"/>
  <c r="U26" i="91" s="1"/>
  <c r="G26" i="91"/>
  <c r="V26" i="91" s="1"/>
  <c r="H26" i="91"/>
  <c r="W26" i="91" s="1"/>
  <c r="I26" i="91"/>
  <c r="X26" i="91" s="1"/>
  <c r="J26" i="91"/>
  <c r="Y26" i="91" s="1"/>
  <c r="K26" i="91"/>
  <c r="Z26" i="91" s="1"/>
  <c r="L26" i="91"/>
  <c r="AA26" i="91" s="1"/>
  <c r="M26" i="91"/>
  <c r="AB26" i="91" s="1"/>
  <c r="C27" i="91"/>
  <c r="R27" i="91" s="1"/>
  <c r="D27" i="91"/>
  <c r="S27" i="91" s="1"/>
  <c r="E27" i="91"/>
  <c r="T27" i="91" s="1"/>
  <c r="F27" i="91"/>
  <c r="U27" i="91" s="1"/>
  <c r="G27" i="91"/>
  <c r="V27" i="91" s="1"/>
  <c r="H27" i="91"/>
  <c r="W27" i="91" s="1"/>
  <c r="I27" i="91"/>
  <c r="X27" i="91" s="1"/>
  <c r="J27" i="91"/>
  <c r="Y27" i="91" s="1"/>
  <c r="K27" i="91"/>
  <c r="Z27" i="91" s="1"/>
  <c r="L27" i="91"/>
  <c r="AA27" i="91" s="1"/>
  <c r="M27" i="91"/>
  <c r="AB27" i="91" s="1"/>
  <c r="C28" i="91"/>
  <c r="R28" i="91" s="1"/>
  <c r="D28" i="91"/>
  <c r="S28" i="91" s="1"/>
  <c r="E28" i="91"/>
  <c r="T28" i="91" s="1"/>
  <c r="F28" i="91"/>
  <c r="U28" i="91" s="1"/>
  <c r="G28" i="91"/>
  <c r="V28" i="91" s="1"/>
  <c r="H28" i="91"/>
  <c r="W28" i="91" s="1"/>
  <c r="I28" i="91"/>
  <c r="X28" i="91" s="1"/>
  <c r="J28" i="91"/>
  <c r="Y28" i="91" s="1"/>
  <c r="K28" i="91"/>
  <c r="Z28" i="91" s="1"/>
  <c r="L28" i="91"/>
  <c r="AA28" i="91" s="1"/>
  <c r="M28" i="91"/>
  <c r="AB28" i="91" s="1"/>
  <c r="C29" i="91"/>
  <c r="R29" i="91" s="1"/>
  <c r="D29" i="91"/>
  <c r="S29" i="91" s="1"/>
  <c r="E29" i="91"/>
  <c r="T29" i="91" s="1"/>
  <c r="F29" i="91"/>
  <c r="U29" i="91" s="1"/>
  <c r="G29" i="91"/>
  <c r="V29" i="91" s="1"/>
  <c r="H29" i="91"/>
  <c r="W29" i="91" s="1"/>
  <c r="I29" i="91"/>
  <c r="X29" i="91" s="1"/>
  <c r="J29" i="91"/>
  <c r="Y29" i="91" s="1"/>
  <c r="K29" i="91"/>
  <c r="Z29" i="91" s="1"/>
  <c r="L29" i="91"/>
  <c r="AA29" i="91" s="1"/>
  <c r="M29" i="91"/>
  <c r="AB29" i="91" s="1"/>
  <c r="C30" i="91"/>
  <c r="R30" i="91" s="1"/>
  <c r="D30" i="91"/>
  <c r="S30" i="91" s="1"/>
  <c r="E30" i="91"/>
  <c r="T30" i="91" s="1"/>
  <c r="F30" i="91"/>
  <c r="U30" i="91" s="1"/>
  <c r="G30" i="91"/>
  <c r="V30" i="91" s="1"/>
  <c r="H30" i="91"/>
  <c r="W30" i="91" s="1"/>
  <c r="I30" i="91"/>
  <c r="X30" i="91" s="1"/>
  <c r="J30" i="91"/>
  <c r="Y30" i="91" s="1"/>
  <c r="K30" i="91"/>
  <c r="Z30" i="91" s="1"/>
  <c r="L30" i="91"/>
  <c r="AA30" i="91" s="1"/>
  <c r="M30" i="91"/>
  <c r="AB30" i="91" s="1"/>
  <c r="C31" i="91"/>
  <c r="R31" i="91" s="1"/>
  <c r="D31" i="91"/>
  <c r="S31" i="91" s="1"/>
  <c r="E31" i="91"/>
  <c r="T31" i="91" s="1"/>
  <c r="F31" i="91"/>
  <c r="U31" i="91" s="1"/>
  <c r="G31" i="91"/>
  <c r="V31" i="91" s="1"/>
  <c r="H31" i="91"/>
  <c r="W31" i="91" s="1"/>
  <c r="I31" i="91"/>
  <c r="X31" i="91" s="1"/>
  <c r="J31" i="91"/>
  <c r="Y31" i="91" s="1"/>
  <c r="K31" i="91"/>
  <c r="Z31" i="91" s="1"/>
  <c r="L31" i="91"/>
  <c r="AA31" i="91" s="1"/>
  <c r="M31" i="91"/>
  <c r="AB31" i="91" s="1"/>
  <c r="C32" i="91"/>
  <c r="R32" i="91" s="1"/>
  <c r="D32" i="91"/>
  <c r="S32" i="91" s="1"/>
  <c r="E32" i="91"/>
  <c r="T32" i="91" s="1"/>
  <c r="F32" i="91"/>
  <c r="U32" i="91" s="1"/>
  <c r="G32" i="91"/>
  <c r="V32" i="91" s="1"/>
  <c r="H32" i="91"/>
  <c r="W32" i="91" s="1"/>
  <c r="I32" i="91"/>
  <c r="X32" i="91" s="1"/>
  <c r="J32" i="91"/>
  <c r="Y32" i="91" s="1"/>
  <c r="K32" i="91"/>
  <c r="Z32" i="91" s="1"/>
  <c r="L32" i="91"/>
  <c r="AA32" i="91" s="1"/>
  <c r="M32" i="91"/>
  <c r="AB32" i="91" s="1"/>
  <c r="C33" i="91"/>
  <c r="R33" i="91" s="1"/>
  <c r="D33" i="91"/>
  <c r="S33" i="91" s="1"/>
  <c r="E33" i="91"/>
  <c r="T33" i="91" s="1"/>
  <c r="F33" i="91"/>
  <c r="U33" i="91" s="1"/>
  <c r="G33" i="91"/>
  <c r="V33" i="91" s="1"/>
  <c r="H33" i="91"/>
  <c r="W33" i="91" s="1"/>
  <c r="I33" i="91"/>
  <c r="X33" i="91" s="1"/>
  <c r="J33" i="91"/>
  <c r="Y33" i="91" s="1"/>
  <c r="K33" i="91"/>
  <c r="Z33" i="91" s="1"/>
  <c r="L33" i="91"/>
  <c r="AA33" i="91" s="1"/>
  <c r="M33" i="91"/>
  <c r="AB33" i="91" s="1"/>
  <c r="C34" i="91"/>
  <c r="R34" i="91" s="1"/>
  <c r="D34" i="91"/>
  <c r="S34" i="91" s="1"/>
  <c r="E34" i="91"/>
  <c r="T34" i="91" s="1"/>
  <c r="F34" i="91"/>
  <c r="U34" i="91" s="1"/>
  <c r="G34" i="91"/>
  <c r="V34" i="91" s="1"/>
  <c r="H34" i="91"/>
  <c r="W34" i="91" s="1"/>
  <c r="I34" i="91"/>
  <c r="X34" i="91" s="1"/>
  <c r="J34" i="91"/>
  <c r="Y34" i="91" s="1"/>
  <c r="K34" i="91"/>
  <c r="Z34" i="91" s="1"/>
  <c r="L34" i="91"/>
  <c r="AA34" i="91" s="1"/>
  <c r="M34" i="91"/>
  <c r="AB34" i="91" s="1"/>
  <c r="C35" i="91"/>
  <c r="R35" i="91" s="1"/>
  <c r="D35" i="91"/>
  <c r="S35" i="91" s="1"/>
  <c r="E35" i="91"/>
  <c r="T35" i="91" s="1"/>
  <c r="F35" i="91"/>
  <c r="U35" i="91" s="1"/>
  <c r="G35" i="91"/>
  <c r="V35" i="91" s="1"/>
  <c r="H35" i="91"/>
  <c r="W35" i="91" s="1"/>
  <c r="I35" i="91"/>
  <c r="X35" i="91" s="1"/>
  <c r="J35" i="91"/>
  <c r="Y35" i="91" s="1"/>
  <c r="K35" i="91"/>
  <c r="Z35" i="91" s="1"/>
  <c r="L35" i="91"/>
  <c r="AA35" i="91" s="1"/>
  <c r="M35" i="91"/>
  <c r="AB35" i="91" s="1"/>
  <c r="C36" i="91"/>
  <c r="R36" i="91" s="1"/>
  <c r="D36" i="91"/>
  <c r="S36" i="91" s="1"/>
  <c r="E36" i="91"/>
  <c r="T36" i="91" s="1"/>
  <c r="F36" i="91"/>
  <c r="U36" i="91" s="1"/>
  <c r="G36" i="91"/>
  <c r="V36" i="91" s="1"/>
  <c r="H36" i="91"/>
  <c r="W36" i="91" s="1"/>
  <c r="I36" i="91"/>
  <c r="X36" i="91" s="1"/>
  <c r="J36" i="91"/>
  <c r="Y36" i="91" s="1"/>
  <c r="K36" i="91"/>
  <c r="Z36" i="91" s="1"/>
  <c r="L36" i="91"/>
  <c r="AA36" i="91" s="1"/>
  <c r="M36" i="91"/>
  <c r="AB36" i="91" s="1"/>
  <c r="C37" i="91"/>
  <c r="R37" i="91" s="1"/>
  <c r="D37" i="91"/>
  <c r="S37" i="91" s="1"/>
  <c r="E37" i="91"/>
  <c r="T37" i="91" s="1"/>
  <c r="F37" i="91"/>
  <c r="U37" i="91" s="1"/>
  <c r="G37" i="91"/>
  <c r="V37" i="91" s="1"/>
  <c r="H37" i="91"/>
  <c r="W37" i="91" s="1"/>
  <c r="I37" i="91"/>
  <c r="X37" i="91" s="1"/>
  <c r="J37" i="91"/>
  <c r="Y37" i="91" s="1"/>
  <c r="K37" i="91"/>
  <c r="Z37" i="91" s="1"/>
  <c r="L37" i="91"/>
  <c r="AA37" i="91" s="1"/>
  <c r="M37" i="91"/>
  <c r="AB37" i="91" s="1"/>
  <c r="C38" i="91"/>
  <c r="R38" i="91" s="1"/>
  <c r="D38" i="91"/>
  <c r="S38" i="91" s="1"/>
  <c r="E38" i="91"/>
  <c r="T38" i="91" s="1"/>
  <c r="F38" i="91"/>
  <c r="U38" i="91" s="1"/>
  <c r="G38" i="91"/>
  <c r="V38" i="91" s="1"/>
  <c r="H38" i="91"/>
  <c r="W38" i="91" s="1"/>
  <c r="I38" i="91"/>
  <c r="X38" i="91" s="1"/>
  <c r="J38" i="91"/>
  <c r="Y38" i="91" s="1"/>
  <c r="K38" i="91"/>
  <c r="Z38" i="91" s="1"/>
  <c r="L38" i="91"/>
  <c r="AA38" i="91" s="1"/>
  <c r="M38" i="91"/>
  <c r="AB38" i="91" s="1"/>
  <c r="C39" i="91"/>
  <c r="R39" i="91" s="1"/>
  <c r="D39" i="91"/>
  <c r="S39" i="91" s="1"/>
  <c r="E39" i="91"/>
  <c r="T39" i="91" s="1"/>
  <c r="F39" i="91"/>
  <c r="U39" i="91" s="1"/>
  <c r="G39" i="91"/>
  <c r="V39" i="91" s="1"/>
  <c r="H39" i="91"/>
  <c r="W39" i="91" s="1"/>
  <c r="I39" i="91"/>
  <c r="X39" i="91" s="1"/>
  <c r="J39" i="91"/>
  <c r="Y39" i="91" s="1"/>
  <c r="K39" i="91"/>
  <c r="Z39" i="91" s="1"/>
  <c r="L39" i="91"/>
  <c r="AA39" i="91" s="1"/>
  <c r="M39" i="91"/>
  <c r="AB39" i="91" s="1"/>
  <c r="C40" i="91"/>
  <c r="R40" i="91" s="1"/>
  <c r="D40" i="91"/>
  <c r="S40" i="91" s="1"/>
  <c r="E40" i="91"/>
  <c r="T40" i="91" s="1"/>
  <c r="F40" i="91"/>
  <c r="U40" i="91" s="1"/>
  <c r="G40" i="91"/>
  <c r="V40" i="91" s="1"/>
  <c r="H40" i="91"/>
  <c r="W40" i="91" s="1"/>
  <c r="I40" i="91"/>
  <c r="X40" i="91" s="1"/>
  <c r="J40" i="91"/>
  <c r="Y40" i="91" s="1"/>
  <c r="K40" i="91"/>
  <c r="Z40" i="91" s="1"/>
  <c r="L40" i="91"/>
  <c r="AA40" i="91" s="1"/>
  <c r="M40" i="91"/>
  <c r="AB40" i="91" s="1"/>
  <c r="D4" i="91"/>
  <c r="E4" i="91"/>
  <c r="F4" i="91"/>
  <c r="G4" i="91"/>
  <c r="H4" i="91"/>
  <c r="I4" i="91"/>
  <c r="J4" i="91"/>
  <c r="K4" i="91"/>
  <c r="L4" i="91"/>
  <c r="M4" i="91"/>
  <c r="C4" i="91"/>
  <c r="AB12" i="94" l="1"/>
  <c r="M65" i="80" s="1"/>
  <c r="S38" i="94"/>
  <c r="D88" i="80" s="1"/>
  <c r="AB11" i="94"/>
  <c r="M83" i="80" s="1"/>
  <c r="X41" i="94"/>
  <c r="W9" i="94"/>
  <c r="H64" i="80" s="1"/>
  <c r="V11" i="94"/>
  <c r="G83" i="80" s="1"/>
  <c r="V13" i="94"/>
  <c r="G74" i="80" s="1"/>
  <c r="S40" i="94"/>
  <c r="D79" i="80" s="1"/>
  <c r="Y39" i="94"/>
  <c r="J70" i="80" s="1"/>
  <c r="W10" i="94"/>
  <c r="H73" i="80" s="1"/>
  <c r="V12" i="94"/>
  <c r="G65" i="80" s="1"/>
  <c r="S39" i="94"/>
  <c r="D70" i="80" s="1"/>
  <c r="X42" i="94"/>
  <c r="CD28" i="75"/>
  <c r="BX28" i="75"/>
  <c r="CD21" i="75"/>
  <c r="CF27" i="75"/>
  <c r="BZ27" i="75"/>
  <c r="CF20" i="75"/>
  <c r="BZ20" i="75"/>
  <c r="N53" i="75"/>
  <c r="H53" i="75"/>
  <c r="CB26" i="75"/>
  <c r="BV26" i="75"/>
  <c r="CB19" i="75"/>
  <c r="BV19" i="75"/>
  <c r="J52" i="75"/>
  <c r="D52" i="75"/>
  <c r="Y39" i="93"/>
  <c r="J42" i="80" s="1"/>
  <c r="Y38" i="93"/>
  <c r="J60" i="80" s="1"/>
  <c r="S38" i="93"/>
  <c r="D60" i="80" s="1"/>
  <c r="X42" i="93"/>
  <c r="X41" i="93"/>
  <c r="R41" i="93"/>
  <c r="CE12" i="75"/>
  <c r="BY12" i="75"/>
  <c r="CD5" i="75"/>
  <c r="BX5" i="75"/>
  <c r="K28" i="75"/>
  <c r="E28" i="75"/>
  <c r="BX21" i="75"/>
  <c r="L54" i="75"/>
  <c r="F54" i="75"/>
  <c r="AN37" i="94"/>
  <c r="Y37" i="94"/>
  <c r="AO34" i="94"/>
  <c r="Z34" i="94"/>
  <c r="AP31" i="94"/>
  <c r="AA31" i="94"/>
  <c r="AJ30" i="94"/>
  <c r="U30" i="94"/>
  <c r="AK28" i="94"/>
  <c r="V28" i="94"/>
  <c r="AL25" i="94"/>
  <c r="W25" i="94"/>
  <c r="AG20" i="94"/>
  <c r="R20" i="94"/>
  <c r="AH17" i="94"/>
  <c r="S17" i="94"/>
  <c r="AO14" i="94"/>
  <c r="Z14" i="94"/>
  <c r="U11" i="94"/>
  <c r="F83" i="80" s="1"/>
  <c r="AA12" i="94"/>
  <c r="L65" i="80" s="1"/>
  <c r="X39" i="94"/>
  <c r="I70" i="80" s="1"/>
  <c r="X40" i="94"/>
  <c r="I79" i="80" s="1"/>
  <c r="Y41" i="94"/>
  <c r="AA42" i="94"/>
  <c r="T41" i="94"/>
  <c r="AB43" i="94"/>
  <c r="AQ43" i="94"/>
  <c r="V43" i="94"/>
  <c r="AK43" i="94"/>
  <c r="V42" i="94"/>
  <c r="AK42" i="94"/>
  <c r="AB41" i="94"/>
  <c r="AQ41" i="94"/>
  <c r="V41" i="94"/>
  <c r="AK41" i="94"/>
  <c r="W40" i="94"/>
  <c r="H79" i="80" s="1"/>
  <c r="AL40" i="94"/>
  <c r="W39" i="94"/>
  <c r="H70" i="80" s="1"/>
  <c r="AL39" i="94"/>
  <c r="W38" i="94"/>
  <c r="H88" i="80" s="1"/>
  <c r="AL38" i="94"/>
  <c r="AM37" i="94"/>
  <c r="X37" i="94"/>
  <c r="AG37" i="94"/>
  <c r="R37" i="94"/>
  <c r="AM36" i="94"/>
  <c r="X36" i="94"/>
  <c r="AG36" i="94"/>
  <c r="R36" i="94"/>
  <c r="AM35" i="94"/>
  <c r="X35" i="94"/>
  <c r="AG35" i="94"/>
  <c r="R35" i="94"/>
  <c r="AN34" i="94"/>
  <c r="Y34" i="94"/>
  <c r="AH34" i="94"/>
  <c r="S34" i="94"/>
  <c r="AN33" i="94"/>
  <c r="Y33" i="94"/>
  <c r="AH33" i="94"/>
  <c r="S33" i="94"/>
  <c r="AN32" i="94"/>
  <c r="Y32" i="94"/>
  <c r="AH32" i="94"/>
  <c r="S32" i="94"/>
  <c r="AO31" i="94"/>
  <c r="Z31" i="94"/>
  <c r="AI31" i="94"/>
  <c r="T31" i="94"/>
  <c r="AO30" i="94"/>
  <c r="Z30" i="94"/>
  <c r="AI30" i="94"/>
  <c r="T30" i="94"/>
  <c r="AO29" i="94"/>
  <c r="Z29" i="94"/>
  <c r="AI29" i="94"/>
  <c r="T29" i="94"/>
  <c r="AP28" i="94"/>
  <c r="AA28" i="94"/>
  <c r="AJ28" i="94"/>
  <c r="U28" i="94"/>
  <c r="AP27" i="94"/>
  <c r="AA27" i="94"/>
  <c r="AJ27" i="94"/>
  <c r="U27" i="94"/>
  <c r="AP26" i="94"/>
  <c r="AA26" i="94"/>
  <c r="AJ26" i="94"/>
  <c r="U26" i="94"/>
  <c r="AQ25" i="94"/>
  <c r="AB25" i="94"/>
  <c r="AK25" i="94"/>
  <c r="V25" i="94"/>
  <c r="AQ24" i="94"/>
  <c r="AB24" i="94"/>
  <c r="AK24" i="94"/>
  <c r="V24" i="94"/>
  <c r="AQ23" i="94"/>
  <c r="AB23" i="94"/>
  <c r="AK23" i="94"/>
  <c r="V23" i="94"/>
  <c r="AL22" i="94"/>
  <c r="W22" i="94"/>
  <c r="AL21" i="94"/>
  <c r="W21" i="94"/>
  <c r="AL20" i="94"/>
  <c r="W20" i="94"/>
  <c r="AM19" i="94"/>
  <c r="X19" i="94"/>
  <c r="AG19" i="94"/>
  <c r="R19" i="94"/>
  <c r="AM18" i="94"/>
  <c r="X18" i="94"/>
  <c r="AG18" i="94"/>
  <c r="R18" i="94"/>
  <c r="AM17" i="94"/>
  <c r="X17" i="94"/>
  <c r="AG17" i="94"/>
  <c r="R17" i="94"/>
  <c r="AN16" i="94"/>
  <c r="Y16" i="94"/>
  <c r="AH16" i="94"/>
  <c r="S16" i="94"/>
  <c r="AN15" i="94"/>
  <c r="Y15" i="94"/>
  <c r="AH15" i="94"/>
  <c r="S15" i="94"/>
  <c r="AN14" i="94"/>
  <c r="Y14" i="94"/>
  <c r="AH14" i="94"/>
  <c r="S14" i="94"/>
  <c r="D84" i="80" s="1"/>
  <c r="T13" i="94"/>
  <c r="E74" i="80" s="1"/>
  <c r="AI13" i="94"/>
  <c r="Z12" i="94"/>
  <c r="K65" i="80" s="1"/>
  <c r="AO12" i="94"/>
  <c r="T12" i="94"/>
  <c r="E65" i="80" s="1"/>
  <c r="AI12" i="94"/>
  <c r="Z11" i="94"/>
  <c r="K83" i="80" s="1"/>
  <c r="AO11" i="94"/>
  <c r="T11" i="94"/>
  <c r="E83" i="80" s="1"/>
  <c r="AI11" i="94"/>
  <c r="AA10" i="94"/>
  <c r="L73" i="80" s="1"/>
  <c r="AP10" i="94"/>
  <c r="U10" i="94"/>
  <c r="F73" i="80" s="1"/>
  <c r="AJ10" i="94"/>
  <c r="AA9" i="94"/>
  <c r="L64" i="80" s="1"/>
  <c r="AP9" i="94"/>
  <c r="U9" i="94"/>
  <c r="F64" i="80" s="1"/>
  <c r="AJ9" i="94"/>
  <c r="AA8" i="94"/>
  <c r="L82" i="80" s="1"/>
  <c r="AP8" i="94"/>
  <c r="U8" i="94"/>
  <c r="F82" i="80" s="1"/>
  <c r="AJ8" i="94"/>
  <c r="W42" i="94"/>
  <c r="AL42" i="94"/>
  <c r="AN36" i="94"/>
  <c r="Y36" i="94"/>
  <c r="AO33" i="94"/>
  <c r="Z33" i="94"/>
  <c r="AJ31" i="94"/>
  <c r="U31" i="94"/>
  <c r="AQ27" i="94"/>
  <c r="AB27" i="94"/>
  <c r="AN19" i="94"/>
  <c r="Y19" i="94"/>
  <c r="AA13" i="94"/>
  <c r="L74" i="80" s="1"/>
  <c r="X38" i="94"/>
  <c r="I88" i="80" s="1"/>
  <c r="Y40" i="94"/>
  <c r="J79" i="80" s="1"/>
  <c r="T43" i="94"/>
  <c r="U43" i="94"/>
  <c r="AJ43" i="94"/>
  <c r="U42" i="94"/>
  <c r="AJ42" i="94"/>
  <c r="U41" i="94"/>
  <c r="AJ41" i="94"/>
  <c r="AB40" i="94"/>
  <c r="M79" i="80" s="1"/>
  <c r="AQ40" i="94"/>
  <c r="V40" i="94"/>
  <c r="G79" i="80" s="1"/>
  <c r="AK40" i="94"/>
  <c r="AB39" i="94"/>
  <c r="M70" i="80" s="1"/>
  <c r="AQ39" i="94"/>
  <c r="V39" i="94"/>
  <c r="G70" i="80" s="1"/>
  <c r="AK39" i="94"/>
  <c r="AB38" i="94"/>
  <c r="M88" i="80" s="1"/>
  <c r="AQ38" i="94"/>
  <c r="AL37" i="94"/>
  <c r="W37" i="94"/>
  <c r="AL36" i="94"/>
  <c r="W36" i="94"/>
  <c r="AL35" i="94"/>
  <c r="W35" i="94"/>
  <c r="AM34" i="94"/>
  <c r="X34" i="94"/>
  <c r="AG34" i="94"/>
  <c r="R34" i="94"/>
  <c r="C78" i="80" s="1"/>
  <c r="AM33" i="94"/>
  <c r="X33" i="94"/>
  <c r="AG33" i="94"/>
  <c r="R33" i="94"/>
  <c r="AM32" i="94"/>
  <c r="X32" i="94"/>
  <c r="I87" i="80" s="1"/>
  <c r="AG32" i="94"/>
  <c r="R32" i="94"/>
  <c r="AN31" i="94"/>
  <c r="Y31" i="94"/>
  <c r="AH31" i="94"/>
  <c r="S31" i="94"/>
  <c r="AN30" i="94"/>
  <c r="Y30" i="94"/>
  <c r="AH30" i="94"/>
  <c r="S30" i="94"/>
  <c r="AN29" i="94"/>
  <c r="Y29" i="94"/>
  <c r="AH29" i="94"/>
  <c r="S29" i="94"/>
  <c r="AO28" i="94"/>
  <c r="Z28" i="94"/>
  <c r="AI28" i="94"/>
  <c r="T28" i="94"/>
  <c r="E77" i="80" s="1"/>
  <c r="AO27" i="94"/>
  <c r="Z27" i="94"/>
  <c r="AI27" i="94"/>
  <c r="T27" i="94"/>
  <c r="AO26" i="94"/>
  <c r="Z26" i="94"/>
  <c r="K86" i="80" s="1"/>
  <c r="AI26" i="94"/>
  <c r="T26" i="94"/>
  <c r="AP25" i="94"/>
  <c r="AA25" i="94"/>
  <c r="AJ25" i="94"/>
  <c r="U25" i="94"/>
  <c r="AP24" i="94"/>
  <c r="AA24" i="94"/>
  <c r="AJ24" i="94"/>
  <c r="U24" i="94"/>
  <c r="AP23" i="94"/>
  <c r="AA23" i="94"/>
  <c r="AJ23" i="94"/>
  <c r="U23" i="94"/>
  <c r="AQ22" i="94"/>
  <c r="AB22" i="94"/>
  <c r="AK22" i="94"/>
  <c r="V22" i="94"/>
  <c r="G76" i="80" s="1"/>
  <c r="AQ21" i="94"/>
  <c r="AB21" i="94"/>
  <c r="AK21" i="94"/>
  <c r="V21" i="94"/>
  <c r="AQ20" i="94"/>
  <c r="AB20" i="94"/>
  <c r="M85" i="80" s="1"/>
  <c r="AK20" i="94"/>
  <c r="V20" i="94"/>
  <c r="AL19" i="94"/>
  <c r="W19" i="94"/>
  <c r="AL18" i="94"/>
  <c r="W18" i="94"/>
  <c r="AL17" i="94"/>
  <c r="W17" i="94"/>
  <c r="AM16" i="94"/>
  <c r="X16" i="94"/>
  <c r="AG16" i="94"/>
  <c r="R16" i="94"/>
  <c r="C75" i="80" s="1"/>
  <c r="AM15" i="94"/>
  <c r="X15" i="94"/>
  <c r="AG15" i="94"/>
  <c r="R15" i="94"/>
  <c r="AM14" i="94"/>
  <c r="X14" i="94"/>
  <c r="I84" i="80" s="1"/>
  <c r="AG14" i="94"/>
  <c r="R14" i="94"/>
  <c r="Y13" i="94"/>
  <c r="J74" i="80" s="1"/>
  <c r="AN13" i="94"/>
  <c r="Y12" i="94"/>
  <c r="J65" i="80" s="1"/>
  <c r="AN12" i="94"/>
  <c r="S12" i="94"/>
  <c r="D65" i="80" s="1"/>
  <c r="AH12" i="94"/>
  <c r="Z10" i="94"/>
  <c r="K73" i="80" s="1"/>
  <c r="AO10" i="94"/>
  <c r="T10" i="94"/>
  <c r="E73" i="80" s="1"/>
  <c r="AI10" i="94"/>
  <c r="T9" i="94"/>
  <c r="E64" i="80" s="1"/>
  <c r="AI9" i="94"/>
  <c r="Z8" i="94"/>
  <c r="K82" i="80" s="1"/>
  <c r="AO8" i="94"/>
  <c r="T8" i="94"/>
  <c r="E82" i="80" s="1"/>
  <c r="AI8" i="94"/>
  <c r="AH37" i="94"/>
  <c r="S37" i="94"/>
  <c r="AH35" i="94"/>
  <c r="S35" i="94"/>
  <c r="AI33" i="94"/>
  <c r="T33" i="94"/>
  <c r="AP30" i="94"/>
  <c r="AA30" i="94"/>
  <c r="AQ28" i="94"/>
  <c r="AB28" i="94"/>
  <c r="AK27" i="94"/>
  <c r="V27" i="94"/>
  <c r="AL24" i="94"/>
  <c r="W24" i="94"/>
  <c r="AG22" i="94"/>
  <c r="R22" i="94"/>
  <c r="AM21" i="94"/>
  <c r="X21" i="94"/>
  <c r="AM20" i="94"/>
  <c r="X20" i="94"/>
  <c r="AH18" i="94"/>
  <c r="S18" i="94"/>
  <c r="AN17" i="94"/>
  <c r="Y17" i="94"/>
  <c r="AO15" i="94"/>
  <c r="Z15" i="94"/>
  <c r="AI15" i="94"/>
  <c r="T15" i="94"/>
  <c r="AB9" i="94"/>
  <c r="M64" i="80" s="1"/>
  <c r="AQ9" i="94"/>
  <c r="V9" i="94"/>
  <c r="G64" i="80" s="1"/>
  <c r="AK9" i="94"/>
  <c r="AB8" i="94"/>
  <c r="M82" i="80" s="1"/>
  <c r="U12" i="94"/>
  <c r="F65" i="80" s="1"/>
  <c r="R42" i="94"/>
  <c r="W43" i="94"/>
  <c r="Y43" i="94"/>
  <c r="Z41" i="94"/>
  <c r="AO41" i="94"/>
  <c r="AA40" i="94"/>
  <c r="L79" i="80" s="1"/>
  <c r="AP40" i="94"/>
  <c r="U40" i="94"/>
  <c r="F79" i="80" s="1"/>
  <c r="AJ40" i="94"/>
  <c r="AQ37" i="94"/>
  <c r="AB37" i="94"/>
  <c r="AK37" i="94"/>
  <c r="V37" i="94"/>
  <c r="AQ36" i="94"/>
  <c r="AB36" i="94"/>
  <c r="AK36" i="94"/>
  <c r="V36" i="94"/>
  <c r="AQ35" i="94"/>
  <c r="AB35" i="94"/>
  <c r="AK35" i="94"/>
  <c r="V35" i="94"/>
  <c r="AL34" i="94"/>
  <c r="W34" i="94"/>
  <c r="AL33" i="94"/>
  <c r="W33" i="94"/>
  <c r="AL32" i="94"/>
  <c r="W32" i="94"/>
  <c r="AM31" i="94"/>
  <c r="X31" i="94"/>
  <c r="AG31" i="94"/>
  <c r="R31" i="94"/>
  <c r="AM30" i="94"/>
  <c r="X30" i="94"/>
  <c r="AG30" i="94"/>
  <c r="R30" i="94"/>
  <c r="AM29" i="94"/>
  <c r="X29" i="94"/>
  <c r="AG29" i="94"/>
  <c r="R29" i="94"/>
  <c r="AN28" i="94"/>
  <c r="Y28" i="94"/>
  <c r="AH28" i="94"/>
  <c r="S28" i="94"/>
  <c r="AN27" i="94"/>
  <c r="Y27" i="94"/>
  <c r="AH27" i="94"/>
  <c r="S27" i="94"/>
  <c r="AN26" i="94"/>
  <c r="Y26" i="94"/>
  <c r="AH26" i="94"/>
  <c r="S26" i="94"/>
  <c r="AO25" i="94"/>
  <c r="Z25" i="94"/>
  <c r="AI25" i="94"/>
  <c r="T25" i="94"/>
  <c r="AO24" i="94"/>
  <c r="Z24" i="94"/>
  <c r="AI24" i="94"/>
  <c r="T24" i="94"/>
  <c r="AO23" i="94"/>
  <c r="Z23" i="94"/>
  <c r="AI23" i="94"/>
  <c r="T23" i="94"/>
  <c r="AP22" i="94"/>
  <c r="AA22" i="94"/>
  <c r="AJ22" i="94"/>
  <c r="U22" i="94"/>
  <c r="AP21" i="94"/>
  <c r="AA21" i="94"/>
  <c r="AJ21" i="94"/>
  <c r="U21" i="94"/>
  <c r="AP20" i="94"/>
  <c r="AA20" i="94"/>
  <c r="AJ20" i="94"/>
  <c r="U20" i="94"/>
  <c r="AQ19" i="94"/>
  <c r="AB19" i="94"/>
  <c r="AK19" i="94"/>
  <c r="V19" i="94"/>
  <c r="AQ18" i="94"/>
  <c r="AB18" i="94"/>
  <c r="AK18" i="94"/>
  <c r="V18" i="94"/>
  <c r="AQ17" i="94"/>
  <c r="AB17" i="94"/>
  <c r="AK17" i="94"/>
  <c r="V17" i="94"/>
  <c r="AL16" i="94"/>
  <c r="W16" i="94"/>
  <c r="AL15" i="94"/>
  <c r="W15" i="94"/>
  <c r="AL14" i="94"/>
  <c r="W14" i="94"/>
  <c r="X13" i="94"/>
  <c r="I74" i="80" s="1"/>
  <c r="AM13" i="94"/>
  <c r="R13" i="94"/>
  <c r="C74" i="80" s="1"/>
  <c r="AG13" i="94"/>
  <c r="AN35" i="94"/>
  <c r="Y35" i="94"/>
  <c r="AI32" i="94"/>
  <c r="T32" i="94"/>
  <c r="AJ29" i="94"/>
  <c r="U29" i="94"/>
  <c r="AK26" i="94"/>
  <c r="V26" i="94"/>
  <c r="AL23" i="94"/>
  <c r="W23" i="94"/>
  <c r="AG21" i="94"/>
  <c r="R21" i="94"/>
  <c r="AN18" i="94"/>
  <c r="Y18" i="94"/>
  <c r="AO16" i="94"/>
  <c r="Z16" i="94"/>
  <c r="AB10" i="94"/>
  <c r="M73" i="80" s="1"/>
  <c r="U13" i="94"/>
  <c r="F74" i="80" s="1"/>
  <c r="R38" i="94"/>
  <c r="C88" i="80" s="1"/>
  <c r="R39" i="94"/>
  <c r="C70" i="80" s="1"/>
  <c r="R40" i="94"/>
  <c r="C79" i="80" s="1"/>
  <c r="Y42" i="94"/>
  <c r="AN42" i="94"/>
  <c r="S42" i="94"/>
  <c r="AH42" i="94"/>
  <c r="Z38" i="94"/>
  <c r="K88" i="80" s="1"/>
  <c r="AO38" i="94"/>
  <c r="AP37" i="94"/>
  <c r="AA37" i="94"/>
  <c r="AJ37" i="94"/>
  <c r="U37" i="94"/>
  <c r="AP36" i="94"/>
  <c r="AA36" i="94"/>
  <c r="AJ36" i="94"/>
  <c r="U36" i="94"/>
  <c r="AP35" i="94"/>
  <c r="AA35" i="94"/>
  <c r="AJ35" i="94"/>
  <c r="U35" i="94"/>
  <c r="AQ34" i="94"/>
  <c r="AB34" i="94"/>
  <c r="AK34" i="94"/>
  <c r="V34" i="94"/>
  <c r="AQ33" i="94"/>
  <c r="AB33" i="94"/>
  <c r="M69" i="80" s="1"/>
  <c r="AK33" i="94"/>
  <c r="V33" i="94"/>
  <c r="AQ32" i="94"/>
  <c r="AB32" i="94"/>
  <c r="AK32" i="94"/>
  <c r="V32" i="94"/>
  <c r="G87" i="80" s="1"/>
  <c r="AL31" i="94"/>
  <c r="W31" i="94"/>
  <c r="AL30" i="94"/>
  <c r="W30" i="94"/>
  <c r="AL29" i="94"/>
  <c r="W29" i="94"/>
  <c r="AM28" i="94"/>
  <c r="X28" i="94"/>
  <c r="AG28" i="94"/>
  <c r="R28" i="94"/>
  <c r="AM27" i="94"/>
  <c r="X27" i="94"/>
  <c r="I68" i="80" s="1"/>
  <c r="AG27" i="94"/>
  <c r="R27" i="94"/>
  <c r="AM26" i="94"/>
  <c r="X26" i="94"/>
  <c r="AG26" i="94"/>
  <c r="R26" i="94"/>
  <c r="C86" i="80" s="1"/>
  <c r="AN25" i="94"/>
  <c r="Y25" i="94"/>
  <c r="AH25" i="94"/>
  <c r="S25" i="94"/>
  <c r="AN24" i="94"/>
  <c r="Y24" i="94"/>
  <c r="AH24" i="94"/>
  <c r="S24" i="94"/>
  <c r="AN23" i="94"/>
  <c r="Y23" i="94"/>
  <c r="AH23" i="94"/>
  <c r="S23" i="94"/>
  <c r="AO22" i="94"/>
  <c r="Z22" i="94"/>
  <c r="AI22" i="94"/>
  <c r="T22" i="94"/>
  <c r="AO21" i="94"/>
  <c r="Z21" i="94"/>
  <c r="K67" i="80" s="1"/>
  <c r="AI21" i="94"/>
  <c r="T21" i="94"/>
  <c r="AO20" i="94"/>
  <c r="Z20" i="94"/>
  <c r="AI20" i="94"/>
  <c r="T20" i="94"/>
  <c r="E85" i="80" s="1"/>
  <c r="AP19" i="94"/>
  <c r="AA19" i="94"/>
  <c r="AJ19" i="94"/>
  <c r="U19" i="94"/>
  <c r="AP18" i="94"/>
  <c r="AA18" i="94"/>
  <c r="AJ18" i="94"/>
  <c r="U18" i="94"/>
  <c r="AP17" i="94"/>
  <c r="AA17" i="94"/>
  <c r="AJ17" i="94"/>
  <c r="U17" i="94"/>
  <c r="AQ16" i="94"/>
  <c r="AB16" i="94"/>
  <c r="AK16" i="94"/>
  <c r="V16" i="94"/>
  <c r="AQ15" i="94"/>
  <c r="AB15" i="94"/>
  <c r="M66" i="80" s="1"/>
  <c r="AK15" i="94"/>
  <c r="V15" i="94"/>
  <c r="AQ14" i="94"/>
  <c r="AB14" i="94"/>
  <c r="AK14" i="94"/>
  <c r="V14" i="94"/>
  <c r="G84" i="80" s="1"/>
  <c r="AH36" i="94"/>
  <c r="S36" i="94"/>
  <c r="AI34" i="94"/>
  <c r="T34" i="94"/>
  <c r="AO32" i="94"/>
  <c r="Z32" i="94"/>
  <c r="AP29" i="94"/>
  <c r="AA29" i="94"/>
  <c r="AQ26" i="94"/>
  <c r="AB26" i="94"/>
  <c r="AM22" i="94"/>
  <c r="X22" i="94"/>
  <c r="AH19" i="94"/>
  <c r="S19" i="94"/>
  <c r="AI16" i="94"/>
  <c r="T16" i="94"/>
  <c r="AI14" i="94"/>
  <c r="T14" i="94"/>
  <c r="X43" i="94"/>
  <c r="AM43" i="94"/>
  <c r="R43" i="94"/>
  <c r="AG43" i="94"/>
  <c r="Y38" i="94"/>
  <c r="J88" i="80" s="1"/>
  <c r="AN38" i="94"/>
  <c r="AO37" i="94"/>
  <c r="Z37" i="94"/>
  <c r="AI37" i="94"/>
  <c r="T37" i="94"/>
  <c r="AO36" i="94"/>
  <c r="Z36" i="94"/>
  <c r="AI36" i="94"/>
  <c r="T36" i="94"/>
  <c r="AO35" i="94"/>
  <c r="Z35" i="94"/>
  <c r="AI35" i="94"/>
  <c r="T35" i="94"/>
  <c r="AP34" i="94"/>
  <c r="AA34" i="94"/>
  <c r="AJ34" i="94"/>
  <c r="U34" i="94"/>
  <c r="F78" i="80" s="1"/>
  <c r="AP33" i="94"/>
  <c r="AA33" i="94"/>
  <c r="AJ33" i="94"/>
  <c r="U33" i="94"/>
  <c r="AP32" i="94"/>
  <c r="AA32" i="94"/>
  <c r="L87" i="80" s="1"/>
  <c r="AJ32" i="94"/>
  <c r="U32" i="94"/>
  <c r="AQ31" i="94"/>
  <c r="AB31" i="94"/>
  <c r="AK31" i="94"/>
  <c r="V31" i="94"/>
  <c r="AQ30" i="94"/>
  <c r="AB30" i="94"/>
  <c r="AK30" i="94"/>
  <c r="V30" i="94"/>
  <c r="AQ29" i="94"/>
  <c r="AB29" i="94"/>
  <c r="AK29" i="94"/>
  <c r="V29" i="94"/>
  <c r="AL28" i="94"/>
  <c r="W28" i="94"/>
  <c r="AL27" i="94"/>
  <c r="W27" i="94"/>
  <c r="H68" i="80" s="1"/>
  <c r="AL26" i="94"/>
  <c r="W26" i="94"/>
  <c r="AM25" i="94"/>
  <c r="X25" i="94"/>
  <c r="AG25" i="94"/>
  <c r="R25" i="94"/>
  <c r="AM24" i="94"/>
  <c r="X24" i="94"/>
  <c r="AG24" i="94"/>
  <c r="R24" i="94"/>
  <c r="AM23" i="94"/>
  <c r="X23" i="94"/>
  <c r="AG23" i="94"/>
  <c r="R23" i="94"/>
  <c r="AN22" i="94"/>
  <c r="Y22" i="94"/>
  <c r="AH22" i="94"/>
  <c r="S22" i="94"/>
  <c r="D76" i="80" s="1"/>
  <c r="AN21" i="94"/>
  <c r="Y21" i="94"/>
  <c r="AH21" i="94"/>
  <c r="S21" i="94"/>
  <c r="AN20" i="94"/>
  <c r="Y20" i="94"/>
  <c r="J85" i="80" s="1"/>
  <c r="AH20" i="94"/>
  <c r="S20" i="94"/>
  <c r="AO19" i="94"/>
  <c r="Z19" i="94"/>
  <c r="AI19" i="94"/>
  <c r="T19" i="94"/>
  <c r="AO18" i="94"/>
  <c r="Z18" i="94"/>
  <c r="AI18" i="94"/>
  <c r="T18" i="94"/>
  <c r="AO17" i="94"/>
  <c r="Z17" i="94"/>
  <c r="AI17" i="94"/>
  <c r="T17" i="94"/>
  <c r="AP16" i="94"/>
  <c r="AA16" i="94"/>
  <c r="AJ16" i="94"/>
  <c r="U16" i="94"/>
  <c r="F75" i="80" s="1"/>
  <c r="AP15" i="94"/>
  <c r="AA15" i="94"/>
  <c r="AJ15" i="94"/>
  <c r="U15" i="94"/>
  <c r="AP14" i="94"/>
  <c r="AA14" i="94"/>
  <c r="L84" i="80" s="1"/>
  <c r="AJ14" i="94"/>
  <c r="U14" i="94"/>
  <c r="CC21" i="75"/>
  <c r="E54" i="75"/>
  <c r="BX25" i="75"/>
  <c r="T7" i="92"/>
  <c r="AF7" i="92" s="1"/>
  <c r="CD18" i="75"/>
  <c r="Z6" i="92"/>
  <c r="AL6" i="92" s="1"/>
  <c r="L51" i="75"/>
  <c r="Z5" i="92"/>
  <c r="AL5" i="92" s="1"/>
  <c r="CB28" i="75"/>
  <c r="BV28" i="75"/>
  <c r="CB21" i="75"/>
  <c r="BV21" i="75"/>
  <c r="J54" i="75"/>
  <c r="D54" i="75"/>
  <c r="CE27" i="75"/>
  <c r="BY27" i="75"/>
  <c r="CE20" i="75"/>
  <c r="BY20" i="75"/>
  <c r="M53" i="75"/>
  <c r="G53" i="75"/>
  <c r="CA26" i="75"/>
  <c r="CA19" i="75"/>
  <c r="I52" i="75"/>
  <c r="CC25" i="75"/>
  <c r="Y7" i="92"/>
  <c r="AK7" i="92" s="1"/>
  <c r="BW25" i="75"/>
  <c r="S7" i="92"/>
  <c r="AE7" i="92" s="1"/>
  <c r="CC18" i="75"/>
  <c r="Y6" i="92"/>
  <c r="AK6" i="92" s="1"/>
  <c r="BW18" i="75"/>
  <c r="S6" i="92"/>
  <c r="AE6" i="92" s="1"/>
  <c r="K51" i="75"/>
  <c r="Y5" i="92"/>
  <c r="AK5" i="92" s="1"/>
  <c r="E51" i="75"/>
  <c r="S5" i="92"/>
  <c r="AE5" i="92" s="1"/>
  <c r="CC28" i="75"/>
  <c r="BW21" i="75"/>
  <c r="CD25" i="75"/>
  <c r="Z7" i="92"/>
  <c r="AL7" i="92" s="1"/>
  <c r="BX18" i="75"/>
  <c r="T6" i="92"/>
  <c r="AF6" i="92" s="1"/>
  <c r="F51" i="75"/>
  <c r="T5" i="92"/>
  <c r="AF5" i="92" s="1"/>
  <c r="CA28" i="75"/>
  <c r="CA21" i="75"/>
  <c r="I54" i="75"/>
  <c r="CD27" i="75"/>
  <c r="BX27" i="75"/>
  <c r="CD20" i="75"/>
  <c r="BX20" i="75"/>
  <c r="L53" i="75"/>
  <c r="F53" i="75"/>
  <c r="CF26" i="75"/>
  <c r="BZ26" i="75"/>
  <c r="CF19" i="75"/>
  <c r="BZ19" i="75"/>
  <c r="N52" i="75"/>
  <c r="D78" i="75" s="1"/>
  <c r="H52" i="75"/>
  <c r="CB25" i="75"/>
  <c r="X7" i="92"/>
  <c r="AJ7" i="92" s="1"/>
  <c r="BV25" i="75"/>
  <c r="R7" i="92"/>
  <c r="AD7" i="92" s="1"/>
  <c r="CB18" i="75"/>
  <c r="X6" i="92"/>
  <c r="AJ6" i="92" s="1"/>
  <c r="BV18" i="75"/>
  <c r="R6" i="92"/>
  <c r="AD6" i="92" s="1"/>
  <c r="J51" i="75"/>
  <c r="X5" i="92"/>
  <c r="AJ5" i="92" s="1"/>
  <c r="D51" i="75"/>
  <c r="R5" i="92"/>
  <c r="AD5" i="92" s="1"/>
  <c r="CF28" i="75"/>
  <c r="BZ28" i="75"/>
  <c r="CF21" i="75"/>
  <c r="BZ21" i="75"/>
  <c r="N54" i="75"/>
  <c r="H54" i="75"/>
  <c r="CC27" i="75"/>
  <c r="BW27" i="75"/>
  <c r="CC20" i="75"/>
  <c r="BW20" i="75"/>
  <c r="K53" i="75"/>
  <c r="E53" i="75"/>
  <c r="CE26" i="75"/>
  <c r="BY26" i="75"/>
  <c r="CE19" i="75"/>
  <c r="BY19" i="75"/>
  <c r="M52" i="75"/>
  <c r="G52" i="75"/>
  <c r="CA25" i="75"/>
  <c r="W7" i="92"/>
  <c r="AI7" i="92" s="1"/>
  <c r="CA18" i="75"/>
  <c r="W6" i="92"/>
  <c r="AI6" i="92" s="1"/>
  <c r="I51" i="75"/>
  <c r="W5" i="92"/>
  <c r="AI5" i="92" s="1"/>
  <c r="BW28" i="75"/>
  <c r="K54" i="75"/>
  <c r="CE28" i="75"/>
  <c r="BY28" i="75"/>
  <c r="CE21" i="75"/>
  <c r="BY21" i="75"/>
  <c r="M54" i="75"/>
  <c r="G54" i="75"/>
  <c r="CB27" i="75"/>
  <c r="BV27" i="75"/>
  <c r="CB20" i="75"/>
  <c r="BV20" i="75"/>
  <c r="J53" i="75"/>
  <c r="D53" i="75"/>
  <c r="D79" i="75" s="1"/>
  <c r="CD26" i="75"/>
  <c r="BX26" i="75"/>
  <c r="CD19" i="75"/>
  <c r="BX19" i="75"/>
  <c r="L52" i="75"/>
  <c r="F52" i="75"/>
  <c r="CF25" i="75"/>
  <c r="AB7" i="92"/>
  <c r="AN7" i="92" s="1"/>
  <c r="BZ25" i="75"/>
  <c r="V7" i="92"/>
  <c r="AH7" i="92" s="1"/>
  <c r="CF18" i="75"/>
  <c r="AB6" i="92"/>
  <c r="AN6" i="92" s="1"/>
  <c r="BZ18" i="75"/>
  <c r="V6" i="92"/>
  <c r="AH6" i="92" s="1"/>
  <c r="N51" i="75"/>
  <c r="D77" i="75" s="1"/>
  <c r="AB5" i="92"/>
  <c r="AN5" i="92" s="1"/>
  <c r="H51" i="75"/>
  <c r="V5" i="92"/>
  <c r="AH5" i="92" s="1"/>
  <c r="CA27" i="75"/>
  <c r="CA20" i="75"/>
  <c r="I53" i="75"/>
  <c r="CC26" i="75"/>
  <c r="BW26" i="75"/>
  <c r="CC19" i="75"/>
  <c r="BW19" i="75"/>
  <c r="K52" i="75"/>
  <c r="E52" i="75"/>
  <c r="CE25" i="75"/>
  <c r="AA7" i="92"/>
  <c r="AM7" i="92" s="1"/>
  <c r="BY25" i="75"/>
  <c r="U7" i="92"/>
  <c r="AG7" i="92" s="1"/>
  <c r="CE18" i="75"/>
  <c r="AA6" i="92"/>
  <c r="AM6" i="92" s="1"/>
  <c r="BY18" i="75"/>
  <c r="U6" i="92"/>
  <c r="AG6" i="92" s="1"/>
  <c r="M51" i="75"/>
  <c r="AA5" i="92"/>
  <c r="AM5" i="92" s="1"/>
  <c r="G51" i="75"/>
  <c r="U5" i="92"/>
  <c r="AG5" i="92" s="1"/>
  <c r="U11" i="93"/>
  <c r="F55" i="80" s="1"/>
  <c r="Z41" i="93"/>
  <c r="AO41" i="93"/>
  <c r="V8" i="93"/>
  <c r="G54" i="80" s="1"/>
  <c r="R12" i="93"/>
  <c r="C37" i="80" s="1"/>
  <c r="Y13" i="93"/>
  <c r="J46" i="80" s="1"/>
  <c r="AB38" i="93"/>
  <c r="M60" i="80" s="1"/>
  <c r="AA39" i="93"/>
  <c r="L42" i="80" s="1"/>
  <c r="U41" i="93"/>
  <c r="Z42" i="93"/>
  <c r="AB40" i="93"/>
  <c r="M51" i="80" s="1"/>
  <c r="U42" i="93"/>
  <c r="Y42" i="93"/>
  <c r="AN42" i="93"/>
  <c r="T38" i="93"/>
  <c r="E60" i="80" s="1"/>
  <c r="AI38" i="93"/>
  <c r="AP37" i="93"/>
  <c r="AA37" i="93"/>
  <c r="AJ37" i="93"/>
  <c r="U37" i="93"/>
  <c r="AP36" i="93"/>
  <c r="AA36" i="93"/>
  <c r="AJ36" i="93"/>
  <c r="U36" i="93"/>
  <c r="AP35" i="93"/>
  <c r="AA35" i="93"/>
  <c r="AJ35" i="93"/>
  <c r="U35" i="93"/>
  <c r="AQ34" i="93"/>
  <c r="AB34" i="93"/>
  <c r="AK34" i="93"/>
  <c r="V34" i="93"/>
  <c r="AQ33" i="93"/>
  <c r="AB33" i="93"/>
  <c r="AK33" i="93"/>
  <c r="V33" i="93"/>
  <c r="AQ32" i="93"/>
  <c r="AB32" i="93"/>
  <c r="AK32" i="93"/>
  <c r="V32" i="93"/>
  <c r="AL31" i="93"/>
  <c r="W31" i="93"/>
  <c r="AL30" i="93"/>
  <c r="W30" i="93"/>
  <c r="AL29" i="93"/>
  <c r="W29" i="93"/>
  <c r="AM28" i="93"/>
  <c r="X28" i="93"/>
  <c r="AG28" i="93"/>
  <c r="R28" i="93"/>
  <c r="AM27" i="93"/>
  <c r="X27" i="93"/>
  <c r="AG27" i="93"/>
  <c r="R27" i="93"/>
  <c r="AM26" i="93"/>
  <c r="X26" i="93"/>
  <c r="AG26" i="93"/>
  <c r="R26" i="93"/>
  <c r="AN25" i="93"/>
  <c r="Y25" i="93"/>
  <c r="AH25" i="93"/>
  <c r="S25" i="93"/>
  <c r="AN24" i="93"/>
  <c r="Y24" i="93"/>
  <c r="AH24" i="93"/>
  <c r="S24" i="93"/>
  <c r="AN23" i="93"/>
  <c r="Y23" i="93"/>
  <c r="AH23" i="93"/>
  <c r="S23" i="93"/>
  <c r="AO22" i="93"/>
  <c r="Z22" i="93"/>
  <c r="AI22" i="93"/>
  <c r="T22" i="93"/>
  <c r="AO21" i="93"/>
  <c r="Z21" i="93"/>
  <c r="AI21" i="93"/>
  <c r="T21" i="93"/>
  <c r="AO20" i="93"/>
  <c r="Z20" i="93"/>
  <c r="AI20" i="93"/>
  <c r="T20" i="93"/>
  <c r="AP19" i="93"/>
  <c r="AA19" i="93"/>
  <c r="AJ19" i="93"/>
  <c r="U19" i="93"/>
  <c r="AP18" i="93"/>
  <c r="AA18" i="93"/>
  <c r="AJ18" i="93"/>
  <c r="U18" i="93"/>
  <c r="AP17" i="93"/>
  <c r="AA17" i="93"/>
  <c r="AJ17" i="93"/>
  <c r="U17" i="93"/>
  <c r="AQ16" i="93"/>
  <c r="AB16" i="93"/>
  <c r="AK16" i="93"/>
  <c r="V16" i="93"/>
  <c r="AQ15" i="93"/>
  <c r="AB15" i="93"/>
  <c r="AK15" i="93"/>
  <c r="V15" i="93"/>
  <c r="AQ14" i="93"/>
  <c r="AB14" i="93"/>
  <c r="AK14" i="93"/>
  <c r="V14" i="93"/>
  <c r="AZ4" i="93"/>
  <c r="Z4" i="93"/>
  <c r="AO4" i="93" s="1"/>
  <c r="AT4" i="93"/>
  <c r="T4" i="93"/>
  <c r="AI4" i="93" s="1"/>
  <c r="Z10" i="93"/>
  <c r="K45" i="80" s="1"/>
  <c r="U12" i="93"/>
  <c r="F37" i="80" s="1"/>
  <c r="S13" i="93"/>
  <c r="D46" i="80" s="1"/>
  <c r="AA13" i="93"/>
  <c r="L46" i="80" s="1"/>
  <c r="R39" i="93"/>
  <c r="C42" i="80" s="1"/>
  <c r="AA42" i="93"/>
  <c r="V40" i="93"/>
  <c r="G51" i="80" s="1"/>
  <c r="X43" i="93"/>
  <c r="AM43" i="93"/>
  <c r="R43" i="93"/>
  <c r="AG43" i="93"/>
  <c r="S39" i="93"/>
  <c r="D42" i="80" s="1"/>
  <c r="AH39" i="93"/>
  <c r="AO37" i="93"/>
  <c r="Z37" i="93"/>
  <c r="AI37" i="93"/>
  <c r="T37" i="93"/>
  <c r="AO36" i="93"/>
  <c r="Z36" i="93"/>
  <c r="AI36" i="93"/>
  <c r="T36" i="93"/>
  <c r="AO35" i="93"/>
  <c r="Z35" i="93"/>
  <c r="AI35" i="93"/>
  <c r="T35" i="93"/>
  <c r="AP34" i="93"/>
  <c r="AA34" i="93"/>
  <c r="L50" i="80" s="1"/>
  <c r="AJ34" i="93"/>
  <c r="U34" i="93"/>
  <c r="AP33" i="93"/>
  <c r="AA33" i="93"/>
  <c r="AJ33" i="93"/>
  <c r="U33" i="93"/>
  <c r="F41" i="80" s="1"/>
  <c r="AP32" i="93"/>
  <c r="AA32" i="93"/>
  <c r="AJ32" i="93"/>
  <c r="U32" i="93"/>
  <c r="AQ31" i="93"/>
  <c r="AB31" i="93"/>
  <c r="AK31" i="93"/>
  <c r="V31" i="93"/>
  <c r="AQ30" i="93"/>
  <c r="AB30" i="93"/>
  <c r="AK30" i="93"/>
  <c r="V30" i="93"/>
  <c r="AQ29" i="93"/>
  <c r="AB29" i="93"/>
  <c r="AK29" i="93"/>
  <c r="V29" i="93"/>
  <c r="AL28" i="93"/>
  <c r="W28" i="93"/>
  <c r="H49" i="80" s="1"/>
  <c r="AL27" i="93"/>
  <c r="W27" i="93"/>
  <c r="AL26" i="93"/>
  <c r="W26" i="93"/>
  <c r="AM25" i="93"/>
  <c r="X25" i="93"/>
  <c r="AG25" i="93"/>
  <c r="R25" i="93"/>
  <c r="AM24" i="93"/>
  <c r="X24" i="93"/>
  <c r="AG24" i="93"/>
  <c r="R24" i="93"/>
  <c r="AM23" i="93"/>
  <c r="X23" i="93"/>
  <c r="AG23" i="93"/>
  <c r="R23" i="93"/>
  <c r="AN22" i="93"/>
  <c r="Y22" i="93"/>
  <c r="J48" i="80" s="1"/>
  <c r="AH22" i="93"/>
  <c r="S22" i="93"/>
  <c r="AN21" i="93"/>
  <c r="Y21" i="93"/>
  <c r="AH21" i="93"/>
  <c r="S21" i="93"/>
  <c r="D39" i="80" s="1"/>
  <c r="AN20" i="93"/>
  <c r="Y20" i="93"/>
  <c r="AH20" i="93"/>
  <c r="S20" i="93"/>
  <c r="AO19" i="93"/>
  <c r="Z19" i="93"/>
  <c r="AI19" i="93"/>
  <c r="T19" i="93"/>
  <c r="AO18" i="93"/>
  <c r="Z18" i="93"/>
  <c r="AI18" i="93"/>
  <c r="T18" i="93"/>
  <c r="AO17" i="93"/>
  <c r="Z17" i="93"/>
  <c r="AI17" i="93"/>
  <c r="T17" i="93"/>
  <c r="AP16" i="93"/>
  <c r="AA16" i="93"/>
  <c r="L47" i="80" s="1"/>
  <c r="AJ16" i="93"/>
  <c r="U16" i="93"/>
  <c r="AP15" i="93"/>
  <c r="AA15" i="93"/>
  <c r="AJ15" i="93"/>
  <c r="U15" i="93"/>
  <c r="F38" i="80" s="1"/>
  <c r="AP14" i="93"/>
  <c r="AA14" i="93"/>
  <c r="AJ14" i="93"/>
  <c r="U14" i="93"/>
  <c r="Y4" i="93"/>
  <c r="AN4" i="93" s="1"/>
  <c r="AY4" i="93"/>
  <c r="AS4" i="93"/>
  <c r="S4" i="93"/>
  <c r="AH4" i="93" s="1"/>
  <c r="W41" i="93"/>
  <c r="AL41" i="93"/>
  <c r="R40" i="93"/>
  <c r="C51" i="80" s="1"/>
  <c r="AG40" i="93"/>
  <c r="AN37" i="93"/>
  <c r="Y37" i="93"/>
  <c r="AH36" i="93"/>
  <c r="S36" i="93"/>
  <c r="AI34" i="93"/>
  <c r="T34" i="93"/>
  <c r="AO32" i="93"/>
  <c r="Z32" i="93"/>
  <c r="K59" i="80" s="1"/>
  <c r="AJ31" i="93"/>
  <c r="U31" i="93"/>
  <c r="AJ30" i="93"/>
  <c r="U30" i="93"/>
  <c r="AJ29" i="93"/>
  <c r="U29" i="93"/>
  <c r="AK28" i="93"/>
  <c r="V28" i="93"/>
  <c r="AK27" i="93"/>
  <c r="V27" i="93"/>
  <c r="AK26" i="93"/>
  <c r="V26" i="93"/>
  <c r="AL23" i="93"/>
  <c r="W23" i="93"/>
  <c r="AG22" i="93"/>
  <c r="R22" i="93"/>
  <c r="AG21" i="93"/>
  <c r="R21" i="93"/>
  <c r="AG20" i="93"/>
  <c r="R20" i="93"/>
  <c r="C57" i="80" s="1"/>
  <c r="AH19" i="93"/>
  <c r="S19" i="93"/>
  <c r="AN18" i="93"/>
  <c r="Y18" i="93"/>
  <c r="AN17" i="93"/>
  <c r="Y17" i="93"/>
  <c r="AH17" i="93"/>
  <c r="S17" i="93"/>
  <c r="AI16" i="93"/>
  <c r="T16" i="93"/>
  <c r="E47" i="80" s="1"/>
  <c r="AO15" i="93"/>
  <c r="Z15" i="93"/>
  <c r="K38" i="80" s="1"/>
  <c r="AI15" i="93"/>
  <c r="T15" i="93"/>
  <c r="AO14" i="93"/>
  <c r="Z14" i="93"/>
  <c r="K56" i="80" s="1"/>
  <c r="AI14" i="93"/>
  <c r="T14" i="93"/>
  <c r="E56" i="80" s="1"/>
  <c r="AB9" i="93"/>
  <c r="M36" i="80" s="1"/>
  <c r="AQ9" i="93"/>
  <c r="V9" i="93"/>
  <c r="G36" i="80" s="1"/>
  <c r="AK9" i="93"/>
  <c r="X4" i="93"/>
  <c r="AM4" i="93" s="1"/>
  <c r="AX4" i="93"/>
  <c r="AR4" i="93"/>
  <c r="R4" i="93"/>
  <c r="AG4" i="93" s="1"/>
  <c r="AH37" i="93"/>
  <c r="S37" i="93"/>
  <c r="AN36" i="93"/>
  <c r="Y36" i="93"/>
  <c r="AN35" i="93"/>
  <c r="Y35" i="93"/>
  <c r="AH35" i="93"/>
  <c r="S35" i="93"/>
  <c r="AO34" i="93"/>
  <c r="Z34" i="93"/>
  <c r="AO33" i="93"/>
  <c r="Z33" i="93"/>
  <c r="AI33" i="93"/>
  <c r="T33" i="93"/>
  <c r="AI32" i="93"/>
  <c r="T32" i="93"/>
  <c r="E59" i="80" s="1"/>
  <c r="AP31" i="93"/>
  <c r="AA31" i="93"/>
  <c r="AP30" i="93"/>
  <c r="AA30" i="93"/>
  <c r="AP29" i="93"/>
  <c r="AA29" i="93"/>
  <c r="AQ28" i="93"/>
  <c r="AB28" i="93"/>
  <c r="AQ27" i="93"/>
  <c r="AB27" i="93"/>
  <c r="AQ26" i="93"/>
  <c r="AB26" i="93"/>
  <c r="AL25" i="93"/>
  <c r="W25" i="93"/>
  <c r="AL24" i="93"/>
  <c r="W24" i="93"/>
  <c r="AM22" i="93"/>
  <c r="X22" i="93"/>
  <c r="AM21" i="93"/>
  <c r="X21" i="93"/>
  <c r="AM20" i="93"/>
  <c r="X20" i="93"/>
  <c r="I57" i="80" s="1"/>
  <c r="AN19" i="93"/>
  <c r="Y19" i="93"/>
  <c r="AH18" i="93"/>
  <c r="S18" i="93"/>
  <c r="AO16" i="93"/>
  <c r="Z16" i="93"/>
  <c r="Z8" i="93"/>
  <c r="K54" i="80" s="1"/>
  <c r="V10" i="93"/>
  <c r="G45" i="80" s="1"/>
  <c r="R11" i="93"/>
  <c r="C55" i="80" s="1"/>
  <c r="Y11" i="93"/>
  <c r="J55" i="80" s="1"/>
  <c r="U13" i="93"/>
  <c r="F46" i="80" s="1"/>
  <c r="R38" i="93"/>
  <c r="C60" i="80" s="1"/>
  <c r="U39" i="93"/>
  <c r="F42" i="80" s="1"/>
  <c r="Y40" i="93"/>
  <c r="J51" i="80" s="1"/>
  <c r="R42" i="93"/>
  <c r="Z43" i="93"/>
  <c r="U43" i="93"/>
  <c r="X39" i="93"/>
  <c r="I42" i="80" s="1"/>
  <c r="AB43" i="93"/>
  <c r="AQ43" i="93"/>
  <c r="V43" i="93"/>
  <c r="AK43" i="93"/>
  <c r="AB42" i="93"/>
  <c r="AQ42" i="93"/>
  <c r="V42" i="93"/>
  <c r="AK42" i="93"/>
  <c r="AB41" i="93"/>
  <c r="AQ41" i="93"/>
  <c r="V41" i="93"/>
  <c r="AK41" i="93"/>
  <c r="W40" i="93"/>
  <c r="H51" i="80" s="1"/>
  <c r="AL40" i="93"/>
  <c r="W39" i="93"/>
  <c r="H42" i="80" s="1"/>
  <c r="AL39" i="93"/>
  <c r="W38" i="93"/>
  <c r="H60" i="80" s="1"/>
  <c r="AL38" i="93"/>
  <c r="AM37" i="93"/>
  <c r="X37" i="93"/>
  <c r="AG37" i="93"/>
  <c r="R37" i="93"/>
  <c r="AM36" i="93"/>
  <c r="X36" i="93"/>
  <c r="AG36" i="93"/>
  <c r="R36" i="93"/>
  <c r="AM35" i="93"/>
  <c r="X35" i="93"/>
  <c r="AG35" i="93"/>
  <c r="R35" i="93"/>
  <c r="AN34" i="93"/>
  <c r="Y34" i="93"/>
  <c r="AH34" i="93"/>
  <c r="S34" i="93"/>
  <c r="AN33" i="93"/>
  <c r="Y33" i="93"/>
  <c r="AH33" i="93"/>
  <c r="S33" i="93"/>
  <c r="D41" i="80" s="1"/>
  <c r="AN32" i="93"/>
  <c r="Y32" i="93"/>
  <c r="J59" i="80" s="1"/>
  <c r="AH32" i="93"/>
  <c r="S32" i="93"/>
  <c r="D59" i="80" s="1"/>
  <c r="AO31" i="93"/>
  <c r="Z31" i="93"/>
  <c r="AI31" i="93"/>
  <c r="T31" i="93"/>
  <c r="AO30" i="93"/>
  <c r="Z30" i="93"/>
  <c r="AI30" i="93"/>
  <c r="T30" i="93"/>
  <c r="AO29" i="93"/>
  <c r="Z29" i="93"/>
  <c r="AI29" i="93"/>
  <c r="T29" i="93"/>
  <c r="AP28" i="93"/>
  <c r="AA28" i="93"/>
  <c r="AJ28" i="93"/>
  <c r="U28" i="93"/>
  <c r="AP27" i="93"/>
  <c r="AA27" i="93"/>
  <c r="L40" i="80" s="1"/>
  <c r="AJ27" i="93"/>
  <c r="U27" i="93"/>
  <c r="F40" i="80" s="1"/>
  <c r="AP26" i="93"/>
  <c r="AA26" i="93"/>
  <c r="AJ26" i="93"/>
  <c r="U26" i="93"/>
  <c r="AQ25" i="93"/>
  <c r="AB25" i="93"/>
  <c r="AK25" i="93"/>
  <c r="V25" i="93"/>
  <c r="AQ24" i="93"/>
  <c r="AB24" i="93"/>
  <c r="AK24" i="93"/>
  <c r="V24" i="93"/>
  <c r="AQ23" i="93"/>
  <c r="AB23" i="93"/>
  <c r="AK23" i="93"/>
  <c r="V23" i="93"/>
  <c r="AL22" i="93"/>
  <c r="W22" i="93"/>
  <c r="AL21" i="93"/>
  <c r="W21" i="93"/>
  <c r="AL20" i="93"/>
  <c r="W20" i="93"/>
  <c r="AM19" i="93"/>
  <c r="X19" i="93"/>
  <c r="AG19" i="93"/>
  <c r="R19" i="93"/>
  <c r="AM18" i="93"/>
  <c r="X18" i="93"/>
  <c r="AG18" i="93"/>
  <c r="R18" i="93"/>
  <c r="AM17" i="93"/>
  <c r="X17" i="93"/>
  <c r="AG17" i="93"/>
  <c r="R17" i="93"/>
  <c r="AN16" i="93"/>
  <c r="Y16" i="93"/>
  <c r="J47" i="80" s="1"/>
  <c r="AH16" i="93"/>
  <c r="S16" i="93"/>
  <c r="D47" i="80" s="1"/>
  <c r="AN15" i="93"/>
  <c r="Y15" i="93"/>
  <c r="AH15" i="93"/>
  <c r="S15" i="93"/>
  <c r="AN14" i="93"/>
  <c r="Y14" i="93"/>
  <c r="AH14" i="93"/>
  <c r="S14" i="93"/>
  <c r="Z13" i="93"/>
  <c r="K46" i="80" s="1"/>
  <c r="AO13" i="93"/>
  <c r="Z12" i="93"/>
  <c r="K37" i="80" s="1"/>
  <c r="AO12" i="93"/>
  <c r="T12" i="93"/>
  <c r="E37" i="80" s="1"/>
  <c r="AI12" i="93"/>
  <c r="Z11" i="93"/>
  <c r="K55" i="80" s="1"/>
  <c r="AO11" i="93"/>
  <c r="T11" i="93"/>
  <c r="E55" i="80" s="1"/>
  <c r="AI11" i="93"/>
  <c r="AA10" i="93"/>
  <c r="L45" i="80" s="1"/>
  <c r="AP10" i="93"/>
  <c r="U10" i="93"/>
  <c r="F45" i="80" s="1"/>
  <c r="AJ10" i="93"/>
  <c r="AA9" i="93"/>
  <c r="L36" i="80" s="1"/>
  <c r="AP9" i="93"/>
  <c r="U9" i="93"/>
  <c r="F36" i="80" s="1"/>
  <c r="AJ9" i="93"/>
  <c r="AA8" i="93"/>
  <c r="L54" i="80" s="1"/>
  <c r="AP8" i="93"/>
  <c r="U8" i="93"/>
  <c r="F54" i="80" s="1"/>
  <c r="AJ8" i="93"/>
  <c r="W4" i="93"/>
  <c r="AL4" i="93" s="1"/>
  <c r="AW4" i="93"/>
  <c r="X40" i="93"/>
  <c r="I51" i="80" s="1"/>
  <c r="AM40" i="93"/>
  <c r="AA11" i="93"/>
  <c r="L55" i="80" s="1"/>
  <c r="AB39" i="93"/>
  <c r="M42" i="80" s="1"/>
  <c r="AQ39" i="93"/>
  <c r="V39" i="93"/>
  <c r="G42" i="80" s="1"/>
  <c r="AK39" i="93"/>
  <c r="AL37" i="93"/>
  <c r="W37" i="93"/>
  <c r="AL36" i="93"/>
  <c r="W36" i="93"/>
  <c r="AL35" i="93"/>
  <c r="W35" i="93"/>
  <c r="AM34" i="93"/>
  <c r="X34" i="93"/>
  <c r="AG34" i="93"/>
  <c r="R34" i="93"/>
  <c r="AM33" i="93"/>
  <c r="X33" i="93"/>
  <c r="AG33" i="93"/>
  <c r="R33" i="93"/>
  <c r="AM32" i="93"/>
  <c r="X32" i="93"/>
  <c r="AG32" i="93"/>
  <c r="R32" i="93"/>
  <c r="AN31" i="93"/>
  <c r="Y31" i="93"/>
  <c r="AH31" i="93"/>
  <c r="S31" i="93"/>
  <c r="AN30" i="93"/>
  <c r="Y30" i="93"/>
  <c r="AH30" i="93"/>
  <c r="S30" i="93"/>
  <c r="AN29" i="93"/>
  <c r="Y29" i="93"/>
  <c r="AH29" i="93"/>
  <c r="S29" i="93"/>
  <c r="AO28" i="93"/>
  <c r="Z28" i="93"/>
  <c r="AI28" i="93"/>
  <c r="T28" i="93"/>
  <c r="AO27" i="93"/>
  <c r="Z27" i="93"/>
  <c r="AI27" i="93"/>
  <c r="T27" i="93"/>
  <c r="AO26" i="93"/>
  <c r="Z26" i="93"/>
  <c r="AI26" i="93"/>
  <c r="T26" i="93"/>
  <c r="AP25" i="93"/>
  <c r="AA25" i="93"/>
  <c r="AJ25" i="93"/>
  <c r="U25" i="93"/>
  <c r="AP24" i="93"/>
  <c r="AA24" i="93"/>
  <c r="AJ24" i="93"/>
  <c r="U24" i="93"/>
  <c r="AP23" i="93"/>
  <c r="AA23" i="93"/>
  <c r="AJ23" i="93"/>
  <c r="U23" i="93"/>
  <c r="AQ22" i="93"/>
  <c r="AB22" i="93"/>
  <c r="AK22" i="93"/>
  <c r="V22" i="93"/>
  <c r="AQ21" i="93"/>
  <c r="AB21" i="93"/>
  <c r="AK21" i="93"/>
  <c r="V21" i="93"/>
  <c r="AQ20" i="93"/>
  <c r="AB20" i="93"/>
  <c r="AK20" i="93"/>
  <c r="V20" i="93"/>
  <c r="AL19" i="93"/>
  <c r="W19" i="93"/>
  <c r="AL18" i="93"/>
  <c r="W18" i="93"/>
  <c r="AL17" i="93"/>
  <c r="W17" i="93"/>
  <c r="AM16" i="93"/>
  <c r="X16" i="93"/>
  <c r="AG16" i="93"/>
  <c r="R16" i="93"/>
  <c r="AM15" i="93"/>
  <c r="X15" i="93"/>
  <c r="AG15" i="93"/>
  <c r="R15" i="93"/>
  <c r="AM14" i="93"/>
  <c r="X14" i="93"/>
  <c r="AG14" i="93"/>
  <c r="R14" i="93"/>
  <c r="Y12" i="93"/>
  <c r="J37" i="80" s="1"/>
  <c r="AN12" i="93"/>
  <c r="BB4" i="93"/>
  <c r="AB4" i="93"/>
  <c r="AQ4" i="93" s="1"/>
  <c r="AV4" i="93"/>
  <c r="V4" i="93"/>
  <c r="AK4" i="93" s="1"/>
  <c r="AA12" i="93"/>
  <c r="L37" i="80" s="1"/>
  <c r="X38" i="93"/>
  <c r="I60" i="80" s="1"/>
  <c r="W42" i="93"/>
  <c r="T41" i="93"/>
  <c r="AI41" i="93"/>
  <c r="AA40" i="93"/>
  <c r="L51" i="80" s="1"/>
  <c r="AP40" i="93"/>
  <c r="U40" i="93"/>
  <c r="F51" i="80" s="1"/>
  <c r="AJ40" i="93"/>
  <c r="AA38" i="93"/>
  <c r="L60" i="80" s="1"/>
  <c r="AP38" i="93"/>
  <c r="U38" i="93"/>
  <c r="F60" i="80" s="1"/>
  <c r="AJ38" i="93"/>
  <c r="AQ37" i="93"/>
  <c r="AB37" i="93"/>
  <c r="AK37" i="93"/>
  <c r="V37" i="93"/>
  <c r="AQ36" i="93"/>
  <c r="AB36" i="93"/>
  <c r="AK36" i="93"/>
  <c r="V36" i="93"/>
  <c r="AQ35" i="93"/>
  <c r="AB35" i="93"/>
  <c r="AK35" i="93"/>
  <c r="V35" i="93"/>
  <c r="AL34" i="93"/>
  <c r="W34" i="93"/>
  <c r="AL33" i="93"/>
  <c r="W33" i="93"/>
  <c r="AL32" i="93"/>
  <c r="W32" i="93"/>
  <c r="AM31" i="93"/>
  <c r="X31" i="93"/>
  <c r="AG31" i="93"/>
  <c r="R31" i="93"/>
  <c r="AM30" i="93"/>
  <c r="X30" i="93"/>
  <c r="AG30" i="93"/>
  <c r="R30" i="93"/>
  <c r="AM29" i="93"/>
  <c r="X29" i="93"/>
  <c r="AG29" i="93"/>
  <c r="R29" i="93"/>
  <c r="AN28" i="93"/>
  <c r="Y28" i="93"/>
  <c r="AH28" i="93"/>
  <c r="S28" i="93"/>
  <c r="AN27" i="93"/>
  <c r="Y27" i="93"/>
  <c r="AH27" i="93"/>
  <c r="S27" i="93"/>
  <c r="AN26" i="93"/>
  <c r="Y26" i="93"/>
  <c r="AH26" i="93"/>
  <c r="S26" i="93"/>
  <c r="AO25" i="93"/>
  <c r="Z25" i="93"/>
  <c r="AI25" i="93"/>
  <c r="T25" i="93"/>
  <c r="AO24" i="93"/>
  <c r="Z24" i="93"/>
  <c r="AI24" i="93"/>
  <c r="T24" i="93"/>
  <c r="AO23" i="93"/>
  <c r="Z23" i="93"/>
  <c r="AI23" i="93"/>
  <c r="T23" i="93"/>
  <c r="AP22" i="93"/>
  <c r="AA22" i="93"/>
  <c r="AJ22" i="93"/>
  <c r="U22" i="93"/>
  <c r="AP21" i="93"/>
  <c r="AA21" i="93"/>
  <c r="AJ21" i="93"/>
  <c r="U21" i="93"/>
  <c r="AP20" i="93"/>
  <c r="AA20" i="93"/>
  <c r="AJ20" i="93"/>
  <c r="U20" i="93"/>
  <c r="AQ19" i="93"/>
  <c r="AB19" i="93"/>
  <c r="AK19" i="93"/>
  <c r="V19" i="93"/>
  <c r="AQ18" i="93"/>
  <c r="AB18" i="93"/>
  <c r="AK18" i="93"/>
  <c r="V18" i="93"/>
  <c r="AQ17" i="93"/>
  <c r="AB17" i="93"/>
  <c r="AK17" i="93"/>
  <c r="V17" i="93"/>
  <c r="AL16" i="93"/>
  <c r="W16" i="93"/>
  <c r="AL15" i="93"/>
  <c r="W15" i="93"/>
  <c r="AL14" i="93"/>
  <c r="W14" i="93"/>
  <c r="X13" i="93"/>
  <c r="I46" i="80" s="1"/>
  <c r="AM13" i="93"/>
  <c r="R13" i="93"/>
  <c r="C46" i="80" s="1"/>
  <c r="AG13" i="93"/>
  <c r="AA4" i="93"/>
  <c r="AP4" i="93" s="1"/>
  <c r="BA4" i="93"/>
  <c r="U4" i="93"/>
  <c r="AJ4" i="93" s="1"/>
  <c r="AU4" i="93"/>
  <c r="AE4" i="91"/>
  <c r="S4" i="91"/>
  <c r="CA14" i="75"/>
  <c r="CF7" i="75"/>
  <c r="BZ7" i="75"/>
  <c r="M30" i="75"/>
  <c r="G30" i="75"/>
  <c r="CA13" i="75"/>
  <c r="CF6" i="75"/>
  <c r="BZ6" i="75"/>
  <c r="M29" i="75"/>
  <c r="G29" i="75"/>
  <c r="CA12" i="75"/>
  <c r="CF5" i="75"/>
  <c r="BZ5" i="75"/>
  <c r="M28" i="75"/>
  <c r="G28" i="75"/>
  <c r="CA11" i="75"/>
  <c r="W7" i="91"/>
  <c r="AI7" i="91" s="1"/>
  <c r="CF4" i="75"/>
  <c r="AB6" i="91"/>
  <c r="AN6" i="91" s="1"/>
  <c r="BZ4" i="75"/>
  <c r="V6" i="91"/>
  <c r="AH6" i="91" s="1"/>
  <c r="M27" i="75"/>
  <c r="AA5" i="91"/>
  <c r="AM5" i="91" s="1"/>
  <c r="G27" i="75"/>
  <c r="U5" i="91"/>
  <c r="AG5" i="91" s="1"/>
  <c r="AJ4" i="91"/>
  <c r="X4" i="91"/>
  <c r="CF14" i="75"/>
  <c r="BZ14" i="75"/>
  <c r="CE7" i="75"/>
  <c r="BY7" i="75"/>
  <c r="L30" i="75"/>
  <c r="F30" i="75"/>
  <c r="CF13" i="75"/>
  <c r="BZ13" i="75"/>
  <c r="CE6" i="75"/>
  <c r="BY6" i="75"/>
  <c r="L29" i="75"/>
  <c r="F29" i="75"/>
  <c r="CF12" i="75"/>
  <c r="BZ12" i="75"/>
  <c r="CE5" i="75"/>
  <c r="BY5" i="75"/>
  <c r="L28" i="75"/>
  <c r="F28" i="75"/>
  <c r="CF11" i="75"/>
  <c r="AB7" i="91"/>
  <c r="AN7" i="91" s="1"/>
  <c r="BZ11" i="75"/>
  <c r="V7" i="91"/>
  <c r="AH7" i="91" s="1"/>
  <c r="CE4" i="75"/>
  <c r="AA6" i="91"/>
  <c r="AM6" i="91" s="1"/>
  <c r="BY4" i="75"/>
  <c r="U6" i="91"/>
  <c r="AG6" i="91" s="1"/>
  <c r="L27" i="75"/>
  <c r="Z5" i="91"/>
  <c r="AL5" i="91" s="1"/>
  <c r="F27" i="75"/>
  <c r="T5" i="91"/>
  <c r="AF5" i="91" s="1"/>
  <c r="Y4" i="91"/>
  <c r="AK4" i="91"/>
  <c r="CE14" i="75"/>
  <c r="E30" i="75"/>
  <c r="BX6" i="75"/>
  <c r="K29" i="75"/>
  <c r="E29" i="75"/>
  <c r="CE11" i="75"/>
  <c r="AA7" i="91"/>
  <c r="AM7" i="91" s="1"/>
  <c r="BY11" i="75"/>
  <c r="U7" i="91"/>
  <c r="AG7" i="91" s="1"/>
  <c r="CD4" i="75"/>
  <c r="Z6" i="91"/>
  <c r="AL6" i="91" s="1"/>
  <c r="BX4" i="75"/>
  <c r="T6" i="91"/>
  <c r="AF6" i="91" s="1"/>
  <c r="K27" i="75"/>
  <c r="Y5" i="91"/>
  <c r="AK5" i="91" s="1"/>
  <c r="E27" i="75"/>
  <c r="S5" i="91"/>
  <c r="AE5" i="91" s="1"/>
  <c r="R4" i="91"/>
  <c r="AD4" i="91"/>
  <c r="BY14" i="75"/>
  <c r="K30" i="75"/>
  <c r="BY13" i="75"/>
  <c r="V4" i="91"/>
  <c r="AH4" i="91"/>
  <c r="CD14" i="75"/>
  <c r="BW7" i="75"/>
  <c r="CD13" i="75"/>
  <c r="BW6" i="75"/>
  <c r="J28" i="75"/>
  <c r="CC4" i="75"/>
  <c r="Y6" i="91"/>
  <c r="AK6" i="91" s="1"/>
  <c r="BX7" i="75"/>
  <c r="CD6" i="75"/>
  <c r="CC7" i="75"/>
  <c r="D30" i="75"/>
  <c r="BX13" i="75"/>
  <c r="J29" i="75"/>
  <c r="BX12" i="75"/>
  <c r="BW5" i="75"/>
  <c r="CD11" i="75"/>
  <c r="Z7" i="91"/>
  <c r="AL7" i="91" s="1"/>
  <c r="BW4" i="75"/>
  <c r="S6" i="91"/>
  <c r="AE6" i="91" s="1"/>
  <c r="J27" i="75"/>
  <c r="X5" i="91"/>
  <c r="AJ5" i="91" s="1"/>
  <c r="D27" i="75"/>
  <c r="R5" i="91"/>
  <c r="AD5" i="91" s="1"/>
  <c r="AM4" i="91"/>
  <c r="AA4" i="91"/>
  <c r="U4" i="91"/>
  <c r="AG4" i="91"/>
  <c r="CC14" i="75"/>
  <c r="BW14" i="75"/>
  <c r="CB7" i="75"/>
  <c r="BV7" i="75"/>
  <c r="I30" i="75"/>
  <c r="CC13" i="75"/>
  <c r="BW13" i="75"/>
  <c r="CB6" i="75"/>
  <c r="BV6" i="75"/>
  <c r="I29" i="75"/>
  <c r="CC12" i="75"/>
  <c r="BW12" i="75"/>
  <c r="CB5" i="75"/>
  <c r="BV5" i="75"/>
  <c r="I28" i="75"/>
  <c r="CC11" i="75"/>
  <c r="Y7" i="91"/>
  <c r="AK7" i="91" s="1"/>
  <c r="BW11" i="75"/>
  <c r="S7" i="91"/>
  <c r="AE7" i="91" s="1"/>
  <c r="CB4" i="75"/>
  <c r="X6" i="91"/>
  <c r="AJ6" i="91" s="1"/>
  <c r="BV4" i="75"/>
  <c r="R6" i="91"/>
  <c r="AD6" i="91" s="1"/>
  <c r="I27" i="75"/>
  <c r="W5" i="91"/>
  <c r="AI5" i="91" s="1"/>
  <c r="AI4" i="91"/>
  <c r="W4" i="91"/>
  <c r="CD7" i="75"/>
  <c r="CE13" i="75"/>
  <c r="AN4" i="91"/>
  <c r="AB4" i="91"/>
  <c r="BX14" i="75"/>
  <c r="J30" i="75"/>
  <c r="CC6" i="75"/>
  <c r="D29" i="75"/>
  <c r="CD12" i="75"/>
  <c r="CC5" i="75"/>
  <c r="D28" i="75"/>
  <c r="BX11" i="75"/>
  <c r="T7" i="91"/>
  <c r="AF7" i="91" s="1"/>
  <c r="Z4" i="91"/>
  <c r="AL4" i="91"/>
  <c r="T4" i="91"/>
  <c r="AF4" i="91"/>
  <c r="CB14" i="75"/>
  <c r="BV14" i="75"/>
  <c r="CA7" i="75"/>
  <c r="N30" i="75"/>
  <c r="H30" i="75"/>
  <c r="CB13" i="75"/>
  <c r="BV13" i="75"/>
  <c r="CA6" i="75"/>
  <c r="N29" i="75"/>
  <c r="D73" i="75" s="1"/>
  <c r="H29" i="75"/>
  <c r="CB12" i="75"/>
  <c r="BV12" i="75"/>
  <c r="CA5" i="75"/>
  <c r="N28" i="75"/>
  <c r="H28" i="75"/>
  <c r="CB11" i="75"/>
  <c r="X7" i="91"/>
  <c r="AJ7" i="91" s="1"/>
  <c r="BV11" i="75"/>
  <c r="R7" i="91"/>
  <c r="AD7" i="91" s="1"/>
  <c r="CA4" i="75"/>
  <c r="W6" i="91"/>
  <c r="AI6" i="91" s="1"/>
  <c r="N27" i="75"/>
  <c r="AB5" i="91"/>
  <c r="AN5" i="91" s="1"/>
  <c r="H27" i="75"/>
  <c r="V5" i="91"/>
  <c r="AH5" i="91" s="1"/>
  <c r="R32" i="74"/>
  <c r="R33" i="74"/>
  <c r="R34" i="74"/>
  <c r="R31" i="74"/>
  <c r="R8" i="74"/>
  <c r="R9" i="74"/>
  <c r="R10" i="74"/>
  <c r="R11" i="74"/>
  <c r="R12" i="74"/>
  <c r="R13" i="74"/>
  <c r="R14" i="74"/>
  <c r="R15" i="74"/>
  <c r="R16" i="74"/>
  <c r="R17" i="74"/>
  <c r="R18" i="74"/>
  <c r="R19" i="74"/>
  <c r="R20" i="74"/>
  <c r="R21" i="74"/>
  <c r="R22" i="74"/>
  <c r="R23" i="74"/>
  <c r="R24" i="74"/>
  <c r="R25" i="74"/>
  <c r="R26" i="74"/>
  <c r="R7" i="74"/>
  <c r="W95" i="72"/>
  <c r="B106" i="72"/>
  <c r="W93" i="72" s="1"/>
  <c r="B107" i="72"/>
  <c r="B108" i="72"/>
  <c r="B105" i="72"/>
  <c r="W92" i="72" s="1"/>
  <c r="B91" i="72"/>
  <c r="Q96" i="72" s="1"/>
  <c r="B92" i="72"/>
  <c r="B93" i="72"/>
  <c r="B90" i="72"/>
  <c r="Q95" i="72" s="1"/>
  <c r="X92" i="72" l="1"/>
  <c r="X94" i="72"/>
  <c r="Q92" i="72"/>
  <c r="W96" i="72"/>
  <c r="X97" i="72" s="1"/>
  <c r="Q93" i="72"/>
  <c r="R97" i="72" s="1"/>
  <c r="D56" i="80"/>
  <c r="H57" i="80"/>
  <c r="J41" i="80"/>
  <c r="M40" i="80"/>
  <c r="G58" i="80"/>
  <c r="H75" i="80"/>
  <c r="F67" i="80"/>
  <c r="L76" i="80"/>
  <c r="D68" i="80"/>
  <c r="J77" i="80"/>
  <c r="H78" i="80"/>
  <c r="I76" i="80"/>
  <c r="AJ5" i="94"/>
  <c r="AU5" i="94" s="1"/>
  <c r="AO6" i="94"/>
  <c r="AZ6" i="94" s="1"/>
  <c r="AG5" i="94"/>
  <c r="AR5" i="94" s="1"/>
  <c r="AO5" i="93"/>
  <c r="AZ5" i="93" s="1"/>
  <c r="AM7" i="94"/>
  <c r="AX7" i="94" s="1"/>
  <c r="AL6" i="94"/>
  <c r="AW6" i="94" s="1"/>
  <c r="E66" i="80"/>
  <c r="M77" i="80"/>
  <c r="J75" i="80"/>
  <c r="AP7" i="94"/>
  <c r="BA7" i="94" s="1"/>
  <c r="AH6" i="94"/>
  <c r="AS6" i="94" s="1"/>
  <c r="AG6" i="94"/>
  <c r="AR6" i="94" s="1"/>
  <c r="H47" i="80"/>
  <c r="F39" i="80"/>
  <c r="L48" i="80"/>
  <c r="D40" i="80"/>
  <c r="J49" i="80"/>
  <c r="H50" i="80"/>
  <c r="AH5" i="93"/>
  <c r="AS5" i="93" s="1"/>
  <c r="AH7" i="93"/>
  <c r="AS7" i="93" s="1"/>
  <c r="AL7" i="93"/>
  <c r="AW7" i="93" s="1"/>
  <c r="AM5" i="93"/>
  <c r="AX5" i="93" s="1"/>
  <c r="AP5" i="93"/>
  <c r="BA5" i="93" s="1"/>
  <c r="AG7" i="93"/>
  <c r="AR7" i="93" s="1"/>
  <c r="AN7" i="93"/>
  <c r="AY7" i="93" s="1"/>
  <c r="D74" i="75"/>
  <c r="H56" i="80"/>
  <c r="L39" i="80"/>
  <c r="J40" i="80"/>
  <c r="AP7" i="93"/>
  <c r="BA7" i="93" s="1"/>
  <c r="AJ5" i="93"/>
  <c r="AU5" i="93" s="1"/>
  <c r="AI5" i="93"/>
  <c r="AT5" i="93" s="1"/>
  <c r="AO6" i="93"/>
  <c r="AZ6" i="93" s="1"/>
  <c r="J56" i="80"/>
  <c r="H39" i="80"/>
  <c r="L58" i="80"/>
  <c r="F49" i="80"/>
  <c r="D50" i="80"/>
  <c r="I39" i="80"/>
  <c r="K41" i="80"/>
  <c r="C48" i="80"/>
  <c r="E50" i="80"/>
  <c r="E75" i="80"/>
  <c r="M86" i="80"/>
  <c r="E78" i="80"/>
  <c r="AK5" i="94"/>
  <c r="AV5" i="94" s="1"/>
  <c r="AQ6" i="94"/>
  <c r="BB6" i="94" s="1"/>
  <c r="AN6" i="94"/>
  <c r="AY6" i="94" s="1"/>
  <c r="AL5" i="94"/>
  <c r="AW5" i="94" s="1"/>
  <c r="AL7" i="94"/>
  <c r="AW7" i="94" s="1"/>
  <c r="AQ7" i="94"/>
  <c r="BB7" i="94" s="1"/>
  <c r="AK6" i="94"/>
  <c r="AV6" i="94" s="1"/>
  <c r="J66" i="80"/>
  <c r="H85" i="80"/>
  <c r="F86" i="80"/>
  <c r="L68" i="80"/>
  <c r="D87" i="80"/>
  <c r="J69" i="80"/>
  <c r="AL6" i="93"/>
  <c r="AW6" i="93" s="1"/>
  <c r="AN7" i="94"/>
  <c r="AY7" i="94" s="1"/>
  <c r="F57" i="80"/>
  <c r="D58" i="80"/>
  <c r="H59" i="80"/>
  <c r="AL5" i="93"/>
  <c r="AW5" i="93" s="1"/>
  <c r="AP6" i="93"/>
  <c r="BA6" i="93" s="1"/>
  <c r="AG6" i="93"/>
  <c r="AR6" i="93" s="1"/>
  <c r="AQ7" i="93"/>
  <c r="BB7" i="93" s="1"/>
  <c r="AI6" i="93"/>
  <c r="AT6" i="93" s="1"/>
  <c r="AH6" i="93"/>
  <c r="AS6" i="93" s="1"/>
  <c r="AP5" i="94"/>
  <c r="BA5" i="94" s="1"/>
  <c r="AM5" i="94"/>
  <c r="AX5" i="94" s="1"/>
  <c r="AK7" i="94"/>
  <c r="AV7" i="94" s="1"/>
  <c r="AM6" i="94"/>
  <c r="AX6" i="94" s="1"/>
  <c r="L57" i="80"/>
  <c r="J58" i="80"/>
  <c r="H41" i="80"/>
  <c r="I38" i="80"/>
  <c r="G57" i="80"/>
  <c r="E58" i="80"/>
  <c r="C59" i="80"/>
  <c r="M58" i="80"/>
  <c r="AQ5" i="94"/>
  <c r="BB5" i="94" s="1"/>
  <c r="G68" i="80"/>
  <c r="E69" i="80"/>
  <c r="AH5" i="94"/>
  <c r="AS5" i="94" s="1"/>
  <c r="H38" i="80"/>
  <c r="F48" i="80"/>
  <c r="D49" i="80"/>
  <c r="C56" i="80"/>
  <c r="M39" i="80"/>
  <c r="K40" i="80"/>
  <c r="I41" i="80"/>
  <c r="AO7" i="93"/>
  <c r="AZ7" i="93" s="1"/>
  <c r="G49" i="80"/>
  <c r="AQ5" i="93"/>
  <c r="BB5" i="93" s="1"/>
  <c r="AK7" i="93"/>
  <c r="AV7" i="93" s="1"/>
  <c r="AI7" i="93"/>
  <c r="AT7" i="93" s="1"/>
  <c r="AG5" i="93"/>
  <c r="AR5" i="93" s="1"/>
  <c r="AM6" i="93"/>
  <c r="AX6" i="93" s="1"/>
  <c r="AN5" i="93"/>
  <c r="AY5" i="93" s="1"/>
  <c r="G66" i="80"/>
  <c r="M75" i="80"/>
  <c r="E67" i="80"/>
  <c r="K76" i="80"/>
  <c r="C68" i="80"/>
  <c r="I77" i="80"/>
  <c r="G69" i="80"/>
  <c r="M78" i="80"/>
  <c r="C67" i="80"/>
  <c r="AG7" i="94"/>
  <c r="AR7" i="94" s="1"/>
  <c r="AN5" i="94"/>
  <c r="AY5" i="94" s="1"/>
  <c r="AH7" i="94"/>
  <c r="AS7" i="94" s="1"/>
  <c r="F84" i="80"/>
  <c r="L66" i="80"/>
  <c r="D85" i="80"/>
  <c r="J67" i="80"/>
  <c r="H86" i="80"/>
  <c r="F87" i="80"/>
  <c r="L69" i="80"/>
  <c r="AJ7" i="94"/>
  <c r="AU7" i="94" s="1"/>
  <c r="F68" i="80"/>
  <c r="J78" i="80"/>
  <c r="AO7" i="94"/>
  <c r="AZ7" i="94" s="1"/>
  <c r="F66" i="80"/>
  <c r="L75" i="80"/>
  <c r="D67" i="80"/>
  <c r="J76" i="80"/>
  <c r="H77" i="80"/>
  <c r="F69" i="80"/>
  <c r="L78" i="80"/>
  <c r="M84" i="80"/>
  <c r="G75" i="80"/>
  <c r="K85" i="80"/>
  <c r="E76" i="80"/>
  <c r="I86" i="80"/>
  <c r="C77" i="80"/>
  <c r="M87" i="80"/>
  <c r="G78" i="80"/>
  <c r="K75" i="80"/>
  <c r="E87" i="80"/>
  <c r="H84" i="80"/>
  <c r="F85" i="80"/>
  <c r="L67" i="80"/>
  <c r="D86" i="80"/>
  <c r="J68" i="80"/>
  <c r="H87" i="80"/>
  <c r="K66" i="80"/>
  <c r="I85" i="80"/>
  <c r="AI6" i="94"/>
  <c r="AT6" i="94" s="1"/>
  <c r="AJ6" i="94"/>
  <c r="AU6" i="94" s="1"/>
  <c r="K84" i="80"/>
  <c r="C66" i="80"/>
  <c r="I75" i="80"/>
  <c r="G67" i="80"/>
  <c r="M76" i="80"/>
  <c r="E68" i="80"/>
  <c r="K77" i="80"/>
  <c r="C69" i="80"/>
  <c r="I78" i="80"/>
  <c r="K69" i="80"/>
  <c r="AP6" i="94"/>
  <c r="BA6" i="94" s="1"/>
  <c r="J84" i="80"/>
  <c r="D75" i="80"/>
  <c r="H67" i="80"/>
  <c r="L86" i="80"/>
  <c r="F77" i="80"/>
  <c r="J87" i="80"/>
  <c r="D78" i="80"/>
  <c r="G77" i="80"/>
  <c r="K78" i="80"/>
  <c r="G86" i="80"/>
  <c r="H66" i="80"/>
  <c r="L85" i="80"/>
  <c r="F76" i="80"/>
  <c r="J86" i="80"/>
  <c r="D77" i="80"/>
  <c r="H69" i="80"/>
  <c r="I67" i="80"/>
  <c r="AI5" i="94"/>
  <c r="AT5" i="94" s="1"/>
  <c r="E84" i="80"/>
  <c r="K87" i="80"/>
  <c r="AI7" i="94"/>
  <c r="AT7" i="94" s="1"/>
  <c r="C84" i="80"/>
  <c r="I66" i="80"/>
  <c r="G85" i="80"/>
  <c r="M67" i="80"/>
  <c r="E86" i="80"/>
  <c r="K68" i="80"/>
  <c r="C87" i="80"/>
  <c r="I69" i="80"/>
  <c r="M68" i="80"/>
  <c r="D66" i="80"/>
  <c r="H76" i="80"/>
  <c r="L77" i="80"/>
  <c r="D69" i="80"/>
  <c r="C85" i="80"/>
  <c r="C76" i="80"/>
  <c r="AO5" i="94"/>
  <c r="AZ5" i="94" s="1"/>
  <c r="D80" i="75"/>
  <c r="G80" i="75" s="1"/>
  <c r="H80" i="75" s="1"/>
  <c r="M49" i="80"/>
  <c r="C39" i="80"/>
  <c r="G56" i="80"/>
  <c r="M38" i="80"/>
  <c r="E57" i="80"/>
  <c r="K39" i="80"/>
  <c r="C58" i="80"/>
  <c r="I40" i="80"/>
  <c r="G59" i="80"/>
  <c r="M41" i="80"/>
  <c r="I56" i="80"/>
  <c r="C47" i="80"/>
  <c r="M57" i="80"/>
  <c r="G48" i="80"/>
  <c r="K58" i="80"/>
  <c r="E49" i="80"/>
  <c r="I59" i="80"/>
  <c r="C50" i="80"/>
  <c r="F56" i="80"/>
  <c r="L38" i="80"/>
  <c r="D57" i="80"/>
  <c r="J39" i="80"/>
  <c r="H58" i="80"/>
  <c r="F59" i="80"/>
  <c r="L41" i="80"/>
  <c r="AM7" i="93"/>
  <c r="AX7" i="93" s="1"/>
  <c r="AJ7" i="93"/>
  <c r="AU7" i="93" s="1"/>
  <c r="D38" i="80"/>
  <c r="H48" i="80"/>
  <c r="L49" i="80"/>
  <c r="J50" i="80"/>
  <c r="AK6" i="93"/>
  <c r="AV6" i="93" s="1"/>
  <c r="I48" i="80"/>
  <c r="K50" i="80"/>
  <c r="E38" i="80"/>
  <c r="G40" i="80"/>
  <c r="M56" i="80"/>
  <c r="G47" i="80"/>
  <c r="K57" i="80"/>
  <c r="E48" i="80"/>
  <c r="I58" i="80"/>
  <c r="C49" i="80"/>
  <c r="M59" i="80"/>
  <c r="G50" i="80"/>
  <c r="C38" i="80"/>
  <c r="I47" i="80"/>
  <c r="G39" i="80"/>
  <c r="M48" i="80"/>
  <c r="E40" i="80"/>
  <c r="K49" i="80"/>
  <c r="C41" i="80"/>
  <c r="I50" i="80"/>
  <c r="L56" i="80"/>
  <c r="F47" i="80"/>
  <c r="J57" i="80"/>
  <c r="D48" i="80"/>
  <c r="H40" i="80"/>
  <c r="L59" i="80"/>
  <c r="F50" i="80"/>
  <c r="AN6" i="93"/>
  <c r="AY6" i="93" s="1"/>
  <c r="AJ6" i="93"/>
  <c r="AU6" i="93" s="1"/>
  <c r="J38" i="80"/>
  <c r="F58" i="80"/>
  <c r="AK5" i="93"/>
  <c r="AV5" i="93" s="1"/>
  <c r="AQ6" i="93"/>
  <c r="BB6" i="93" s="1"/>
  <c r="K47" i="80"/>
  <c r="E41" i="80"/>
  <c r="G38" i="80"/>
  <c r="M47" i="80"/>
  <c r="E39" i="80"/>
  <c r="K48" i="80"/>
  <c r="C40" i="80"/>
  <c r="I49" i="80"/>
  <c r="G41" i="80"/>
  <c r="M50" i="80"/>
  <c r="D72" i="75"/>
  <c r="M80" i="75"/>
  <c r="I80" i="75"/>
  <c r="J80" i="75" s="1"/>
  <c r="L73" i="75"/>
  <c r="I73" i="75"/>
  <c r="M73" i="75"/>
  <c r="R92" i="72" l="1"/>
  <c r="R94" i="72"/>
  <c r="L80" i="75"/>
  <c r="L65" i="84"/>
  <c r="K65" i="84"/>
  <c r="J65" i="84"/>
  <c r="I65" i="84"/>
  <c r="H65" i="84"/>
  <c r="G65" i="84"/>
  <c r="F65" i="84"/>
  <c r="E65" i="84"/>
  <c r="D65" i="84"/>
  <c r="C65" i="84"/>
  <c r="B65" i="84"/>
  <c r="L54" i="84"/>
  <c r="K54" i="84"/>
  <c r="J54" i="84"/>
  <c r="I54" i="84"/>
  <c r="H54" i="84"/>
  <c r="G54" i="84"/>
  <c r="F54" i="84"/>
  <c r="E54" i="84"/>
  <c r="D54" i="84"/>
  <c r="C54" i="84"/>
  <c r="B54" i="84"/>
  <c r="L43" i="84"/>
  <c r="K43" i="84"/>
  <c r="J43" i="84"/>
  <c r="I43" i="84"/>
  <c r="H43" i="84"/>
  <c r="G43" i="84"/>
  <c r="F43" i="84"/>
  <c r="E43" i="84"/>
  <c r="D43" i="84"/>
  <c r="C43" i="84"/>
  <c r="B43" i="84"/>
  <c r="W48" i="84" s="1"/>
  <c r="M66" i="84" l="1"/>
  <c r="U76" i="84"/>
  <c r="M55" i="84"/>
  <c r="U60" i="84"/>
  <c r="U45" i="84"/>
  <c r="M44" i="84"/>
  <c r="B77" i="85"/>
  <c r="B76" i="85"/>
  <c r="L77" i="85"/>
  <c r="K77" i="85"/>
  <c r="J77" i="85"/>
  <c r="I77" i="85"/>
  <c r="H77" i="85"/>
  <c r="G77" i="85"/>
  <c r="F77" i="85"/>
  <c r="E77" i="85"/>
  <c r="D77" i="85"/>
  <c r="C77" i="85"/>
  <c r="L76" i="85"/>
  <c r="K76" i="85"/>
  <c r="J76" i="85"/>
  <c r="I76" i="85"/>
  <c r="H76" i="85"/>
  <c r="G76" i="85"/>
  <c r="F76" i="85"/>
  <c r="E76" i="85"/>
  <c r="D76" i="85"/>
  <c r="C76" i="85"/>
  <c r="L75" i="85"/>
  <c r="K75" i="85"/>
  <c r="J75" i="85"/>
  <c r="I75" i="85"/>
  <c r="H75" i="85"/>
  <c r="G75" i="85"/>
  <c r="F75" i="85"/>
  <c r="E75" i="85"/>
  <c r="D75" i="85"/>
  <c r="C75" i="85"/>
  <c r="B75" i="85"/>
  <c r="Z144" i="80"/>
  <c r="Z149" i="80"/>
  <c r="Z150" i="80"/>
  <c r="Z151" i="80"/>
  <c r="Z152" i="80"/>
  <c r="Z148" i="80"/>
  <c r="AN120" i="80"/>
  <c r="AD122" i="80"/>
  <c r="AD123" i="80"/>
  <c r="AD124" i="80"/>
  <c r="AD125" i="80"/>
  <c r="AD126" i="80"/>
  <c r="AD127" i="80"/>
  <c r="AD128" i="80"/>
  <c r="AD121" i="80"/>
  <c r="AK87" i="80"/>
  <c r="AK88" i="80"/>
  <c r="AK89" i="80"/>
  <c r="AC98" i="80"/>
  <c r="AC99" i="80"/>
  <c r="AC100" i="80"/>
  <c r="AC101" i="80"/>
  <c r="AC102" i="80"/>
  <c r="AC103" i="80"/>
  <c r="AC104" i="80"/>
  <c r="AC97" i="80"/>
  <c r="BS40" i="75"/>
  <c r="BS25" i="75"/>
  <c r="D68" i="88"/>
  <c r="D65" i="88"/>
  <c r="D62" i="88"/>
  <c r="D59" i="88"/>
  <c r="D56" i="88"/>
  <c r="D53" i="88"/>
  <c r="D50" i="88"/>
  <c r="D47" i="88"/>
  <c r="D44" i="88"/>
  <c r="A68" i="88"/>
  <c r="A65" i="88"/>
  <c r="A62" i="88"/>
  <c r="A59" i="88"/>
  <c r="A56" i="88"/>
  <c r="A53" i="88"/>
  <c r="A50" i="88"/>
  <c r="A47" i="88"/>
  <c r="A44" i="88"/>
  <c r="D41" i="88"/>
  <c r="D38" i="88"/>
  <c r="A38" i="88"/>
  <c r="A41" i="88"/>
  <c r="D35" i="88"/>
  <c r="A35" i="88"/>
  <c r="D32" i="88"/>
  <c r="A32" i="88"/>
  <c r="A33" i="88"/>
  <c r="D33" i="88"/>
  <c r="D29" i="88"/>
  <c r="A29" i="88"/>
  <c r="D26" i="88"/>
  <c r="A26" i="88"/>
  <c r="D23" i="88"/>
  <c r="A23" i="88"/>
  <c r="D20" i="88"/>
  <c r="A20" i="88"/>
  <c r="D17" i="88"/>
  <c r="A17" i="88"/>
  <c r="D14" i="88"/>
  <c r="A14" i="88"/>
  <c r="D11" i="88"/>
  <c r="A11" i="88"/>
  <c r="D8" i="88"/>
  <c r="A8" i="88"/>
  <c r="D5" i="88"/>
  <c r="A5" i="88"/>
  <c r="D70" i="88" l="1"/>
  <c r="D69" i="88"/>
  <c r="D67" i="88"/>
  <c r="D66" i="88"/>
  <c r="D64" i="88"/>
  <c r="D63" i="88"/>
  <c r="D61" i="88"/>
  <c r="D60" i="88"/>
  <c r="D58" i="88"/>
  <c r="D57" i="88"/>
  <c r="D55" i="88"/>
  <c r="D54" i="88"/>
  <c r="D52" i="88"/>
  <c r="D51" i="88"/>
  <c r="D49" i="88"/>
  <c r="D48" i="88"/>
  <c r="D46" i="88"/>
  <c r="D45" i="88"/>
  <c r="D43" i="88"/>
  <c r="D42" i="88"/>
  <c r="D40" i="88"/>
  <c r="D39" i="88"/>
  <c r="D37" i="88"/>
  <c r="D36" i="88"/>
  <c r="D34" i="88"/>
  <c r="D31" i="88"/>
  <c r="D30" i="88"/>
  <c r="D28" i="88"/>
  <c r="D27" i="88"/>
  <c r="D25" i="88"/>
  <c r="D24" i="88"/>
  <c r="D22" i="88"/>
  <c r="D21" i="88"/>
  <c r="D19" i="88"/>
  <c r="D18" i="88"/>
  <c r="D16" i="88"/>
  <c r="D15" i="88"/>
  <c r="D13" i="88"/>
  <c r="D12" i="88"/>
  <c r="D10" i="88"/>
  <c r="D9" i="88"/>
  <c r="D7" i="88"/>
  <c r="D6" i="88"/>
  <c r="A69" i="88"/>
  <c r="A70" i="88"/>
  <c r="A67" i="88"/>
  <c r="A66" i="88"/>
  <c r="A63" i="88"/>
  <c r="A64" i="88"/>
  <c r="A60" i="88"/>
  <c r="A61" i="88"/>
  <c r="A57" i="88"/>
  <c r="A58" i="88"/>
  <c r="A54" i="88"/>
  <c r="A55" i="88"/>
  <c r="A51" i="88"/>
  <c r="A52" i="88"/>
  <c r="A48" i="88"/>
  <c r="A49" i="88"/>
  <c r="A45" i="88"/>
  <c r="A46" i="88"/>
  <c r="A42" i="88"/>
  <c r="A43" i="88"/>
  <c r="A39" i="88"/>
  <c r="A40" i="88"/>
  <c r="A36" i="88"/>
  <c r="A37" i="88"/>
  <c r="A34" i="88"/>
  <c r="A30" i="88"/>
  <c r="A31" i="88"/>
  <c r="A27" i="88"/>
  <c r="A28" i="88"/>
  <c r="A24" i="88"/>
  <c r="A25" i="88"/>
  <c r="A22" i="88"/>
  <c r="A21" i="88"/>
  <c r="A18" i="88"/>
  <c r="A19" i="88"/>
  <c r="A15" i="88"/>
  <c r="A16" i="88"/>
  <c r="A12" i="88"/>
  <c r="A13" i="88"/>
  <c r="A9" i="88"/>
  <c r="A10" i="88"/>
  <c r="A6" i="88"/>
  <c r="A7" i="88"/>
  <c r="N74" i="85" l="1"/>
  <c r="M75" i="85" l="1"/>
  <c r="D79" i="85"/>
  <c r="E79" i="85"/>
  <c r="F79" i="85"/>
  <c r="G79" i="85"/>
  <c r="H79" i="85"/>
  <c r="I79" i="85"/>
  <c r="J79" i="85"/>
  <c r="K79" i="85"/>
  <c r="L79" i="85"/>
  <c r="C79" i="85"/>
  <c r="U113" i="80" l="1"/>
  <c r="L73" i="85" l="1"/>
  <c r="K73" i="85"/>
  <c r="K81" i="85" s="1"/>
  <c r="J73" i="85"/>
  <c r="J81" i="85" s="1"/>
  <c r="I73" i="85"/>
  <c r="I81" i="85" s="1"/>
  <c r="H73" i="85"/>
  <c r="H81" i="85" s="1"/>
  <c r="G73" i="85"/>
  <c r="G81" i="85" s="1"/>
  <c r="F73" i="85"/>
  <c r="F81" i="85" s="1"/>
  <c r="E73" i="85"/>
  <c r="E81" i="85" s="1"/>
  <c r="D73" i="85"/>
  <c r="D81" i="85" s="1"/>
  <c r="C73" i="85"/>
  <c r="C81" i="85" s="1"/>
  <c r="B73" i="85"/>
  <c r="B81" i="85" s="1"/>
  <c r="L72" i="85"/>
  <c r="K72" i="85"/>
  <c r="J72" i="85"/>
  <c r="I72" i="85"/>
  <c r="H72" i="85"/>
  <c r="G72" i="85"/>
  <c r="F72" i="85"/>
  <c r="E72" i="85"/>
  <c r="D72" i="85"/>
  <c r="C72" i="85"/>
  <c r="B72" i="85"/>
  <c r="M72" i="85" l="1"/>
  <c r="N72" i="85"/>
  <c r="L81" i="85"/>
  <c r="A155" i="68"/>
  <c r="A154" i="68"/>
  <c r="A153" i="68"/>
  <c r="A152" i="68"/>
  <c r="A151" i="68"/>
  <c r="A150" i="68"/>
  <c r="A140" i="68"/>
  <c r="A139" i="68"/>
  <c r="A138" i="68"/>
  <c r="A137" i="68"/>
  <c r="A136" i="68"/>
  <c r="A135" i="68"/>
  <c r="A134" i="68"/>
  <c r="A133" i="68"/>
  <c r="A126" i="68"/>
  <c r="A125" i="68"/>
  <c r="A124" i="68"/>
  <c r="A123" i="68"/>
  <c r="A122" i="68"/>
  <c r="A121" i="68"/>
  <c r="A114" i="68"/>
  <c r="A113" i="68"/>
  <c r="A112" i="68"/>
  <c r="A111" i="68"/>
  <c r="A110" i="68"/>
  <c r="A109" i="68"/>
  <c r="A108" i="68"/>
  <c r="A107" i="68"/>
  <c r="A98" i="68"/>
  <c r="A97" i="68"/>
  <c r="A96" i="68"/>
  <c r="A95" i="68"/>
  <c r="A94" i="68"/>
  <c r="A93" i="68"/>
  <c r="A92" i="68"/>
  <c r="A91" i="68"/>
  <c r="A90" i="68"/>
  <c r="A89" i="68"/>
  <c r="A88" i="68"/>
  <c r="A81" i="68"/>
  <c r="A80" i="68"/>
  <c r="A79" i="68"/>
  <c r="A78" i="68"/>
  <c r="A77" i="68"/>
  <c r="A76" i="68"/>
  <c r="A75" i="68"/>
  <c r="A74" i="68"/>
  <c r="A73" i="68"/>
  <c r="A72" i="68"/>
  <c r="A71" i="68"/>
  <c r="A70" i="68"/>
  <c r="A69" i="68"/>
  <c r="A68" i="68"/>
  <c r="A67" i="68"/>
  <c r="A66" i="68"/>
  <c r="A65" i="68"/>
  <c r="A64" i="68"/>
  <c r="A52" i="68"/>
  <c r="B52" i="68" s="1"/>
  <c r="A51" i="68"/>
  <c r="B51" i="68" s="1"/>
  <c r="A50" i="68"/>
  <c r="B50" i="68" s="1"/>
  <c r="C33" i="68"/>
  <c r="B33" i="68"/>
  <c r="A33" i="68" s="1"/>
  <c r="C32" i="68"/>
  <c r="B32" i="68"/>
  <c r="A32" i="68"/>
  <c r="C31" i="68"/>
  <c r="B31" i="68"/>
  <c r="A31" i="68" s="1"/>
  <c r="C30" i="68"/>
  <c r="B30" i="68"/>
  <c r="A30" i="68"/>
  <c r="C29" i="68"/>
  <c r="B29" i="68"/>
  <c r="A29" i="68" s="1"/>
  <c r="C28" i="68"/>
  <c r="B28" i="68"/>
  <c r="A28" i="68"/>
  <c r="C27" i="68"/>
  <c r="B27" i="68"/>
  <c r="A27" i="68" s="1"/>
  <c r="C26" i="68"/>
  <c r="B26" i="68"/>
  <c r="A26" i="68"/>
  <c r="C25" i="68"/>
  <c r="B25" i="68"/>
  <c r="A25" i="68" s="1"/>
  <c r="C24" i="68"/>
  <c r="B24" i="68"/>
  <c r="A24" i="68"/>
  <c r="C23" i="68"/>
  <c r="B23" i="68"/>
  <c r="C22" i="68"/>
  <c r="B22" i="68"/>
  <c r="A22" i="68"/>
  <c r="C21" i="68"/>
  <c r="B21" i="68"/>
  <c r="A21" i="68" s="1"/>
  <c r="C20" i="68"/>
  <c r="B20" i="68"/>
  <c r="A20" i="68"/>
  <c r="B411" i="76" s="1"/>
  <c r="C411" i="76" s="1"/>
  <c r="C19" i="68"/>
  <c r="B19" i="68"/>
  <c r="A19" i="68" s="1"/>
  <c r="C18" i="68"/>
  <c r="B18" i="68"/>
  <c r="A18" i="68"/>
  <c r="C17" i="68"/>
  <c r="B17" i="68"/>
  <c r="A17" i="68" s="1"/>
  <c r="C16" i="68"/>
  <c r="B16" i="68"/>
  <c r="A16" i="68"/>
  <c r="B327" i="76" s="1"/>
  <c r="C327" i="76" s="1"/>
  <c r="C15" i="68"/>
  <c r="B15" i="68"/>
  <c r="A15" i="68" s="1"/>
  <c r="C14" i="68"/>
  <c r="B14" i="68"/>
  <c r="A14" i="68"/>
  <c r="L7" i="68"/>
  <c r="K7" i="68"/>
  <c r="J7" i="68"/>
  <c r="I7" i="68"/>
  <c r="H7" i="68"/>
  <c r="G7" i="68"/>
  <c r="F7" i="68"/>
  <c r="E7" i="68"/>
  <c r="D7" i="68"/>
  <c r="C7" i="68"/>
  <c r="B7" i="68"/>
  <c r="L6" i="68"/>
  <c r="K6" i="68"/>
  <c r="J6" i="68"/>
  <c r="I6" i="68"/>
  <c r="H6" i="68"/>
  <c r="G6" i="68"/>
  <c r="F6" i="68"/>
  <c r="E6" i="68"/>
  <c r="D6" i="68"/>
  <c r="C6" i="68"/>
  <c r="B6" i="68"/>
  <c r="L5" i="68"/>
  <c r="K5" i="68"/>
  <c r="J5" i="68"/>
  <c r="I5" i="68"/>
  <c r="H5" i="68"/>
  <c r="G5" i="68"/>
  <c r="F5" i="68"/>
  <c r="E5" i="68"/>
  <c r="D5" i="68"/>
  <c r="C5" i="68"/>
  <c r="B5" i="68"/>
  <c r="L4" i="68"/>
  <c r="K4" i="68"/>
  <c r="J4" i="68"/>
  <c r="I4" i="68"/>
  <c r="H4" i="68"/>
  <c r="G4" i="68"/>
  <c r="F4" i="68"/>
  <c r="E4" i="68"/>
  <c r="D4" i="68"/>
  <c r="C4" i="68"/>
  <c r="B4" i="68"/>
  <c r="L3" i="68"/>
  <c r="K3" i="68"/>
  <c r="J3" i="68"/>
  <c r="I3" i="68"/>
  <c r="H3" i="68"/>
  <c r="G3" i="68"/>
  <c r="F3" i="68"/>
  <c r="E3" i="68"/>
  <c r="D3" i="68"/>
  <c r="C3" i="68"/>
  <c r="B3" i="68"/>
  <c r="L23" i="85"/>
  <c r="K23" i="85"/>
  <c r="J23" i="85"/>
  <c r="I23" i="85"/>
  <c r="H23" i="85"/>
  <c r="G23" i="85"/>
  <c r="F23" i="85"/>
  <c r="E23" i="85"/>
  <c r="E24" i="85" s="1"/>
  <c r="D23" i="85"/>
  <c r="C23" i="85"/>
  <c r="B23" i="85"/>
  <c r="L22" i="85"/>
  <c r="K22" i="85"/>
  <c r="J22" i="85"/>
  <c r="I22" i="85"/>
  <c r="H22" i="85"/>
  <c r="G22" i="85"/>
  <c r="F22" i="85"/>
  <c r="E22" i="85"/>
  <c r="D22" i="85"/>
  <c r="C22" i="85"/>
  <c r="B22" i="85"/>
  <c r="L21" i="85"/>
  <c r="K21" i="85"/>
  <c r="J21" i="85"/>
  <c r="I21" i="85"/>
  <c r="H21" i="85"/>
  <c r="G21" i="85"/>
  <c r="F21" i="85"/>
  <c r="E21" i="85"/>
  <c r="D21" i="85"/>
  <c r="C21" i="85"/>
  <c r="B21" i="85"/>
  <c r="L20" i="85"/>
  <c r="K20" i="85"/>
  <c r="J20" i="85"/>
  <c r="I20" i="85"/>
  <c r="H20" i="85"/>
  <c r="G20" i="85"/>
  <c r="F20" i="85"/>
  <c r="E20" i="85"/>
  <c r="D20" i="85"/>
  <c r="C20" i="85"/>
  <c r="B20" i="85"/>
  <c r="L19" i="85"/>
  <c r="L35" i="85" s="1"/>
  <c r="K19" i="85"/>
  <c r="K35" i="85" s="1"/>
  <c r="J19" i="85"/>
  <c r="J35" i="85" s="1"/>
  <c r="I19" i="85"/>
  <c r="I35" i="85" s="1"/>
  <c r="H19" i="85"/>
  <c r="H35" i="85" s="1"/>
  <c r="G19" i="85"/>
  <c r="G35" i="85" s="1"/>
  <c r="F19" i="85"/>
  <c r="F35" i="85" s="1"/>
  <c r="E19" i="85"/>
  <c r="E35" i="85" s="1"/>
  <c r="D19" i="85"/>
  <c r="D35" i="85" s="1"/>
  <c r="C19" i="85"/>
  <c r="C35" i="85" s="1"/>
  <c r="B19" i="85"/>
  <c r="B35" i="85" s="1"/>
  <c r="L18" i="85"/>
  <c r="L36" i="85" s="1"/>
  <c r="K18" i="85"/>
  <c r="K36" i="85" s="1"/>
  <c r="J18" i="85"/>
  <c r="J36" i="85" s="1"/>
  <c r="I18" i="85"/>
  <c r="I36" i="85" s="1"/>
  <c r="H18" i="85"/>
  <c r="H36" i="85" s="1"/>
  <c r="G18" i="85"/>
  <c r="G36" i="85" s="1"/>
  <c r="F18" i="85"/>
  <c r="F36" i="85" s="1"/>
  <c r="E18" i="85"/>
  <c r="E36" i="85" s="1"/>
  <c r="D18" i="85"/>
  <c r="D36" i="85" s="1"/>
  <c r="C18" i="85"/>
  <c r="C36" i="85" s="1"/>
  <c r="B18" i="85"/>
  <c r="B36" i="85" s="1"/>
  <c r="L17" i="85"/>
  <c r="K17" i="85"/>
  <c r="J17" i="85"/>
  <c r="I17" i="85"/>
  <c r="H17" i="85"/>
  <c r="G17" i="85"/>
  <c r="F17" i="85"/>
  <c r="E17" i="85"/>
  <c r="D17" i="85"/>
  <c r="C17" i="85"/>
  <c r="B17" i="85"/>
  <c r="L16" i="85"/>
  <c r="K16" i="85"/>
  <c r="J16" i="85"/>
  <c r="I16" i="85"/>
  <c r="H16" i="85"/>
  <c r="G16" i="85"/>
  <c r="F16" i="85"/>
  <c r="E16" i="85"/>
  <c r="D16" i="85"/>
  <c r="C16" i="85"/>
  <c r="B16" i="85"/>
  <c r="L15" i="85"/>
  <c r="K15" i="85"/>
  <c r="J15" i="85"/>
  <c r="I15" i="85"/>
  <c r="H15" i="85"/>
  <c r="G15" i="85"/>
  <c r="F15" i="85"/>
  <c r="E15" i="85"/>
  <c r="D15" i="85"/>
  <c r="C15" i="85"/>
  <c r="B15" i="85"/>
  <c r="L14" i="85"/>
  <c r="L37" i="85" s="1"/>
  <c r="K14" i="85"/>
  <c r="K37" i="85" s="1"/>
  <c r="J14" i="85"/>
  <c r="J37" i="85" s="1"/>
  <c r="I14" i="85"/>
  <c r="I37" i="85" s="1"/>
  <c r="H14" i="85"/>
  <c r="H37" i="85" s="1"/>
  <c r="G14" i="85"/>
  <c r="G37" i="85" s="1"/>
  <c r="F14" i="85"/>
  <c r="F37" i="85" s="1"/>
  <c r="E14" i="85"/>
  <c r="E37" i="85" s="1"/>
  <c r="D14" i="85"/>
  <c r="D37" i="85" s="1"/>
  <c r="C14" i="85"/>
  <c r="C37" i="85" s="1"/>
  <c r="B14" i="85"/>
  <c r="B37" i="85" s="1"/>
  <c r="L13" i="85"/>
  <c r="K13" i="85"/>
  <c r="J13" i="85"/>
  <c r="I13" i="85"/>
  <c r="H13" i="85"/>
  <c r="G13" i="85"/>
  <c r="F13" i="85"/>
  <c r="E13" i="85"/>
  <c r="D13" i="85"/>
  <c r="C13" i="85"/>
  <c r="B13" i="85"/>
  <c r="L12" i="85"/>
  <c r="K12" i="85"/>
  <c r="J12" i="85"/>
  <c r="I12" i="85"/>
  <c r="H12" i="85"/>
  <c r="G12" i="85"/>
  <c r="F12" i="85"/>
  <c r="E12" i="85"/>
  <c r="D12" i="85"/>
  <c r="C12" i="85"/>
  <c r="B12" i="85"/>
  <c r="L11" i="85"/>
  <c r="L38" i="85" s="1"/>
  <c r="K11" i="85"/>
  <c r="K38" i="85" s="1"/>
  <c r="J11" i="85"/>
  <c r="J38" i="85" s="1"/>
  <c r="I11" i="85"/>
  <c r="I38" i="85" s="1"/>
  <c r="H11" i="85"/>
  <c r="H38" i="85" s="1"/>
  <c r="G11" i="85"/>
  <c r="G38" i="85" s="1"/>
  <c r="F11" i="85"/>
  <c r="F38" i="85" s="1"/>
  <c r="E11" i="85"/>
  <c r="E38" i="85" s="1"/>
  <c r="D11" i="85"/>
  <c r="D38" i="85" s="1"/>
  <c r="C11" i="85"/>
  <c r="C38" i="85" s="1"/>
  <c r="B11" i="85"/>
  <c r="B38" i="85" s="1"/>
  <c r="L10" i="85"/>
  <c r="L39" i="85" s="1"/>
  <c r="K10" i="85"/>
  <c r="K39" i="85" s="1"/>
  <c r="J10" i="85"/>
  <c r="J39" i="85" s="1"/>
  <c r="I10" i="85"/>
  <c r="I39" i="85" s="1"/>
  <c r="H10" i="85"/>
  <c r="H39" i="85" s="1"/>
  <c r="H41" i="85" s="1"/>
  <c r="G10" i="85"/>
  <c r="G39" i="85" s="1"/>
  <c r="F10" i="85"/>
  <c r="F39" i="85" s="1"/>
  <c r="E10" i="85"/>
  <c r="E39" i="85" s="1"/>
  <c r="D10" i="85"/>
  <c r="D39" i="85" s="1"/>
  <c r="C10" i="85"/>
  <c r="C39" i="85" s="1"/>
  <c r="B10" i="85"/>
  <c r="B39" i="85" s="1"/>
  <c r="L8" i="85"/>
  <c r="K8" i="85"/>
  <c r="J8" i="85"/>
  <c r="I8" i="85"/>
  <c r="H8" i="85"/>
  <c r="G8" i="85"/>
  <c r="F8" i="85"/>
  <c r="E8" i="85"/>
  <c r="D8" i="85"/>
  <c r="C8" i="85"/>
  <c r="B8" i="85"/>
  <c r="L7" i="85"/>
  <c r="K7" i="85"/>
  <c r="J7" i="85"/>
  <c r="I7" i="85"/>
  <c r="H7" i="85"/>
  <c r="G7" i="85"/>
  <c r="F7" i="85"/>
  <c r="E7" i="85"/>
  <c r="D7" i="85"/>
  <c r="C7" i="85"/>
  <c r="B7" i="85"/>
  <c r="L6" i="85"/>
  <c r="K6" i="85"/>
  <c r="J6" i="85"/>
  <c r="I6" i="85"/>
  <c r="H6" i="85"/>
  <c r="G6" i="85"/>
  <c r="F6" i="85"/>
  <c r="E6" i="85"/>
  <c r="D6" i="85"/>
  <c r="C6" i="85"/>
  <c r="B6" i="85"/>
  <c r="L31" i="84"/>
  <c r="K31" i="84"/>
  <c r="J31" i="84"/>
  <c r="I31" i="84"/>
  <c r="H31" i="84"/>
  <c r="G31" i="84"/>
  <c r="F31" i="84"/>
  <c r="E31" i="84"/>
  <c r="D31" i="84"/>
  <c r="C31" i="84"/>
  <c r="B31" i="84"/>
  <c r="L30" i="84"/>
  <c r="K30" i="84"/>
  <c r="J30" i="84"/>
  <c r="I30" i="84"/>
  <c r="H30" i="84"/>
  <c r="G30" i="84"/>
  <c r="F30" i="84"/>
  <c r="E30" i="84"/>
  <c r="D30" i="84"/>
  <c r="C30" i="84"/>
  <c r="B30" i="84"/>
  <c r="L29" i="84"/>
  <c r="K29" i="84"/>
  <c r="J29" i="84"/>
  <c r="I29" i="84"/>
  <c r="H29" i="84"/>
  <c r="G29" i="84"/>
  <c r="F29" i="84"/>
  <c r="E29" i="84"/>
  <c r="D29" i="84"/>
  <c r="C29" i="84"/>
  <c r="B29" i="84"/>
  <c r="L28" i="84"/>
  <c r="K28" i="84"/>
  <c r="J28" i="84"/>
  <c r="I28" i="84"/>
  <c r="H28" i="84"/>
  <c r="G28" i="84"/>
  <c r="F28" i="84"/>
  <c r="E28" i="84"/>
  <c r="D28" i="84"/>
  <c r="C28" i="84"/>
  <c r="B28" i="84"/>
  <c r="L27" i="84"/>
  <c r="L67" i="84" s="1"/>
  <c r="K27" i="84"/>
  <c r="J27" i="84"/>
  <c r="J67" i="84" s="1"/>
  <c r="I27" i="84"/>
  <c r="H27" i="84"/>
  <c r="H67" i="84" s="1"/>
  <c r="G27" i="84"/>
  <c r="F27" i="84"/>
  <c r="F67" i="84" s="1"/>
  <c r="E27" i="84"/>
  <c r="D27" i="84"/>
  <c r="D67" i="84" s="1"/>
  <c r="C27" i="84"/>
  <c r="B27" i="84"/>
  <c r="B67" i="84" s="1"/>
  <c r="L26" i="84"/>
  <c r="L66" i="84" s="1"/>
  <c r="K26" i="84"/>
  <c r="K66" i="84" s="1"/>
  <c r="J26" i="84"/>
  <c r="J66" i="84" s="1"/>
  <c r="I26" i="84"/>
  <c r="I66" i="84" s="1"/>
  <c r="H26" i="84"/>
  <c r="H66" i="84" s="1"/>
  <c r="G26" i="84"/>
  <c r="G66" i="84" s="1"/>
  <c r="F26" i="84"/>
  <c r="F66" i="84" s="1"/>
  <c r="E26" i="84"/>
  <c r="E66" i="84" s="1"/>
  <c r="D26" i="84"/>
  <c r="D66" i="84" s="1"/>
  <c r="C26" i="84"/>
  <c r="C66" i="84" s="1"/>
  <c r="B26" i="84"/>
  <c r="B66" i="84" s="1"/>
  <c r="L25" i="84"/>
  <c r="K25" i="84"/>
  <c r="J25" i="84"/>
  <c r="I25" i="84"/>
  <c r="H25" i="84"/>
  <c r="G25" i="84"/>
  <c r="F25" i="84"/>
  <c r="E25" i="84"/>
  <c r="D25" i="84"/>
  <c r="C25" i="84"/>
  <c r="B25" i="84"/>
  <c r="L20" i="84"/>
  <c r="K20" i="84"/>
  <c r="J20" i="84"/>
  <c r="I20" i="84"/>
  <c r="H20" i="84"/>
  <c r="G20" i="84"/>
  <c r="F20" i="84"/>
  <c r="E20" i="84"/>
  <c r="D20" i="84"/>
  <c r="C20" i="84"/>
  <c r="B20" i="84"/>
  <c r="L19" i="84"/>
  <c r="K19" i="84"/>
  <c r="J19" i="84"/>
  <c r="I19" i="84"/>
  <c r="H19" i="84"/>
  <c r="G19" i="84"/>
  <c r="F19" i="84"/>
  <c r="E19" i="84"/>
  <c r="D19" i="84"/>
  <c r="C19" i="84"/>
  <c r="B19" i="84"/>
  <c r="L18" i="84"/>
  <c r="K18" i="84"/>
  <c r="J18" i="84"/>
  <c r="I18" i="84"/>
  <c r="H18" i="84"/>
  <c r="G18" i="84"/>
  <c r="F18" i="84"/>
  <c r="E18" i="84"/>
  <c r="D18" i="84"/>
  <c r="C18" i="84"/>
  <c r="B18" i="84"/>
  <c r="L17" i="84"/>
  <c r="K17" i="84"/>
  <c r="J17" i="84"/>
  <c r="J57" i="84" s="1"/>
  <c r="I17" i="84"/>
  <c r="H17" i="84"/>
  <c r="G17" i="84"/>
  <c r="F17" i="84"/>
  <c r="E17" i="84"/>
  <c r="D17" i="84"/>
  <c r="D57" i="84" s="1"/>
  <c r="C17" i="84"/>
  <c r="B17" i="84"/>
  <c r="L16" i="84"/>
  <c r="L56" i="84" s="1"/>
  <c r="K16" i="84"/>
  <c r="J16" i="84"/>
  <c r="J56" i="84" s="1"/>
  <c r="I16" i="84"/>
  <c r="I56" i="84" s="1"/>
  <c r="H16" i="84"/>
  <c r="G16" i="84"/>
  <c r="F16" i="84"/>
  <c r="F56" i="84" s="1"/>
  <c r="E16" i="84"/>
  <c r="D16" i="84"/>
  <c r="D56" i="84" s="1"/>
  <c r="C16" i="84"/>
  <c r="C56" i="84" s="1"/>
  <c r="B16" i="84"/>
  <c r="L15" i="84"/>
  <c r="L55" i="84" s="1"/>
  <c r="K15" i="84"/>
  <c r="K55" i="84" s="1"/>
  <c r="J15" i="84"/>
  <c r="J55" i="84" s="1"/>
  <c r="I15" i="84"/>
  <c r="I55" i="84" s="1"/>
  <c r="H15" i="84"/>
  <c r="H55" i="84" s="1"/>
  <c r="G15" i="84"/>
  <c r="G55" i="84" s="1"/>
  <c r="F15" i="84"/>
  <c r="F55" i="84" s="1"/>
  <c r="E15" i="84"/>
  <c r="E55" i="84" s="1"/>
  <c r="D15" i="84"/>
  <c r="D55" i="84" s="1"/>
  <c r="C15" i="84"/>
  <c r="C55" i="84" s="1"/>
  <c r="B15" i="84"/>
  <c r="B55" i="84" s="1"/>
  <c r="L14" i="84"/>
  <c r="K14" i="84"/>
  <c r="J14" i="84"/>
  <c r="I14" i="84"/>
  <c r="H14" i="84"/>
  <c r="G14" i="84"/>
  <c r="F14" i="84"/>
  <c r="E14" i="84"/>
  <c r="D14" i="84"/>
  <c r="C14" i="84"/>
  <c r="B14" i="84"/>
  <c r="L10" i="84"/>
  <c r="K10" i="84"/>
  <c r="J10" i="84"/>
  <c r="I10" i="84"/>
  <c r="H10" i="84"/>
  <c r="G10" i="84"/>
  <c r="F10" i="84"/>
  <c r="E10" i="84"/>
  <c r="D10" i="84"/>
  <c r="C10" i="84"/>
  <c r="B10" i="84"/>
  <c r="L9" i="84"/>
  <c r="K9" i="84"/>
  <c r="J9" i="84"/>
  <c r="I9" i="84"/>
  <c r="H9" i="84"/>
  <c r="G9" i="84"/>
  <c r="F9" i="84"/>
  <c r="E9" i="84"/>
  <c r="D9" i="84"/>
  <c r="C9" i="84"/>
  <c r="B9" i="84"/>
  <c r="L8" i="84"/>
  <c r="K8" i="84"/>
  <c r="J8" i="84"/>
  <c r="I8" i="84"/>
  <c r="H8" i="84"/>
  <c r="G8" i="84"/>
  <c r="G47" i="84" s="1"/>
  <c r="F8" i="84"/>
  <c r="E8" i="84"/>
  <c r="D8" i="84"/>
  <c r="C8" i="84"/>
  <c r="B8" i="84"/>
  <c r="L7" i="84"/>
  <c r="K7" i="84"/>
  <c r="J7" i="84"/>
  <c r="I7" i="84"/>
  <c r="H7" i="84"/>
  <c r="G7" i="84"/>
  <c r="G46" i="84" s="1"/>
  <c r="F7" i="84"/>
  <c r="E7" i="84"/>
  <c r="D7" i="84"/>
  <c r="C7" i="84"/>
  <c r="B7" i="84"/>
  <c r="L6" i="84"/>
  <c r="K6" i="84"/>
  <c r="J6" i="84"/>
  <c r="I6" i="84"/>
  <c r="H6" i="84"/>
  <c r="G6" i="84"/>
  <c r="F6" i="84"/>
  <c r="E6" i="84"/>
  <c r="D6" i="84"/>
  <c r="C6" i="84"/>
  <c r="B6" i="84"/>
  <c r="L5" i="84"/>
  <c r="L44" i="84" s="1"/>
  <c r="K5" i="84"/>
  <c r="K44" i="84" s="1"/>
  <c r="J5" i="84"/>
  <c r="J44" i="84" s="1"/>
  <c r="I5" i="84"/>
  <c r="I44" i="84" s="1"/>
  <c r="H5" i="84"/>
  <c r="H44" i="84" s="1"/>
  <c r="G5" i="84"/>
  <c r="G44" i="84" s="1"/>
  <c r="F5" i="84"/>
  <c r="F44" i="84" s="1"/>
  <c r="E5" i="84"/>
  <c r="E44" i="84" s="1"/>
  <c r="D5" i="84"/>
  <c r="D44" i="84" s="1"/>
  <c r="C5" i="84"/>
  <c r="C44" i="84" s="1"/>
  <c r="B5" i="84"/>
  <c r="B44" i="84" s="1"/>
  <c r="L4" i="84"/>
  <c r="K4" i="84"/>
  <c r="J4" i="84"/>
  <c r="I4" i="84"/>
  <c r="H4" i="84"/>
  <c r="G4" i="84"/>
  <c r="F4" i="84"/>
  <c r="E4" i="84"/>
  <c r="D4" i="84"/>
  <c r="C4" i="84"/>
  <c r="B4" i="84"/>
  <c r="N5" i="84" s="1"/>
  <c r="L29" i="82"/>
  <c r="K29" i="82"/>
  <c r="J29" i="82"/>
  <c r="I29" i="82"/>
  <c r="H29" i="82"/>
  <c r="G29" i="82"/>
  <c r="F29" i="82"/>
  <c r="E29" i="82"/>
  <c r="D29" i="82"/>
  <c r="C29" i="82"/>
  <c r="B29" i="82"/>
  <c r="L28" i="82"/>
  <c r="K28" i="82"/>
  <c r="J28" i="82"/>
  <c r="I28" i="82"/>
  <c r="H28" i="82"/>
  <c r="G28" i="82"/>
  <c r="F28" i="82"/>
  <c r="E28" i="82"/>
  <c r="D28" i="82"/>
  <c r="C28" i="82"/>
  <c r="B28" i="82"/>
  <c r="L27" i="82"/>
  <c r="K27" i="82"/>
  <c r="J27" i="82"/>
  <c r="I27" i="82"/>
  <c r="H27" i="82"/>
  <c r="G27" i="82"/>
  <c r="F27" i="82"/>
  <c r="E27" i="82"/>
  <c r="D27" i="82"/>
  <c r="C27" i="82"/>
  <c r="B27" i="82"/>
  <c r="L26" i="82"/>
  <c r="K26" i="82"/>
  <c r="J26" i="82"/>
  <c r="I26" i="82"/>
  <c r="H26" i="82"/>
  <c r="G26" i="82"/>
  <c r="F26" i="82"/>
  <c r="E26" i="82"/>
  <c r="D26" i="82"/>
  <c r="C26" i="82"/>
  <c r="B26" i="82"/>
  <c r="L25" i="82"/>
  <c r="K25" i="82"/>
  <c r="J25" i="82"/>
  <c r="I25" i="82"/>
  <c r="H25" i="82"/>
  <c r="G25" i="82"/>
  <c r="F25" i="82"/>
  <c r="E25" i="82"/>
  <c r="D25" i="82"/>
  <c r="C25" i="82"/>
  <c r="B25" i="82"/>
  <c r="L24" i="82"/>
  <c r="K24" i="82"/>
  <c r="J24" i="82"/>
  <c r="I24" i="82"/>
  <c r="H24" i="82"/>
  <c r="G24" i="82"/>
  <c r="F24" i="82"/>
  <c r="E24" i="82"/>
  <c r="D24" i="82"/>
  <c r="C24" i="82"/>
  <c r="B24" i="82"/>
  <c r="L23" i="82"/>
  <c r="K23" i="82"/>
  <c r="J23" i="82"/>
  <c r="I23" i="82"/>
  <c r="H23" i="82"/>
  <c r="G23" i="82"/>
  <c r="F23" i="82"/>
  <c r="E23" i="82"/>
  <c r="D23" i="82"/>
  <c r="C23" i="82"/>
  <c r="B23" i="82"/>
  <c r="L22" i="82"/>
  <c r="K22" i="82"/>
  <c r="J22" i="82"/>
  <c r="I22" i="82"/>
  <c r="H22" i="82"/>
  <c r="G22" i="82"/>
  <c r="F22" i="82"/>
  <c r="E22" i="82"/>
  <c r="D22" i="82"/>
  <c r="C22" i="82"/>
  <c r="B22" i="82"/>
  <c r="L21" i="82"/>
  <c r="K21" i="82"/>
  <c r="J21" i="82"/>
  <c r="I21" i="82"/>
  <c r="H21" i="82"/>
  <c r="G21" i="82"/>
  <c r="F21" i="82"/>
  <c r="E21" i="82"/>
  <c r="D21" i="82"/>
  <c r="C21" i="82"/>
  <c r="B21" i="82"/>
  <c r="L20" i="82"/>
  <c r="W30" i="82" s="1"/>
  <c r="K20" i="82"/>
  <c r="J20" i="82"/>
  <c r="I20" i="82"/>
  <c r="H20" i="82"/>
  <c r="G20" i="82"/>
  <c r="F20" i="82"/>
  <c r="E20" i="82"/>
  <c r="D20" i="82"/>
  <c r="C20" i="82"/>
  <c r="B20" i="82"/>
  <c r="W36" i="82" s="1"/>
  <c r="L14" i="82"/>
  <c r="K14" i="82"/>
  <c r="J14" i="82"/>
  <c r="I14" i="82"/>
  <c r="H14" i="82"/>
  <c r="G14" i="82"/>
  <c r="F14" i="82"/>
  <c r="E14" i="82"/>
  <c r="D14" i="82"/>
  <c r="C14" i="82"/>
  <c r="B14" i="82"/>
  <c r="L13" i="82"/>
  <c r="K13" i="82"/>
  <c r="J13" i="82"/>
  <c r="I13" i="82"/>
  <c r="H13" i="82"/>
  <c r="G13" i="82"/>
  <c r="F13" i="82"/>
  <c r="E13" i="82"/>
  <c r="D13" i="82"/>
  <c r="C13" i="82"/>
  <c r="B13" i="82"/>
  <c r="L12" i="82"/>
  <c r="K12" i="82"/>
  <c r="J12" i="82"/>
  <c r="I12" i="82"/>
  <c r="H12" i="82"/>
  <c r="G12" i="82"/>
  <c r="F12" i="82"/>
  <c r="E12" i="82"/>
  <c r="D12" i="82"/>
  <c r="C12" i="82"/>
  <c r="B12" i="82"/>
  <c r="L11" i="82"/>
  <c r="K11" i="82"/>
  <c r="J11" i="82"/>
  <c r="I11" i="82"/>
  <c r="H11" i="82"/>
  <c r="G11" i="82"/>
  <c r="F11" i="82"/>
  <c r="E11" i="82"/>
  <c r="D11" i="82"/>
  <c r="C11" i="82"/>
  <c r="B11" i="82"/>
  <c r="L10" i="82"/>
  <c r="K10" i="82"/>
  <c r="J10" i="82"/>
  <c r="I10" i="82"/>
  <c r="H10" i="82"/>
  <c r="G10" i="82"/>
  <c r="F10" i="82"/>
  <c r="E10" i="82"/>
  <c r="D10" i="82"/>
  <c r="C10" i="82"/>
  <c r="B10" i="82"/>
  <c r="L9" i="82"/>
  <c r="K9" i="82"/>
  <c r="J9" i="82"/>
  <c r="I9" i="82"/>
  <c r="H9" i="82"/>
  <c r="G9" i="82"/>
  <c r="F9" i="82"/>
  <c r="E9" i="82"/>
  <c r="D9" i="82"/>
  <c r="C9" i="82"/>
  <c r="B9" i="82"/>
  <c r="L8" i="82"/>
  <c r="K8" i="82"/>
  <c r="J8" i="82"/>
  <c r="I8" i="82"/>
  <c r="H8" i="82"/>
  <c r="G8" i="82"/>
  <c r="F8" i="82"/>
  <c r="E8" i="82"/>
  <c r="D8" i="82"/>
  <c r="C8" i="82"/>
  <c r="B8" i="82"/>
  <c r="L7" i="82"/>
  <c r="K7" i="82"/>
  <c r="J7" i="82"/>
  <c r="I7" i="82"/>
  <c r="H7" i="82"/>
  <c r="G7" i="82"/>
  <c r="F7" i="82"/>
  <c r="E7" i="82"/>
  <c r="D7" i="82"/>
  <c r="C7" i="82"/>
  <c r="B7" i="82"/>
  <c r="L6" i="82"/>
  <c r="K6" i="82"/>
  <c r="J6" i="82"/>
  <c r="I6" i="82"/>
  <c r="H6" i="82"/>
  <c r="G6" i="82"/>
  <c r="F6" i="82"/>
  <c r="E6" i="82"/>
  <c r="D6" i="82"/>
  <c r="C6" i="82"/>
  <c r="B6" i="82"/>
  <c r="L5" i="82"/>
  <c r="R30" i="82" s="1"/>
  <c r="K5" i="82"/>
  <c r="J5" i="82"/>
  <c r="I5" i="82"/>
  <c r="H5" i="82"/>
  <c r="G5" i="82"/>
  <c r="F5" i="82"/>
  <c r="E5" i="82"/>
  <c r="D5" i="82"/>
  <c r="C5" i="82"/>
  <c r="B5" i="82"/>
  <c r="R36" i="82" s="1"/>
  <c r="M248" i="80"/>
  <c r="L248" i="80"/>
  <c r="K248" i="80"/>
  <c r="J248" i="80"/>
  <c r="I248" i="80"/>
  <c r="H248" i="80"/>
  <c r="G248" i="80"/>
  <c r="F248" i="80"/>
  <c r="E248" i="80"/>
  <c r="D248" i="80"/>
  <c r="C248" i="80"/>
  <c r="B248" i="80"/>
  <c r="M247" i="80"/>
  <c r="L247" i="80"/>
  <c r="K247" i="80"/>
  <c r="J247" i="80"/>
  <c r="I247" i="80"/>
  <c r="H247" i="80"/>
  <c r="G247" i="80"/>
  <c r="F247" i="80"/>
  <c r="E247" i="80"/>
  <c r="D247" i="80"/>
  <c r="C247" i="80"/>
  <c r="B247" i="80"/>
  <c r="M246" i="80"/>
  <c r="L246" i="80"/>
  <c r="K246" i="80"/>
  <c r="J246" i="80"/>
  <c r="I246" i="80"/>
  <c r="H246" i="80"/>
  <c r="G246" i="80"/>
  <c r="F246" i="80"/>
  <c r="E246" i="80"/>
  <c r="D246" i="80"/>
  <c r="C246" i="80"/>
  <c r="B246" i="80"/>
  <c r="M245" i="80"/>
  <c r="L245" i="80"/>
  <c r="K245" i="80"/>
  <c r="J245" i="80"/>
  <c r="I245" i="80"/>
  <c r="H245" i="80"/>
  <c r="G245" i="80"/>
  <c r="F245" i="80"/>
  <c r="E245" i="80"/>
  <c r="D245" i="80"/>
  <c r="C245" i="80"/>
  <c r="B245" i="80"/>
  <c r="M244" i="80"/>
  <c r="L244" i="80"/>
  <c r="K244" i="80"/>
  <c r="J244" i="80"/>
  <c r="I244" i="80"/>
  <c r="H244" i="80"/>
  <c r="G244" i="80"/>
  <c r="F244" i="80"/>
  <c r="E244" i="80"/>
  <c r="D244" i="80"/>
  <c r="C244" i="80"/>
  <c r="B244" i="80"/>
  <c r="M243" i="80"/>
  <c r="L243" i="80"/>
  <c r="K243" i="80"/>
  <c r="J243" i="80"/>
  <c r="I243" i="80"/>
  <c r="H243" i="80"/>
  <c r="G243" i="80"/>
  <c r="F243" i="80"/>
  <c r="E243" i="80"/>
  <c r="D243" i="80"/>
  <c r="C243" i="80"/>
  <c r="B243" i="80"/>
  <c r="M242" i="80"/>
  <c r="L242" i="80"/>
  <c r="K242" i="80"/>
  <c r="J242" i="80"/>
  <c r="I242" i="80"/>
  <c r="H242" i="80"/>
  <c r="G242" i="80"/>
  <c r="F242" i="80"/>
  <c r="E242" i="80"/>
  <c r="D242" i="80"/>
  <c r="C242" i="80"/>
  <c r="M238" i="80"/>
  <c r="L238" i="80"/>
  <c r="K238" i="80"/>
  <c r="J238" i="80"/>
  <c r="I238" i="80"/>
  <c r="H238" i="80"/>
  <c r="G238" i="80"/>
  <c r="F238" i="80"/>
  <c r="E238" i="80"/>
  <c r="D238" i="80"/>
  <c r="C238" i="80"/>
  <c r="B238" i="80"/>
  <c r="M237" i="80"/>
  <c r="L237" i="80"/>
  <c r="K237" i="80"/>
  <c r="J237" i="80"/>
  <c r="I237" i="80"/>
  <c r="H237" i="80"/>
  <c r="G237" i="80"/>
  <c r="F237" i="80"/>
  <c r="E237" i="80"/>
  <c r="D237" i="80"/>
  <c r="C237" i="80"/>
  <c r="B237" i="80"/>
  <c r="M236" i="80"/>
  <c r="L236" i="80"/>
  <c r="K236" i="80"/>
  <c r="J236" i="80"/>
  <c r="I236" i="80"/>
  <c r="H236" i="80"/>
  <c r="G236" i="80"/>
  <c r="F236" i="80"/>
  <c r="E236" i="80"/>
  <c r="D236" i="80"/>
  <c r="C236" i="80"/>
  <c r="B236" i="80"/>
  <c r="M235" i="80"/>
  <c r="L235" i="80"/>
  <c r="K235" i="80"/>
  <c r="J235" i="80"/>
  <c r="I235" i="80"/>
  <c r="H235" i="80"/>
  <c r="G235" i="80"/>
  <c r="F235" i="80"/>
  <c r="E235" i="80"/>
  <c r="D235" i="80"/>
  <c r="C235" i="80"/>
  <c r="B235" i="80"/>
  <c r="M234" i="80"/>
  <c r="L234" i="80"/>
  <c r="K234" i="80"/>
  <c r="J234" i="80"/>
  <c r="I234" i="80"/>
  <c r="H234" i="80"/>
  <c r="G234" i="80"/>
  <c r="F234" i="80"/>
  <c r="E234" i="80"/>
  <c r="D234" i="80"/>
  <c r="C234" i="80"/>
  <c r="B234" i="80"/>
  <c r="M233" i="80"/>
  <c r="L233" i="80"/>
  <c r="K233" i="80"/>
  <c r="J233" i="80"/>
  <c r="I233" i="80"/>
  <c r="H233" i="80"/>
  <c r="G233" i="80"/>
  <c r="F233" i="80"/>
  <c r="E233" i="80"/>
  <c r="D233" i="80"/>
  <c r="C233" i="80"/>
  <c r="B233" i="80"/>
  <c r="M232" i="80"/>
  <c r="L232" i="80"/>
  <c r="K232" i="80"/>
  <c r="J232" i="80"/>
  <c r="I232" i="80"/>
  <c r="H232" i="80"/>
  <c r="G232" i="80"/>
  <c r="F232" i="80"/>
  <c r="E232" i="80"/>
  <c r="D232" i="80"/>
  <c r="C232" i="80"/>
  <c r="M228" i="80"/>
  <c r="L228" i="80"/>
  <c r="K228" i="80"/>
  <c r="J228" i="80"/>
  <c r="I228" i="80"/>
  <c r="H228" i="80"/>
  <c r="G228" i="80"/>
  <c r="F228" i="80"/>
  <c r="E228" i="80"/>
  <c r="D228" i="80"/>
  <c r="C228" i="80"/>
  <c r="B228" i="80"/>
  <c r="M227" i="80"/>
  <c r="L227" i="80"/>
  <c r="K227" i="80"/>
  <c r="J227" i="80"/>
  <c r="I227" i="80"/>
  <c r="H227" i="80"/>
  <c r="G227" i="80"/>
  <c r="F227" i="80"/>
  <c r="E227" i="80"/>
  <c r="D227" i="80"/>
  <c r="C227" i="80"/>
  <c r="B227" i="80"/>
  <c r="M226" i="80"/>
  <c r="L226" i="80"/>
  <c r="K226" i="80"/>
  <c r="J226" i="80"/>
  <c r="I226" i="80"/>
  <c r="H226" i="80"/>
  <c r="G226" i="80"/>
  <c r="F226" i="80"/>
  <c r="E226" i="80"/>
  <c r="D226" i="80"/>
  <c r="C226" i="80"/>
  <c r="B226" i="80"/>
  <c r="M225" i="80"/>
  <c r="L225" i="80"/>
  <c r="K225" i="80"/>
  <c r="J225" i="80"/>
  <c r="I225" i="80"/>
  <c r="H225" i="80"/>
  <c r="G225" i="80"/>
  <c r="F225" i="80"/>
  <c r="E225" i="80"/>
  <c r="D225" i="80"/>
  <c r="C225" i="80"/>
  <c r="B225" i="80"/>
  <c r="M224" i="80"/>
  <c r="L224" i="80"/>
  <c r="K224" i="80"/>
  <c r="J224" i="80"/>
  <c r="I224" i="80"/>
  <c r="H224" i="80"/>
  <c r="G224" i="80"/>
  <c r="F224" i="80"/>
  <c r="E224" i="80"/>
  <c r="D224" i="80"/>
  <c r="C224" i="80"/>
  <c r="B224" i="80"/>
  <c r="M223" i="80"/>
  <c r="L223" i="80"/>
  <c r="K223" i="80"/>
  <c r="J223" i="80"/>
  <c r="I223" i="80"/>
  <c r="H223" i="80"/>
  <c r="G223" i="80"/>
  <c r="F223" i="80"/>
  <c r="E223" i="80"/>
  <c r="D223" i="80"/>
  <c r="C223" i="80"/>
  <c r="B223" i="80"/>
  <c r="M222" i="80"/>
  <c r="L222" i="80"/>
  <c r="K222" i="80"/>
  <c r="J222" i="80"/>
  <c r="I222" i="80"/>
  <c r="H222" i="80"/>
  <c r="G222" i="80"/>
  <c r="F222" i="80"/>
  <c r="E222" i="80"/>
  <c r="D222" i="80"/>
  <c r="C222" i="80"/>
  <c r="M218" i="80"/>
  <c r="L218" i="80"/>
  <c r="K218" i="80"/>
  <c r="J218" i="80"/>
  <c r="I218" i="80"/>
  <c r="H218" i="80"/>
  <c r="G218" i="80"/>
  <c r="F218" i="80"/>
  <c r="E218" i="80"/>
  <c r="D218" i="80"/>
  <c r="C218" i="80"/>
  <c r="B218" i="80"/>
  <c r="M217" i="80"/>
  <c r="L217" i="80"/>
  <c r="K217" i="80"/>
  <c r="J217" i="80"/>
  <c r="I217" i="80"/>
  <c r="H217" i="80"/>
  <c r="G217" i="80"/>
  <c r="F217" i="80"/>
  <c r="E217" i="80"/>
  <c r="D217" i="80"/>
  <c r="C217" i="80"/>
  <c r="B217" i="80"/>
  <c r="M216" i="80"/>
  <c r="L216" i="80"/>
  <c r="K216" i="80"/>
  <c r="J216" i="80"/>
  <c r="I216" i="80"/>
  <c r="H216" i="80"/>
  <c r="G216" i="80"/>
  <c r="F216" i="80"/>
  <c r="E216" i="80"/>
  <c r="D216" i="80"/>
  <c r="C216" i="80"/>
  <c r="B216" i="80"/>
  <c r="M215" i="80"/>
  <c r="L215" i="80"/>
  <c r="K215" i="80"/>
  <c r="J215" i="80"/>
  <c r="I215" i="80"/>
  <c r="H215" i="80"/>
  <c r="G215" i="80"/>
  <c r="F215" i="80"/>
  <c r="E215" i="80"/>
  <c r="D215" i="80"/>
  <c r="C215" i="80"/>
  <c r="B215" i="80"/>
  <c r="M214" i="80"/>
  <c r="L214" i="80"/>
  <c r="K214" i="80"/>
  <c r="J214" i="80"/>
  <c r="I214" i="80"/>
  <c r="H214" i="80"/>
  <c r="G214" i="80"/>
  <c r="F214" i="80"/>
  <c r="E214" i="80"/>
  <c r="D214" i="80"/>
  <c r="C214" i="80"/>
  <c r="B214" i="80"/>
  <c r="M213" i="80"/>
  <c r="L213" i="80"/>
  <c r="K213" i="80"/>
  <c r="J213" i="80"/>
  <c r="I213" i="80"/>
  <c r="H213" i="80"/>
  <c r="G213" i="80"/>
  <c r="F213" i="80"/>
  <c r="E213" i="80"/>
  <c r="D213" i="80"/>
  <c r="C213" i="80"/>
  <c r="B213" i="80"/>
  <c r="M212" i="80"/>
  <c r="L212" i="80"/>
  <c r="K212" i="80"/>
  <c r="J212" i="80"/>
  <c r="I212" i="80"/>
  <c r="H212" i="80"/>
  <c r="G212" i="80"/>
  <c r="F212" i="80"/>
  <c r="E212" i="80"/>
  <c r="D212" i="80"/>
  <c r="C212" i="80"/>
  <c r="M208" i="80"/>
  <c r="L208" i="80"/>
  <c r="K208" i="80"/>
  <c r="J208" i="80"/>
  <c r="I208" i="80"/>
  <c r="H208" i="80"/>
  <c r="G208" i="80"/>
  <c r="F208" i="80"/>
  <c r="E208" i="80"/>
  <c r="D208" i="80"/>
  <c r="C208" i="80"/>
  <c r="B208" i="80"/>
  <c r="M207" i="80"/>
  <c r="L207" i="80"/>
  <c r="K207" i="80"/>
  <c r="J207" i="80"/>
  <c r="I207" i="80"/>
  <c r="H207" i="80"/>
  <c r="G207" i="80"/>
  <c r="F207" i="80"/>
  <c r="E207" i="80"/>
  <c r="D207" i="80"/>
  <c r="C207" i="80"/>
  <c r="B207" i="80"/>
  <c r="M206" i="80"/>
  <c r="L206" i="80"/>
  <c r="K206" i="80"/>
  <c r="J206" i="80"/>
  <c r="I206" i="80"/>
  <c r="H206" i="80"/>
  <c r="G206" i="80"/>
  <c r="F206" i="80"/>
  <c r="E206" i="80"/>
  <c r="D206" i="80"/>
  <c r="C206" i="80"/>
  <c r="B206" i="80"/>
  <c r="M205" i="80"/>
  <c r="L205" i="80"/>
  <c r="K205" i="80"/>
  <c r="J205" i="80"/>
  <c r="I205" i="80"/>
  <c r="H205" i="80"/>
  <c r="G205" i="80"/>
  <c r="F205" i="80"/>
  <c r="E205" i="80"/>
  <c r="D205" i="80"/>
  <c r="C205" i="80"/>
  <c r="B205" i="80"/>
  <c r="M204" i="80"/>
  <c r="L204" i="80"/>
  <c r="K204" i="80"/>
  <c r="J204" i="80"/>
  <c r="I204" i="80"/>
  <c r="H204" i="80"/>
  <c r="G204" i="80"/>
  <c r="F204" i="80"/>
  <c r="E204" i="80"/>
  <c r="D204" i="80"/>
  <c r="C204" i="80"/>
  <c r="B204" i="80"/>
  <c r="M203" i="80"/>
  <c r="L203" i="80"/>
  <c r="K203" i="80"/>
  <c r="J203" i="80"/>
  <c r="I203" i="80"/>
  <c r="H203" i="80"/>
  <c r="G203" i="80"/>
  <c r="F203" i="80"/>
  <c r="E203" i="80"/>
  <c r="D203" i="80"/>
  <c r="C203" i="80"/>
  <c r="B203" i="80"/>
  <c r="M202" i="80"/>
  <c r="L202" i="80"/>
  <c r="K202" i="80"/>
  <c r="J202" i="80"/>
  <c r="I202" i="80"/>
  <c r="H202" i="80"/>
  <c r="G202" i="80"/>
  <c r="F202" i="80"/>
  <c r="E202" i="80"/>
  <c r="D202" i="80"/>
  <c r="C202" i="80"/>
  <c r="M195" i="80"/>
  <c r="L195" i="80"/>
  <c r="K195" i="80"/>
  <c r="J195" i="80"/>
  <c r="I195" i="80"/>
  <c r="H195" i="80"/>
  <c r="G195" i="80"/>
  <c r="F195" i="80"/>
  <c r="E195" i="80"/>
  <c r="D195" i="80"/>
  <c r="C195" i="80"/>
  <c r="B195" i="80"/>
  <c r="M194" i="80"/>
  <c r="L194" i="80"/>
  <c r="K194" i="80"/>
  <c r="J194" i="80"/>
  <c r="I194" i="80"/>
  <c r="H194" i="80"/>
  <c r="G194" i="80"/>
  <c r="F194" i="80"/>
  <c r="E194" i="80"/>
  <c r="D194" i="80"/>
  <c r="C194" i="80"/>
  <c r="B194" i="80"/>
  <c r="M193" i="80"/>
  <c r="L193" i="80"/>
  <c r="K193" i="80"/>
  <c r="J193" i="80"/>
  <c r="I193" i="80"/>
  <c r="H193" i="80"/>
  <c r="G193" i="80"/>
  <c r="F193" i="80"/>
  <c r="E193" i="80"/>
  <c r="D193" i="80"/>
  <c r="C193" i="80"/>
  <c r="B193" i="80"/>
  <c r="M192" i="80"/>
  <c r="L192" i="80"/>
  <c r="K192" i="80"/>
  <c r="J192" i="80"/>
  <c r="I192" i="80"/>
  <c r="H192" i="80"/>
  <c r="G192" i="80"/>
  <c r="F192" i="80"/>
  <c r="E192" i="80"/>
  <c r="D192" i="80"/>
  <c r="C192" i="80"/>
  <c r="B192" i="80"/>
  <c r="M191" i="80"/>
  <c r="L191" i="80"/>
  <c r="K191" i="80"/>
  <c r="J191" i="80"/>
  <c r="I191" i="80"/>
  <c r="H191" i="80"/>
  <c r="G191" i="80"/>
  <c r="F191" i="80"/>
  <c r="E191" i="80"/>
  <c r="D191" i="80"/>
  <c r="C191" i="80"/>
  <c r="B191" i="80"/>
  <c r="M190" i="80"/>
  <c r="L190" i="80"/>
  <c r="K190" i="80"/>
  <c r="J190" i="80"/>
  <c r="I190" i="80"/>
  <c r="H190" i="80"/>
  <c r="G190" i="80"/>
  <c r="F190" i="80"/>
  <c r="E190" i="80"/>
  <c r="D190" i="80"/>
  <c r="C190" i="80"/>
  <c r="B190" i="80"/>
  <c r="M189" i="80"/>
  <c r="L189" i="80"/>
  <c r="K189" i="80"/>
  <c r="J189" i="80"/>
  <c r="I189" i="80"/>
  <c r="H189" i="80"/>
  <c r="G189" i="80"/>
  <c r="F189" i="80"/>
  <c r="E189" i="80"/>
  <c r="D189" i="80"/>
  <c r="C189" i="80"/>
  <c r="B189" i="80"/>
  <c r="M188" i="80"/>
  <c r="L188" i="80"/>
  <c r="K188" i="80"/>
  <c r="J188" i="80"/>
  <c r="I188" i="80"/>
  <c r="H188" i="80"/>
  <c r="G188" i="80"/>
  <c r="F188" i="80"/>
  <c r="E188" i="80"/>
  <c r="D188" i="80"/>
  <c r="C188" i="80"/>
  <c r="B188" i="80"/>
  <c r="M187" i="80"/>
  <c r="L187" i="80"/>
  <c r="K187" i="80"/>
  <c r="J187" i="80"/>
  <c r="I187" i="80"/>
  <c r="H187" i="80"/>
  <c r="G187" i="80"/>
  <c r="F187" i="80"/>
  <c r="E187" i="80"/>
  <c r="D187" i="80"/>
  <c r="C187" i="80"/>
  <c r="B187" i="80"/>
  <c r="M186" i="80"/>
  <c r="L186" i="80"/>
  <c r="K186" i="80"/>
  <c r="J186" i="80"/>
  <c r="I186" i="80"/>
  <c r="H186" i="80"/>
  <c r="G186" i="80"/>
  <c r="F186" i="80"/>
  <c r="E186" i="80"/>
  <c r="D186" i="80"/>
  <c r="C186" i="80"/>
  <c r="M184" i="80"/>
  <c r="L184" i="80"/>
  <c r="K184" i="80"/>
  <c r="J184" i="80"/>
  <c r="I184" i="80"/>
  <c r="H184" i="80"/>
  <c r="G184" i="80"/>
  <c r="F184" i="80"/>
  <c r="E184" i="80"/>
  <c r="D184" i="80"/>
  <c r="C184" i="80"/>
  <c r="B184" i="80"/>
  <c r="M183" i="80"/>
  <c r="L183" i="80"/>
  <c r="K183" i="80"/>
  <c r="J183" i="80"/>
  <c r="I183" i="80"/>
  <c r="H183" i="80"/>
  <c r="G183" i="80"/>
  <c r="F183" i="80"/>
  <c r="E183" i="80"/>
  <c r="D183" i="80"/>
  <c r="C183" i="80"/>
  <c r="B183" i="80"/>
  <c r="M182" i="80"/>
  <c r="L182" i="80"/>
  <c r="K182" i="80"/>
  <c r="J182" i="80"/>
  <c r="I182" i="80"/>
  <c r="H182" i="80"/>
  <c r="G182" i="80"/>
  <c r="F182" i="80"/>
  <c r="E182" i="80"/>
  <c r="D182" i="80"/>
  <c r="C182" i="80"/>
  <c r="B182" i="80"/>
  <c r="M181" i="80"/>
  <c r="L181" i="80"/>
  <c r="K181" i="80"/>
  <c r="J181" i="80"/>
  <c r="I181" i="80"/>
  <c r="H181" i="80"/>
  <c r="G181" i="80"/>
  <c r="F181" i="80"/>
  <c r="E181" i="80"/>
  <c r="D181" i="80"/>
  <c r="C181" i="80"/>
  <c r="B181" i="80"/>
  <c r="M180" i="80"/>
  <c r="L180" i="80"/>
  <c r="K180" i="80"/>
  <c r="J180" i="80"/>
  <c r="I180" i="80"/>
  <c r="H180" i="80"/>
  <c r="G180" i="80"/>
  <c r="F180" i="80"/>
  <c r="E180" i="80"/>
  <c r="D180" i="80"/>
  <c r="C180" i="80"/>
  <c r="B180" i="80"/>
  <c r="M179" i="80"/>
  <c r="L179" i="80"/>
  <c r="K179" i="80"/>
  <c r="J179" i="80"/>
  <c r="I179" i="80"/>
  <c r="H179" i="80"/>
  <c r="G179" i="80"/>
  <c r="F179" i="80"/>
  <c r="E179" i="80"/>
  <c r="D179" i="80"/>
  <c r="C179" i="80"/>
  <c r="B179" i="80"/>
  <c r="M178" i="80"/>
  <c r="L178" i="80"/>
  <c r="K178" i="80"/>
  <c r="J178" i="80"/>
  <c r="I178" i="80"/>
  <c r="H178" i="80"/>
  <c r="G178" i="80"/>
  <c r="F178" i="80"/>
  <c r="E178" i="80"/>
  <c r="D178" i="80"/>
  <c r="C178" i="80"/>
  <c r="B178" i="80"/>
  <c r="M177" i="80"/>
  <c r="L177" i="80"/>
  <c r="K177" i="80"/>
  <c r="J177" i="80"/>
  <c r="I177" i="80"/>
  <c r="H177" i="80"/>
  <c r="G177" i="80"/>
  <c r="F177" i="80"/>
  <c r="E177" i="80"/>
  <c r="D177" i="80"/>
  <c r="C177" i="80"/>
  <c r="B177" i="80"/>
  <c r="M176" i="80"/>
  <c r="L176" i="80"/>
  <c r="K176" i="80"/>
  <c r="J176" i="80"/>
  <c r="I176" i="80"/>
  <c r="H176" i="80"/>
  <c r="G176" i="80"/>
  <c r="F176" i="80"/>
  <c r="E176" i="80"/>
  <c r="D176" i="80"/>
  <c r="C176" i="80"/>
  <c r="B176" i="80"/>
  <c r="M175" i="80"/>
  <c r="L175" i="80"/>
  <c r="K175" i="80"/>
  <c r="J175" i="80"/>
  <c r="I175" i="80"/>
  <c r="H175" i="80"/>
  <c r="G175" i="80"/>
  <c r="F175" i="80"/>
  <c r="E175" i="80"/>
  <c r="D175" i="80"/>
  <c r="C175" i="80"/>
  <c r="M173" i="80"/>
  <c r="L173" i="80"/>
  <c r="K173" i="80"/>
  <c r="J173" i="80"/>
  <c r="I173" i="80"/>
  <c r="H173" i="80"/>
  <c r="G173" i="80"/>
  <c r="F173" i="80"/>
  <c r="E173" i="80"/>
  <c r="D173" i="80"/>
  <c r="C173" i="80"/>
  <c r="B173" i="80"/>
  <c r="M172" i="80"/>
  <c r="L172" i="80"/>
  <c r="K172" i="80"/>
  <c r="J172" i="80"/>
  <c r="I172" i="80"/>
  <c r="H172" i="80"/>
  <c r="G172" i="80"/>
  <c r="F172" i="80"/>
  <c r="E172" i="80"/>
  <c r="D172" i="80"/>
  <c r="C172" i="80"/>
  <c r="B172" i="80"/>
  <c r="M171" i="80"/>
  <c r="L171" i="80"/>
  <c r="K171" i="80"/>
  <c r="J171" i="80"/>
  <c r="I171" i="80"/>
  <c r="H171" i="80"/>
  <c r="G171" i="80"/>
  <c r="F171" i="80"/>
  <c r="E171" i="80"/>
  <c r="D171" i="80"/>
  <c r="C171" i="80"/>
  <c r="B171" i="80"/>
  <c r="M170" i="80"/>
  <c r="L170" i="80"/>
  <c r="K170" i="80"/>
  <c r="J170" i="80"/>
  <c r="I170" i="80"/>
  <c r="H170" i="80"/>
  <c r="G170" i="80"/>
  <c r="F170" i="80"/>
  <c r="E170" i="80"/>
  <c r="D170" i="80"/>
  <c r="C170" i="80"/>
  <c r="B170" i="80"/>
  <c r="M169" i="80"/>
  <c r="L169" i="80"/>
  <c r="K169" i="80"/>
  <c r="J169" i="80"/>
  <c r="I169" i="80"/>
  <c r="H169" i="80"/>
  <c r="G169" i="80"/>
  <c r="F169" i="80"/>
  <c r="E169" i="80"/>
  <c r="D169" i="80"/>
  <c r="C169" i="80"/>
  <c r="B169" i="80"/>
  <c r="M168" i="80"/>
  <c r="L168" i="80"/>
  <c r="K168" i="80"/>
  <c r="J168" i="80"/>
  <c r="I168" i="80"/>
  <c r="H168" i="80"/>
  <c r="G168" i="80"/>
  <c r="F168" i="80"/>
  <c r="E168" i="80"/>
  <c r="D168" i="80"/>
  <c r="C168" i="80"/>
  <c r="B168" i="80"/>
  <c r="M167" i="80"/>
  <c r="L167" i="80"/>
  <c r="K167" i="80"/>
  <c r="J167" i="80"/>
  <c r="I167" i="80"/>
  <c r="H167" i="80"/>
  <c r="G167" i="80"/>
  <c r="F167" i="80"/>
  <c r="E167" i="80"/>
  <c r="D167" i="80"/>
  <c r="C167" i="80"/>
  <c r="B167" i="80"/>
  <c r="M166" i="80"/>
  <c r="L166" i="80"/>
  <c r="K166" i="80"/>
  <c r="J166" i="80"/>
  <c r="I166" i="80"/>
  <c r="H166" i="80"/>
  <c r="G166" i="80"/>
  <c r="F166" i="80"/>
  <c r="E166" i="80"/>
  <c r="D166" i="80"/>
  <c r="C166" i="80"/>
  <c r="B166" i="80"/>
  <c r="M165" i="80"/>
  <c r="L165" i="80"/>
  <c r="K165" i="80"/>
  <c r="J165" i="80"/>
  <c r="I165" i="80"/>
  <c r="H165" i="80"/>
  <c r="G165" i="80"/>
  <c r="F165" i="80"/>
  <c r="E165" i="80"/>
  <c r="D165" i="80"/>
  <c r="C165" i="80"/>
  <c r="B165" i="80"/>
  <c r="M164" i="80"/>
  <c r="L164" i="80"/>
  <c r="K164" i="80"/>
  <c r="J164" i="80"/>
  <c r="I164" i="80"/>
  <c r="H164" i="80"/>
  <c r="G164" i="80"/>
  <c r="F164" i="80"/>
  <c r="E164" i="80"/>
  <c r="D164" i="80"/>
  <c r="C164" i="80"/>
  <c r="M162" i="80"/>
  <c r="L162" i="80"/>
  <c r="K162" i="80"/>
  <c r="J162" i="80"/>
  <c r="I162" i="80"/>
  <c r="H162" i="80"/>
  <c r="G162" i="80"/>
  <c r="F162" i="80"/>
  <c r="E162" i="80"/>
  <c r="D162" i="80"/>
  <c r="C162" i="80"/>
  <c r="B162" i="80"/>
  <c r="M161" i="80"/>
  <c r="L161" i="80"/>
  <c r="K161" i="80"/>
  <c r="J161" i="80"/>
  <c r="I161" i="80"/>
  <c r="H161" i="80"/>
  <c r="G161" i="80"/>
  <c r="F161" i="80"/>
  <c r="E161" i="80"/>
  <c r="D161" i="80"/>
  <c r="C161" i="80"/>
  <c r="B161" i="80"/>
  <c r="M160" i="80"/>
  <c r="L160" i="80"/>
  <c r="K160" i="80"/>
  <c r="J160" i="80"/>
  <c r="I160" i="80"/>
  <c r="H160" i="80"/>
  <c r="G160" i="80"/>
  <c r="F160" i="80"/>
  <c r="E160" i="80"/>
  <c r="D160" i="80"/>
  <c r="C160" i="80"/>
  <c r="B160" i="80"/>
  <c r="M159" i="80"/>
  <c r="L159" i="80"/>
  <c r="K159" i="80"/>
  <c r="J159" i="80"/>
  <c r="I159" i="80"/>
  <c r="H159" i="80"/>
  <c r="G159" i="80"/>
  <c r="F159" i="80"/>
  <c r="E159" i="80"/>
  <c r="D159" i="80"/>
  <c r="C159" i="80"/>
  <c r="B159" i="80"/>
  <c r="M158" i="80"/>
  <c r="L158" i="80"/>
  <c r="K158" i="80"/>
  <c r="J158" i="80"/>
  <c r="I158" i="80"/>
  <c r="H158" i="80"/>
  <c r="G158" i="80"/>
  <c r="F158" i="80"/>
  <c r="E158" i="80"/>
  <c r="D158" i="80"/>
  <c r="C158" i="80"/>
  <c r="B158" i="80"/>
  <c r="M157" i="80"/>
  <c r="L157" i="80"/>
  <c r="K157" i="80"/>
  <c r="J157" i="80"/>
  <c r="I157" i="80"/>
  <c r="H157" i="80"/>
  <c r="G157" i="80"/>
  <c r="F157" i="80"/>
  <c r="E157" i="80"/>
  <c r="D157" i="80"/>
  <c r="C157" i="80"/>
  <c r="B157" i="80"/>
  <c r="M156" i="80"/>
  <c r="L156" i="80"/>
  <c r="K156" i="80"/>
  <c r="J156" i="80"/>
  <c r="I156" i="80"/>
  <c r="H156" i="80"/>
  <c r="G156" i="80"/>
  <c r="F156" i="80"/>
  <c r="E156" i="80"/>
  <c r="D156" i="80"/>
  <c r="C156" i="80"/>
  <c r="B156" i="80"/>
  <c r="M155" i="80"/>
  <c r="L155" i="80"/>
  <c r="K155" i="80"/>
  <c r="J155" i="80"/>
  <c r="I155" i="80"/>
  <c r="H155" i="80"/>
  <c r="G155" i="80"/>
  <c r="F155" i="80"/>
  <c r="E155" i="80"/>
  <c r="D155" i="80"/>
  <c r="C155" i="80"/>
  <c r="B155" i="80"/>
  <c r="M154" i="80"/>
  <c r="L154" i="80"/>
  <c r="K154" i="80"/>
  <c r="J154" i="80"/>
  <c r="I154" i="80"/>
  <c r="H154" i="80"/>
  <c r="G154" i="80"/>
  <c r="F154" i="80"/>
  <c r="E154" i="80"/>
  <c r="D154" i="80"/>
  <c r="C154" i="80"/>
  <c r="B154" i="80"/>
  <c r="M153" i="80"/>
  <c r="L153" i="80"/>
  <c r="K153" i="80"/>
  <c r="J153" i="80"/>
  <c r="I153" i="80"/>
  <c r="H153" i="80"/>
  <c r="G153" i="80"/>
  <c r="F153" i="80"/>
  <c r="E153" i="80"/>
  <c r="D153" i="80"/>
  <c r="C153" i="80"/>
  <c r="M151" i="80"/>
  <c r="L151" i="80"/>
  <c r="K151" i="80"/>
  <c r="J151" i="80"/>
  <c r="I151" i="80"/>
  <c r="H151" i="80"/>
  <c r="G151" i="80"/>
  <c r="F151" i="80"/>
  <c r="E151" i="80"/>
  <c r="D151" i="80"/>
  <c r="C151" i="80"/>
  <c r="B151" i="80"/>
  <c r="M150" i="80"/>
  <c r="L150" i="80"/>
  <c r="K150" i="80"/>
  <c r="J150" i="80"/>
  <c r="I150" i="80"/>
  <c r="H150" i="80"/>
  <c r="G150" i="80"/>
  <c r="F150" i="80"/>
  <c r="E150" i="80"/>
  <c r="D150" i="80"/>
  <c r="C150" i="80"/>
  <c r="B150" i="80"/>
  <c r="M149" i="80"/>
  <c r="L149" i="80"/>
  <c r="K149" i="80"/>
  <c r="J149" i="80"/>
  <c r="I149" i="80"/>
  <c r="H149" i="80"/>
  <c r="G149" i="80"/>
  <c r="F149" i="80"/>
  <c r="E149" i="80"/>
  <c r="D149" i="80"/>
  <c r="C149" i="80"/>
  <c r="B149" i="80"/>
  <c r="M148" i="80"/>
  <c r="L148" i="80"/>
  <c r="K148" i="80"/>
  <c r="J148" i="80"/>
  <c r="I148" i="80"/>
  <c r="H148" i="80"/>
  <c r="G148" i="80"/>
  <c r="F148" i="80"/>
  <c r="E148" i="80"/>
  <c r="D148" i="80"/>
  <c r="C148" i="80"/>
  <c r="B148" i="80"/>
  <c r="M147" i="80"/>
  <c r="L147" i="80"/>
  <c r="K147" i="80"/>
  <c r="J147" i="80"/>
  <c r="I147" i="80"/>
  <c r="H147" i="80"/>
  <c r="G147" i="80"/>
  <c r="F147" i="80"/>
  <c r="E147" i="80"/>
  <c r="D147" i="80"/>
  <c r="C147" i="80"/>
  <c r="B147" i="80"/>
  <c r="M146" i="80"/>
  <c r="L146" i="80"/>
  <c r="K146" i="80"/>
  <c r="J146" i="80"/>
  <c r="I146" i="80"/>
  <c r="H146" i="80"/>
  <c r="G146" i="80"/>
  <c r="F146" i="80"/>
  <c r="E146" i="80"/>
  <c r="D146" i="80"/>
  <c r="C146" i="80"/>
  <c r="B146" i="80"/>
  <c r="M145" i="80"/>
  <c r="L145" i="80"/>
  <c r="K145" i="80"/>
  <c r="J145" i="80"/>
  <c r="I145" i="80"/>
  <c r="H145" i="80"/>
  <c r="G145" i="80"/>
  <c r="F145" i="80"/>
  <c r="E145" i="80"/>
  <c r="D145" i="80"/>
  <c r="C145" i="80"/>
  <c r="B145" i="80"/>
  <c r="M144" i="80"/>
  <c r="L144" i="80"/>
  <c r="K144" i="80"/>
  <c r="J144" i="80"/>
  <c r="I144" i="80"/>
  <c r="H144" i="80"/>
  <c r="G144" i="80"/>
  <c r="F144" i="80"/>
  <c r="E144" i="80"/>
  <c r="D144" i="80"/>
  <c r="C144" i="80"/>
  <c r="B144" i="80"/>
  <c r="M143" i="80"/>
  <c r="L143" i="80"/>
  <c r="K143" i="80"/>
  <c r="J143" i="80"/>
  <c r="I143" i="80"/>
  <c r="H143" i="80"/>
  <c r="G143" i="80"/>
  <c r="F143" i="80"/>
  <c r="E143" i="80"/>
  <c r="D143" i="80"/>
  <c r="C143" i="80"/>
  <c r="B143" i="80"/>
  <c r="M142" i="80"/>
  <c r="L142" i="80"/>
  <c r="K142" i="80"/>
  <c r="J142" i="80"/>
  <c r="I142" i="80"/>
  <c r="H142" i="80"/>
  <c r="G142" i="80"/>
  <c r="F142" i="80"/>
  <c r="E142" i="80"/>
  <c r="D142" i="80"/>
  <c r="C142" i="80"/>
  <c r="M140" i="80"/>
  <c r="L140" i="80"/>
  <c r="K140" i="80"/>
  <c r="J140" i="80"/>
  <c r="I140" i="80"/>
  <c r="H140" i="80"/>
  <c r="G140" i="80"/>
  <c r="F140" i="80"/>
  <c r="E140" i="80"/>
  <c r="D140" i="80"/>
  <c r="C140" i="80"/>
  <c r="B140" i="80"/>
  <c r="M139" i="80"/>
  <c r="L139" i="80"/>
  <c r="K139" i="80"/>
  <c r="J139" i="80"/>
  <c r="I139" i="80"/>
  <c r="H139" i="80"/>
  <c r="G139" i="80"/>
  <c r="F139" i="80"/>
  <c r="E139" i="80"/>
  <c r="D139" i="80"/>
  <c r="C139" i="80"/>
  <c r="B139" i="80"/>
  <c r="M138" i="80"/>
  <c r="L138" i="80"/>
  <c r="K138" i="80"/>
  <c r="J138" i="80"/>
  <c r="I138" i="80"/>
  <c r="H138" i="80"/>
  <c r="G138" i="80"/>
  <c r="F138" i="80"/>
  <c r="E138" i="80"/>
  <c r="D138" i="80"/>
  <c r="C138" i="80"/>
  <c r="B138" i="80"/>
  <c r="M137" i="80"/>
  <c r="L137" i="80"/>
  <c r="K137" i="80"/>
  <c r="J137" i="80"/>
  <c r="I137" i="80"/>
  <c r="H137" i="80"/>
  <c r="G137" i="80"/>
  <c r="F137" i="80"/>
  <c r="E137" i="80"/>
  <c r="D137" i="80"/>
  <c r="C137" i="80"/>
  <c r="B137" i="80"/>
  <c r="M136" i="80"/>
  <c r="L136" i="80"/>
  <c r="K136" i="80"/>
  <c r="J136" i="80"/>
  <c r="I136" i="80"/>
  <c r="H136" i="80"/>
  <c r="G136" i="80"/>
  <c r="F136" i="80"/>
  <c r="E136" i="80"/>
  <c r="D136" i="80"/>
  <c r="C136" i="80"/>
  <c r="B136" i="80"/>
  <c r="M135" i="80"/>
  <c r="L135" i="80"/>
  <c r="K135" i="80"/>
  <c r="J135" i="80"/>
  <c r="I135" i="80"/>
  <c r="H135" i="80"/>
  <c r="G135" i="80"/>
  <c r="F135" i="80"/>
  <c r="E135" i="80"/>
  <c r="D135" i="80"/>
  <c r="C135" i="80"/>
  <c r="B135" i="80"/>
  <c r="M134" i="80"/>
  <c r="L134" i="80"/>
  <c r="K134" i="80"/>
  <c r="J134" i="80"/>
  <c r="I134" i="80"/>
  <c r="H134" i="80"/>
  <c r="G134" i="80"/>
  <c r="F134" i="80"/>
  <c r="E134" i="80"/>
  <c r="D134" i="80"/>
  <c r="C134" i="80"/>
  <c r="B134" i="80"/>
  <c r="M133" i="80"/>
  <c r="L133" i="80"/>
  <c r="K133" i="80"/>
  <c r="J133" i="80"/>
  <c r="I133" i="80"/>
  <c r="H133" i="80"/>
  <c r="G133" i="80"/>
  <c r="F133" i="80"/>
  <c r="E133" i="80"/>
  <c r="D133" i="80"/>
  <c r="C133" i="80"/>
  <c r="B133" i="80"/>
  <c r="M132" i="80"/>
  <c r="L132" i="80"/>
  <c r="K132" i="80"/>
  <c r="J132" i="80"/>
  <c r="I132" i="80"/>
  <c r="H132" i="80"/>
  <c r="G132" i="80"/>
  <c r="F132" i="80"/>
  <c r="E132" i="80"/>
  <c r="D132" i="80"/>
  <c r="C132" i="80"/>
  <c r="B132" i="80"/>
  <c r="M131" i="80"/>
  <c r="L131" i="80"/>
  <c r="K131" i="80"/>
  <c r="J131" i="80"/>
  <c r="I131" i="80"/>
  <c r="H131" i="80"/>
  <c r="G131" i="80"/>
  <c r="F131" i="80"/>
  <c r="E131" i="80"/>
  <c r="D131" i="80"/>
  <c r="C131" i="80"/>
  <c r="M129" i="80"/>
  <c r="L129" i="80"/>
  <c r="K129" i="80"/>
  <c r="J129" i="80"/>
  <c r="I129" i="80"/>
  <c r="H129" i="80"/>
  <c r="G129" i="80"/>
  <c r="F129" i="80"/>
  <c r="E129" i="80"/>
  <c r="D129" i="80"/>
  <c r="C129" i="80"/>
  <c r="B129" i="80"/>
  <c r="M128" i="80"/>
  <c r="L128" i="80"/>
  <c r="K128" i="80"/>
  <c r="J128" i="80"/>
  <c r="I128" i="80"/>
  <c r="H128" i="80"/>
  <c r="G128" i="80"/>
  <c r="F128" i="80"/>
  <c r="E128" i="80"/>
  <c r="D128" i="80"/>
  <c r="C128" i="80"/>
  <c r="B128" i="80"/>
  <c r="M127" i="80"/>
  <c r="L127" i="80"/>
  <c r="K127" i="80"/>
  <c r="J127" i="80"/>
  <c r="I127" i="80"/>
  <c r="H127" i="80"/>
  <c r="G127" i="80"/>
  <c r="F127" i="80"/>
  <c r="E127" i="80"/>
  <c r="D127" i="80"/>
  <c r="C127" i="80"/>
  <c r="B127" i="80"/>
  <c r="M126" i="80"/>
  <c r="L126" i="80"/>
  <c r="K126" i="80"/>
  <c r="J126" i="80"/>
  <c r="I126" i="80"/>
  <c r="H126" i="80"/>
  <c r="G126" i="80"/>
  <c r="F126" i="80"/>
  <c r="E126" i="80"/>
  <c r="D126" i="80"/>
  <c r="C126" i="80"/>
  <c r="B126" i="80"/>
  <c r="M125" i="80"/>
  <c r="L125" i="80"/>
  <c r="K125" i="80"/>
  <c r="J125" i="80"/>
  <c r="I125" i="80"/>
  <c r="H125" i="80"/>
  <c r="G125" i="80"/>
  <c r="F125" i="80"/>
  <c r="E125" i="80"/>
  <c r="D125" i="80"/>
  <c r="C125" i="80"/>
  <c r="B125" i="80"/>
  <c r="M124" i="80"/>
  <c r="L124" i="80"/>
  <c r="K124" i="80"/>
  <c r="J124" i="80"/>
  <c r="I124" i="80"/>
  <c r="H124" i="80"/>
  <c r="G124" i="80"/>
  <c r="F124" i="80"/>
  <c r="E124" i="80"/>
  <c r="D124" i="80"/>
  <c r="C124" i="80"/>
  <c r="B124" i="80"/>
  <c r="M123" i="80"/>
  <c r="L123" i="80"/>
  <c r="K123" i="80"/>
  <c r="J123" i="80"/>
  <c r="I123" i="80"/>
  <c r="H123" i="80"/>
  <c r="G123" i="80"/>
  <c r="F123" i="80"/>
  <c r="E123" i="80"/>
  <c r="D123" i="80"/>
  <c r="C123" i="80"/>
  <c r="B123" i="80"/>
  <c r="M122" i="80"/>
  <c r="L122" i="80"/>
  <c r="K122" i="80"/>
  <c r="J122" i="80"/>
  <c r="I122" i="80"/>
  <c r="H122" i="80"/>
  <c r="G122" i="80"/>
  <c r="F122" i="80"/>
  <c r="E122" i="80"/>
  <c r="D122" i="80"/>
  <c r="C122" i="80"/>
  <c r="B122" i="80"/>
  <c r="M121" i="80"/>
  <c r="L121" i="80"/>
  <c r="K121" i="80"/>
  <c r="J121" i="80"/>
  <c r="I121" i="80"/>
  <c r="H121" i="80"/>
  <c r="G121" i="80"/>
  <c r="F121" i="80"/>
  <c r="E121" i="80"/>
  <c r="D121" i="80"/>
  <c r="C121" i="80"/>
  <c r="B121" i="80"/>
  <c r="M120" i="80"/>
  <c r="L120" i="80"/>
  <c r="K120" i="80"/>
  <c r="J120" i="80"/>
  <c r="I120" i="80"/>
  <c r="H120" i="80"/>
  <c r="G120" i="80"/>
  <c r="F120" i="80"/>
  <c r="E120" i="80"/>
  <c r="D120" i="80"/>
  <c r="C120" i="80"/>
  <c r="M118" i="80"/>
  <c r="L118" i="80"/>
  <c r="K118" i="80"/>
  <c r="J118" i="80"/>
  <c r="I118" i="80"/>
  <c r="H118" i="80"/>
  <c r="G118" i="80"/>
  <c r="F118" i="80"/>
  <c r="E118" i="80"/>
  <c r="D118" i="80"/>
  <c r="C118" i="80"/>
  <c r="B118" i="80"/>
  <c r="M117" i="80"/>
  <c r="L117" i="80"/>
  <c r="K117" i="80"/>
  <c r="J117" i="80"/>
  <c r="I117" i="80"/>
  <c r="H117" i="80"/>
  <c r="G117" i="80"/>
  <c r="F117" i="80"/>
  <c r="E117" i="80"/>
  <c r="D117" i="80"/>
  <c r="C117" i="80"/>
  <c r="B117" i="80"/>
  <c r="M116" i="80"/>
  <c r="L116" i="80"/>
  <c r="K116" i="80"/>
  <c r="J116" i="80"/>
  <c r="I116" i="80"/>
  <c r="H116" i="80"/>
  <c r="G116" i="80"/>
  <c r="F116" i="80"/>
  <c r="E116" i="80"/>
  <c r="D116" i="80"/>
  <c r="C116" i="80"/>
  <c r="B116" i="80"/>
  <c r="M115" i="80"/>
  <c r="L115" i="80"/>
  <c r="K115" i="80"/>
  <c r="J115" i="80"/>
  <c r="I115" i="80"/>
  <c r="H115" i="80"/>
  <c r="G115" i="80"/>
  <c r="F115" i="80"/>
  <c r="E115" i="80"/>
  <c r="D115" i="80"/>
  <c r="C115" i="80"/>
  <c r="B115" i="80"/>
  <c r="M114" i="80"/>
  <c r="L114" i="80"/>
  <c r="K114" i="80"/>
  <c r="J114" i="80"/>
  <c r="I114" i="80"/>
  <c r="H114" i="80"/>
  <c r="G114" i="80"/>
  <c r="F114" i="80"/>
  <c r="E114" i="80"/>
  <c r="D114" i="80"/>
  <c r="C114" i="80"/>
  <c r="B114" i="80"/>
  <c r="M113" i="80"/>
  <c r="L113" i="80"/>
  <c r="K113" i="80"/>
  <c r="J113" i="80"/>
  <c r="I113" i="80"/>
  <c r="H113" i="80"/>
  <c r="G113" i="80"/>
  <c r="F113" i="80"/>
  <c r="E113" i="80"/>
  <c r="D113" i="80"/>
  <c r="C113" i="80"/>
  <c r="B113" i="80"/>
  <c r="M112" i="80"/>
  <c r="L112" i="80"/>
  <c r="K112" i="80"/>
  <c r="J112" i="80"/>
  <c r="I112" i="80"/>
  <c r="H112" i="80"/>
  <c r="G112" i="80"/>
  <c r="F112" i="80"/>
  <c r="E112" i="80"/>
  <c r="D112" i="80"/>
  <c r="C112" i="80"/>
  <c r="B112" i="80"/>
  <c r="M111" i="80"/>
  <c r="L111" i="80"/>
  <c r="K111" i="80"/>
  <c r="J111" i="80"/>
  <c r="I111" i="80"/>
  <c r="H111" i="80"/>
  <c r="G111" i="80"/>
  <c r="F111" i="80"/>
  <c r="E111" i="80"/>
  <c r="D111" i="80"/>
  <c r="C111" i="80"/>
  <c r="B111" i="80"/>
  <c r="M110" i="80"/>
  <c r="L110" i="80"/>
  <c r="K110" i="80"/>
  <c r="J110" i="80"/>
  <c r="I110" i="80"/>
  <c r="H110" i="80"/>
  <c r="G110" i="80"/>
  <c r="F110" i="80"/>
  <c r="E110" i="80"/>
  <c r="D110" i="80"/>
  <c r="C110" i="80"/>
  <c r="B110" i="80"/>
  <c r="M109" i="80"/>
  <c r="L109" i="80"/>
  <c r="K109" i="80"/>
  <c r="J109" i="80"/>
  <c r="I109" i="80"/>
  <c r="H109" i="80"/>
  <c r="G109" i="80"/>
  <c r="F109" i="80"/>
  <c r="E109" i="80"/>
  <c r="D109" i="80"/>
  <c r="C109" i="80"/>
  <c r="M107" i="80"/>
  <c r="L107" i="80"/>
  <c r="K107" i="80"/>
  <c r="J107" i="80"/>
  <c r="I107" i="80"/>
  <c r="H107" i="80"/>
  <c r="G107" i="80"/>
  <c r="F107" i="80"/>
  <c r="E107" i="80"/>
  <c r="D107" i="80"/>
  <c r="C107" i="80"/>
  <c r="B107" i="80"/>
  <c r="M106" i="80"/>
  <c r="L106" i="80"/>
  <c r="K106" i="80"/>
  <c r="J106" i="80"/>
  <c r="I106" i="80"/>
  <c r="H106" i="80"/>
  <c r="G106" i="80"/>
  <c r="F106" i="80"/>
  <c r="E106" i="80"/>
  <c r="D106" i="80"/>
  <c r="C106" i="80"/>
  <c r="B106" i="80"/>
  <c r="M105" i="80"/>
  <c r="L105" i="80"/>
  <c r="K105" i="80"/>
  <c r="J105" i="80"/>
  <c r="I105" i="80"/>
  <c r="H105" i="80"/>
  <c r="G105" i="80"/>
  <c r="F105" i="80"/>
  <c r="E105" i="80"/>
  <c r="D105" i="80"/>
  <c r="C105" i="80"/>
  <c r="B105" i="80"/>
  <c r="M104" i="80"/>
  <c r="L104" i="80"/>
  <c r="K104" i="80"/>
  <c r="J104" i="80"/>
  <c r="I104" i="80"/>
  <c r="H104" i="80"/>
  <c r="G104" i="80"/>
  <c r="F104" i="80"/>
  <c r="E104" i="80"/>
  <c r="D104" i="80"/>
  <c r="C104" i="80"/>
  <c r="B104" i="80"/>
  <c r="M103" i="80"/>
  <c r="L103" i="80"/>
  <c r="K103" i="80"/>
  <c r="J103" i="80"/>
  <c r="I103" i="80"/>
  <c r="H103" i="80"/>
  <c r="G103" i="80"/>
  <c r="F103" i="80"/>
  <c r="E103" i="80"/>
  <c r="D103" i="80"/>
  <c r="C103" i="80"/>
  <c r="B103" i="80"/>
  <c r="M102" i="80"/>
  <c r="L102" i="80"/>
  <c r="K102" i="80"/>
  <c r="J102" i="80"/>
  <c r="I102" i="80"/>
  <c r="H102" i="80"/>
  <c r="G102" i="80"/>
  <c r="F102" i="80"/>
  <c r="E102" i="80"/>
  <c r="D102" i="80"/>
  <c r="C102" i="80"/>
  <c r="B102" i="80"/>
  <c r="M101" i="80"/>
  <c r="L101" i="80"/>
  <c r="K101" i="80"/>
  <c r="J101" i="80"/>
  <c r="I101" i="80"/>
  <c r="H101" i="80"/>
  <c r="G101" i="80"/>
  <c r="F101" i="80"/>
  <c r="E101" i="80"/>
  <c r="D101" i="80"/>
  <c r="C101" i="80"/>
  <c r="B101" i="80"/>
  <c r="M100" i="80"/>
  <c r="L100" i="80"/>
  <c r="K100" i="80"/>
  <c r="J100" i="80"/>
  <c r="I100" i="80"/>
  <c r="H100" i="80"/>
  <c r="G100" i="80"/>
  <c r="F100" i="80"/>
  <c r="E100" i="80"/>
  <c r="D100" i="80"/>
  <c r="C100" i="80"/>
  <c r="B100" i="80"/>
  <c r="M99" i="80"/>
  <c r="L99" i="80"/>
  <c r="K99" i="80"/>
  <c r="J99" i="80"/>
  <c r="I99" i="80"/>
  <c r="H99" i="80"/>
  <c r="G99" i="80"/>
  <c r="F99" i="80"/>
  <c r="E99" i="80"/>
  <c r="D99" i="80"/>
  <c r="C99" i="80"/>
  <c r="B99" i="80"/>
  <c r="M98" i="80"/>
  <c r="L98" i="80"/>
  <c r="K98" i="80"/>
  <c r="J98" i="80"/>
  <c r="I98" i="80"/>
  <c r="H98" i="80"/>
  <c r="G98" i="80"/>
  <c r="F98" i="80"/>
  <c r="E98" i="80"/>
  <c r="D98" i="80"/>
  <c r="C98" i="80"/>
  <c r="B89" i="80"/>
  <c r="B88" i="80"/>
  <c r="B87" i="80"/>
  <c r="B86" i="80"/>
  <c r="B85" i="80"/>
  <c r="B84" i="80"/>
  <c r="B83" i="80"/>
  <c r="B82" i="80"/>
  <c r="M81" i="80"/>
  <c r="L81" i="80"/>
  <c r="K81" i="80"/>
  <c r="J81" i="80"/>
  <c r="I81" i="80"/>
  <c r="H81" i="80"/>
  <c r="G81" i="80"/>
  <c r="F81" i="80"/>
  <c r="E81" i="80"/>
  <c r="D81" i="80"/>
  <c r="C81" i="80"/>
  <c r="B80" i="80"/>
  <c r="B79" i="80"/>
  <c r="B78" i="80"/>
  <c r="B77" i="80"/>
  <c r="B76" i="80"/>
  <c r="B75" i="80"/>
  <c r="B74" i="80"/>
  <c r="B73" i="80"/>
  <c r="M72" i="80"/>
  <c r="L72" i="80"/>
  <c r="K72" i="80"/>
  <c r="J72" i="80"/>
  <c r="I72" i="80"/>
  <c r="H72" i="80"/>
  <c r="G72" i="80"/>
  <c r="F72" i="80"/>
  <c r="E72" i="80"/>
  <c r="D72" i="80"/>
  <c r="C72" i="80"/>
  <c r="B71" i="80"/>
  <c r="B70" i="80"/>
  <c r="B69" i="80"/>
  <c r="B68" i="80"/>
  <c r="B67" i="80"/>
  <c r="B66" i="80"/>
  <c r="B65" i="80"/>
  <c r="B64" i="80"/>
  <c r="M63" i="80"/>
  <c r="L63" i="80"/>
  <c r="K63" i="80"/>
  <c r="J63" i="80"/>
  <c r="I63" i="80"/>
  <c r="H63" i="80"/>
  <c r="G63" i="80"/>
  <c r="F63" i="80"/>
  <c r="E63" i="80"/>
  <c r="D63" i="80"/>
  <c r="C63" i="80"/>
  <c r="B61" i="80"/>
  <c r="B60" i="80"/>
  <c r="B59" i="80"/>
  <c r="B58" i="80"/>
  <c r="B57" i="80"/>
  <c r="B56" i="80"/>
  <c r="B55" i="80"/>
  <c r="B54" i="80"/>
  <c r="M53" i="80"/>
  <c r="L53" i="80"/>
  <c r="K53" i="80"/>
  <c r="J53" i="80"/>
  <c r="I53" i="80"/>
  <c r="H53" i="80"/>
  <c r="G53" i="80"/>
  <c r="F53" i="80"/>
  <c r="E53" i="80"/>
  <c r="D53" i="80"/>
  <c r="C53" i="80"/>
  <c r="B52" i="80"/>
  <c r="B51" i="80"/>
  <c r="B50" i="80"/>
  <c r="B49" i="80"/>
  <c r="B48" i="80"/>
  <c r="B47" i="80"/>
  <c r="B46" i="80"/>
  <c r="B45" i="80"/>
  <c r="M44" i="80"/>
  <c r="L44" i="80"/>
  <c r="K44" i="80"/>
  <c r="J44" i="80"/>
  <c r="I44" i="80"/>
  <c r="H44" i="80"/>
  <c r="G44" i="80"/>
  <c r="F44" i="80"/>
  <c r="E44" i="80"/>
  <c r="D44" i="80"/>
  <c r="C44" i="80"/>
  <c r="B43" i="80"/>
  <c r="B42" i="80"/>
  <c r="B41" i="80"/>
  <c r="B40" i="80"/>
  <c r="B39" i="80"/>
  <c r="B38" i="80"/>
  <c r="B37" i="80"/>
  <c r="B36" i="80"/>
  <c r="M35" i="80"/>
  <c r="L35" i="80"/>
  <c r="K35" i="80"/>
  <c r="J35" i="80"/>
  <c r="I35" i="80"/>
  <c r="H35" i="80"/>
  <c r="G35" i="80"/>
  <c r="F35" i="80"/>
  <c r="E35" i="80"/>
  <c r="D35" i="80"/>
  <c r="C35" i="80"/>
  <c r="M33" i="80"/>
  <c r="L33" i="80"/>
  <c r="K33" i="80"/>
  <c r="J33" i="80"/>
  <c r="I33" i="80"/>
  <c r="H33" i="80"/>
  <c r="G33" i="80"/>
  <c r="F33" i="80"/>
  <c r="E33" i="80"/>
  <c r="D33" i="80"/>
  <c r="C33" i="80"/>
  <c r="B33" i="80"/>
  <c r="M32" i="80"/>
  <c r="L32" i="80"/>
  <c r="K32" i="80"/>
  <c r="J32" i="80"/>
  <c r="I32" i="80"/>
  <c r="H32" i="80"/>
  <c r="G32" i="80"/>
  <c r="F32" i="80"/>
  <c r="E32" i="80"/>
  <c r="D32" i="80"/>
  <c r="C32" i="80"/>
  <c r="B32" i="80"/>
  <c r="M31" i="80"/>
  <c r="L31" i="80"/>
  <c r="K31" i="80"/>
  <c r="J31" i="80"/>
  <c r="I31" i="80"/>
  <c r="H31" i="80"/>
  <c r="G31" i="80"/>
  <c r="F31" i="80"/>
  <c r="E31" i="80"/>
  <c r="D31" i="80"/>
  <c r="C31" i="80"/>
  <c r="B31" i="80"/>
  <c r="M30" i="80"/>
  <c r="L30" i="80"/>
  <c r="K30" i="80"/>
  <c r="J30" i="80"/>
  <c r="I30" i="80"/>
  <c r="H30" i="80"/>
  <c r="G30" i="80"/>
  <c r="F30" i="80"/>
  <c r="E30" i="80"/>
  <c r="D30" i="80"/>
  <c r="C30" i="80"/>
  <c r="B30" i="80"/>
  <c r="M29" i="80"/>
  <c r="L29" i="80"/>
  <c r="K29" i="80"/>
  <c r="J29" i="80"/>
  <c r="I29" i="80"/>
  <c r="H29" i="80"/>
  <c r="G29" i="80"/>
  <c r="F29" i="80"/>
  <c r="E29" i="80"/>
  <c r="D29" i="80"/>
  <c r="C29" i="80"/>
  <c r="B29" i="80"/>
  <c r="M28" i="80"/>
  <c r="L28" i="80"/>
  <c r="K28" i="80"/>
  <c r="J28" i="80"/>
  <c r="I28" i="80"/>
  <c r="H28" i="80"/>
  <c r="G28" i="80"/>
  <c r="F28" i="80"/>
  <c r="E28" i="80"/>
  <c r="D28" i="80"/>
  <c r="C28" i="80"/>
  <c r="B28" i="80"/>
  <c r="M27" i="80"/>
  <c r="L27" i="80"/>
  <c r="K27" i="80"/>
  <c r="J27" i="80"/>
  <c r="I27" i="80"/>
  <c r="H27" i="80"/>
  <c r="G27" i="80"/>
  <c r="F27" i="80"/>
  <c r="E27" i="80"/>
  <c r="D27" i="80"/>
  <c r="C27" i="80"/>
  <c r="B27" i="80"/>
  <c r="M26" i="80"/>
  <c r="L26" i="80"/>
  <c r="K26" i="80"/>
  <c r="J26" i="80"/>
  <c r="I26" i="80"/>
  <c r="H26" i="80"/>
  <c r="G26" i="80"/>
  <c r="F26" i="80"/>
  <c r="E26" i="80"/>
  <c r="D26" i="80"/>
  <c r="C26" i="80"/>
  <c r="B26" i="80"/>
  <c r="M25" i="80"/>
  <c r="L25" i="80"/>
  <c r="K25" i="80"/>
  <c r="J25" i="80"/>
  <c r="I25" i="80"/>
  <c r="H25" i="80"/>
  <c r="G25" i="80"/>
  <c r="F25" i="80"/>
  <c r="E25" i="80"/>
  <c r="D25" i="80"/>
  <c r="C25" i="80"/>
  <c r="M24" i="80"/>
  <c r="L24" i="80"/>
  <c r="K24" i="80"/>
  <c r="J24" i="80"/>
  <c r="I24" i="80"/>
  <c r="H24" i="80"/>
  <c r="G24" i="80"/>
  <c r="F24" i="80"/>
  <c r="E24" i="80"/>
  <c r="D24" i="80"/>
  <c r="C24" i="80"/>
  <c r="B24" i="80"/>
  <c r="M23" i="80"/>
  <c r="L23" i="80"/>
  <c r="K23" i="80"/>
  <c r="J23" i="80"/>
  <c r="I23" i="80"/>
  <c r="H23" i="80"/>
  <c r="G23" i="80"/>
  <c r="F23" i="80"/>
  <c r="E23" i="80"/>
  <c r="D23" i="80"/>
  <c r="C23" i="80"/>
  <c r="B23" i="80"/>
  <c r="M22" i="80"/>
  <c r="L22" i="80"/>
  <c r="K22" i="80"/>
  <c r="J22" i="80"/>
  <c r="I22" i="80"/>
  <c r="H22" i="80"/>
  <c r="G22" i="80"/>
  <c r="F22" i="80"/>
  <c r="E22" i="80"/>
  <c r="D22" i="80"/>
  <c r="C22" i="80"/>
  <c r="B22" i="80"/>
  <c r="M21" i="80"/>
  <c r="L21" i="80"/>
  <c r="K21" i="80"/>
  <c r="J21" i="80"/>
  <c r="I21" i="80"/>
  <c r="H21" i="80"/>
  <c r="G21" i="80"/>
  <c r="F21" i="80"/>
  <c r="E21" i="80"/>
  <c r="D21" i="80"/>
  <c r="C21" i="80"/>
  <c r="B21" i="80"/>
  <c r="M20" i="80"/>
  <c r="L20" i="80"/>
  <c r="K20" i="80"/>
  <c r="J20" i="80"/>
  <c r="I20" i="80"/>
  <c r="H20" i="80"/>
  <c r="G20" i="80"/>
  <c r="F20" i="80"/>
  <c r="E20" i="80"/>
  <c r="D20" i="80"/>
  <c r="C20" i="80"/>
  <c r="B20" i="80"/>
  <c r="M19" i="80"/>
  <c r="L19" i="80"/>
  <c r="K19" i="80"/>
  <c r="J19" i="80"/>
  <c r="I19" i="80"/>
  <c r="H19" i="80"/>
  <c r="G19" i="80"/>
  <c r="F19" i="80"/>
  <c r="E19" i="80"/>
  <c r="D19" i="80"/>
  <c r="C19" i="80"/>
  <c r="B19" i="80"/>
  <c r="M18" i="80"/>
  <c r="L18" i="80"/>
  <c r="K18" i="80"/>
  <c r="J18" i="80"/>
  <c r="I18" i="80"/>
  <c r="H18" i="80"/>
  <c r="G18" i="80"/>
  <c r="F18" i="80"/>
  <c r="E18" i="80"/>
  <c r="D18" i="80"/>
  <c r="C18" i="80"/>
  <c r="B18" i="80"/>
  <c r="M17" i="80"/>
  <c r="L17" i="80"/>
  <c r="K17" i="80"/>
  <c r="J17" i="80"/>
  <c r="I17" i="80"/>
  <c r="H17" i="80"/>
  <c r="G17" i="80"/>
  <c r="F17" i="80"/>
  <c r="E17" i="80"/>
  <c r="D17" i="80"/>
  <c r="C17" i="80"/>
  <c r="B17" i="80"/>
  <c r="M16" i="80"/>
  <c r="A12" i="80" s="1"/>
  <c r="P146" i="80" s="1"/>
  <c r="L16" i="80"/>
  <c r="A11" i="80" s="1"/>
  <c r="K16" i="80"/>
  <c r="A10" i="80" s="1"/>
  <c r="J16" i="80"/>
  <c r="A9" i="80" s="1"/>
  <c r="I16" i="80"/>
  <c r="A8" i="80" s="1"/>
  <c r="H16" i="80"/>
  <c r="A7" i="80" s="1"/>
  <c r="G16" i="80"/>
  <c r="A6" i="80" s="1"/>
  <c r="F16" i="80"/>
  <c r="A5" i="80" s="1"/>
  <c r="E16" i="80"/>
  <c r="A4" i="80" s="1"/>
  <c r="D16" i="80"/>
  <c r="A3" i="80" s="1"/>
  <c r="C16" i="80"/>
  <c r="A2" i="80" s="1"/>
  <c r="M140" i="79"/>
  <c r="N140" i="79" s="1"/>
  <c r="L140" i="79"/>
  <c r="K140" i="79"/>
  <c r="J140" i="79"/>
  <c r="I140" i="79"/>
  <c r="H140" i="79"/>
  <c r="G140" i="79"/>
  <c r="F140" i="79"/>
  <c r="E140" i="79"/>
  <c r="D140" i="79"/>
  <c r="C140" i="79"/>
  <c r="M139" i="79"/>
  <c r="L139" i="79"/>
  <c r="K139" i="79"/>
  <c r="J139" i="79"/>
  <c r="I139" i="79"/>
  <c r="H139" i="79"/>
  <c r="G139" i="79"/>
  <c r="F139" i="79"/>
  <c r="E139" i="79"/>
  <c r="D139" i="79"/>
  <c r="C139" i="79"/>
  <c r="N139" i="79" s="1"/>
  <c r="B139" i="79"/>
  <c r="M138" i="79"/>
  <c r="L138" i="79"/>
  <c r="K138" i="79"/>
  <c r="J138" i="79"/>
  <c r="I138" i="79"/>
  <c r="H138" i="79"/>
  <c r="G138" i="79"/>
  <c r="F138" i="79"/>
  <c r="E138" i="79"/>
  <c r="D138" i="79"/>
  <c r="C138" i="79"/>
  <c r="N138" i="79" s="1"/>
  <c r="B138" i="79"/>
  <c r="M137" i="79"/>
  <c r="L137" i="79"/>
  <c r="K137" i="79"/>
  <c r="J137" i="79"/>
  <c r="I137" i="79"/>
  <c r="H137" i="79"/>
  <c r="G137" i="79"/>
  <c r="F137" i="79"/>
  <c r="E137" i="79"/>
  <c r="D137" i="79"/>
  <c r="C137" i="79"/>
  <c r="B137" i="79"/>
  <c r="M136" i="79"/>
  <c r="L136" i="79"/>
  <c r="K136" i="79"/>
  <c r="J136" i="79"/>
  <c r="I136" i="79"/>
  <c r="H136" i="79"/>
  <c r="G136" i="79"/>
  <c r="F136" i="79"/>
  <c r="E136" i="79"/>
  <c r="D136" i="79"/>
  <c r="C136" i="79"/>
  <c r="N136" i="79" s="1"/>
  <c r="B136" i="79"/>
  <c r="M135" i="79"/>
  <c r="L135" i="79"/>
  <c r="K135" i="79"/>
  <c r="J135" i="79"/>
  <c r="I135" i="79"/>
  <c r="H135" i="79"/>
  <c r="G135" i="79"/>
  <c r="F135" i="79"/>
  <c r="E135" i="79"/>
  <c r="D135" i="79"/>
  <c r="C135" i="79"/>
  <c r="N135" i="79" s="1"/>
  <c r="B135" i="79"/>
  <c r="M134" i="79"/>
  <c r="L134" i="79"/>
  <c r="K134" i="79"/>
  <c r="J134" i="79"/>
  <c r="I134" i="79"/>
  <c r="H134" i="79"/>
  <c r="G134" i="79"/>
  <c r="F134" i="79"/>
  <c r="E134" i="79"/>
  <c r="D134" i="79"/>
  <c r="C134" i="79"/>
  <c r="B134" i="79"/>
  <c r="M133" i="79"/>
  <c r="L133" i="79"/>
  <c r="K133" i="79"/>
  <c r="J133" i="79"/>
  <c r="I133" i="79"/>
  <c r="H133" i="79"/>
  <c r="G133" i="79"/>
  <c r="F133" i="79"/>
  <c r="E133" i="79"/>
  <c r="D133" i="79"/>
  <c r="C133" i="79"/>
  <c r="B133" i="79"/>
  <c r="M132" i="79"/>
  <c r="L132" i="79"/>
  <c r="K132" i="79"/>
  <c r="J132" i="79"/>
  <c r="I132" i="79"/>
  <c r="H132" i="79"/>
  <c r="G132" i="79"/>
  <c r="F132" i="79"/>
  <c r="E132" i="79"/>
  <c r="D132" i="79"/>
  <c r="C132" i="79"/>
  <c r="B132" i="79"/>
  <c r="M131" i="79"/>
  <c r="L131" i="79"/>
  <c r="K131" i="79"/>
  <c r="J131" i="79"/>
  <c r="I131" i="79"/>
  <c r="H131" i="79"/>
  <c r="G131" i="79"/>
  <c r="F131" i="79"/>
  <c r="E131" i="79"/>
  <c r="D131" i="79"/>
  <c r="C131" i="79"/>
  <c r="B131" i="79"/>
  <c r="M130" i="79"/>
  <c r="L130" i="79"/>
  <c r="K130" i="79"/>
  <c r="J130" i="79"/>
  <c r="I130" i="79"/>
  <c r="H130" i="79"/>
  <c r="G130" i="79"/>
  <c r="F130" i="79"/>
  <c r="E130" i="79"/>
  <c r="D130" i="79"/>
  <c r="C130" i="79"/>
  <c r="N130" i="79" s="1"/>
  <c r="B130" i="79"/>
  <c r="M129" i="79"/>
  <c r="L129" i="79"/>
  <c r="K129" i="79"/>
  <c r="J129" i="79"/>
  <c r="I129" i="79"/>
  <c r="H129" i="79"/>
  <c r="G129" i="79"/>
  <c r="F129" i="79"/>
  <c r="E129" i="79"/>
  <c r="D129" i="79"/>
  <c r="C129" i="79"/>
  <c r="B129" i="79"/>
  <c r="M128" i="79"/>
  <c r="L128" i="79"/>
  <c r="K128" i="79"/>
  <c r="J128" i="79"/>
  <c r="I128" i="79"/>
  <c r="H128" i="79"/>
  <c r="G128" i="79"/>
  <c r="F128" i="79"/>
  <c r="E128" i="79"/>
  <c r="D128" i="79"/>
  <c r="C128" i="79"/>
  <c r="N128" i="79" s="1"/>
  <c r="B128" i="79"/>
  <c r="M127" i="79"/>
  <c r="L127" i="79"/>
  <c r="K127" i="79"/>
  <c r="J127" i="79"/>
  <c r="I127" i="79"/>
  <c r="H127" i="79"/>
  <c r="G127" i="79"/>
  <c r="F127" i="79"/>
  <c r="E127" i="79"/>
  <c r="D127" i="79"/>
  <c r="C127" i="79"/>
  <c r="N127" i="79" s="1"/>
  <c r="B127" i="79"/>
  <c r="M126" i="79"/>
  <c r="L126" i="79"/>
  <c r="K126" i="79"/>
  <c r="J126" i="79"/>
  <c r="I126" i="79"/>
  <c r="H126" i="79"/>
  <c r="G126" i="79"/>
  <c r="F126" i="79"/>
  <c r="E126" i="79"/>
  <c r="D126" i="79"/>
  <c r="C126" i="79"/>
  <c r="B126" i="79"/>
  <c r="M125" i="79"/>
  <c r="L125" i="79"/>
  <c r="K125" i="79"/>
  <c r="J125" i="79"/>
  <c r="I125" i="79"/>
  <c r="H125" i="79"/>
  <c r="G125" i="79"/>
  <c r="F125" i="79"/>
  <c r="E125" i="79"/>
  <c r="D125" i="79"/>
  <c r="C125" i="79"/>
  <c r="B125" i="79"/>
  <c r="M124" i="79"/>
  <c r="L124" i="79"/>
  <c r="K124" i="79"/>
  <c r="J124" i="79"/>
  <c r="I124" i="79"/>
  <c r="H124" i="79"/>
  <c r="G124" i="79"/>
  <c r="F124" i="79"/>
  <c r="E124" i="79"/>
  <c r="D124" i="79"/>
  <c r="C124" i="79"/>
  <c r="N124" i="79" s="1"/>
  <c r="B124" i="79"/>
  <c r="M123" i="79"/>
  <c r="L123" i="79"/>
  <c r="K123" i="79"/>
  <c r="J123" i="79"/>
  <c r="I123" i="79"/>
  <c r="H123" i="79"/>
  <c r="G123" i="79"/>
  <c r="F123" i="79"/>
  <c r="E123" i="79"/>
  <c r="D123" i="79"/>
  <c r="C123" i="79"/>
  <c r="B123" i="79"/>
  <c r="M122" i="79"/>
  <c r="L122" i="79"/>
  <c r="K122" i="79"/>
  <c r="J122" i="79"/>
  <c r="I122" i="79"/>
  <c r="H122" i="79"/>
  <c r="G122" i="79"/>
  <c r="F122" i="79"/>
  <c r="E122" i="79"/>
  <c r="D122" i="79"/>
  <c r="C122" i="79"/>
  <c r="B122" i="79"/>
  <c r="M121" i="79"/>
  <c r="L121" i="79"/>
  <c r="K121" i="79"/>
  <c r="J121" i="79"/>
  <c r="I121" i="79"/>
  <c r="H121" i="79"/>
  <c r="G121" i="79"/>
  <c r="F121" i="79"/>
  <c r="E121" i="79"/>
  <c r="D121" i="79"/>
  <c r="C121" i="79"/>
  <c r="M120" i="79"/>
  <c r="N120" i="79" s="1"/>
  <c r="L120" i="79"/>
  <c r="K120" i="79"/>
  <c r="J120" i="79"/>
  <c r="I120" i="79"/>
  <c r="H120" i="79"/>
  <c r="G120" i="79"/>
  <c r="F120" i="79"/>
  <c r="E120" i="79"/>
  <c r="D120" i="79"/>
  <c r="C120" i="79"/>
  <c r="M119" i="79"/>
  <c r="N119" i="79" s="1"/>
  <c r="L119" i="79"/>
  <c r="K119" i="79"/>
  <c r="J119" i="79"/>
  <c r="I119" i="79"/>
  <c r="H119" i="79"/>
  <c r="G119" i="79"/>
  <c r="F119" i="79"/>
  <c r="E119" i="79"/>
  <c r="D119" i="79"/>
  <c r="C119" i="79"/>
  <c r="B119" i="79"/>
  <c r="M118" i="79"/>
  <c r="N118" i="79" s="1"/>
  <c r="L118" i="79"/>
  <c r="K118" i="79"/>
  <c r="J118" i="79"/>
  <c r="I118" i="79"/>
  <c r="H118" i="79"/>
  <c r="G118" i="79"/>
  <c r="F118" i="79"/>
  <c r="E118" i="79"/>
  <c r="D118" i="79"/>
  <c r="C118" i="79"/>
  <c r="B118" i="79"/>
  <c r="M117" i="79"/>
  <c r="N117" i="79" s="1"/>
  <c r="L117" i="79"/>
  <c r="K117" i="79"/>
  <c r="J117" i="79"/>
  <c r="I117" i="79"/>
  <c r="H117" i="79"/>
  <c r="G117" i="79"/>
  <c r="F117" i="79"/>
  <c r="E117" i="79"/>
  <c r="D117" i="79"/>
  <c r="C117" i="79"/>
  <c r="B117" i="79"/>
  <c r="N116" i="79"/>
  <c r="M116" i="79"/>
  <c r="L116" i="79"/>
  <c r="K116" i="79"/>
  <c r="J116" i="79"/>
  <c r="I116" i="79"/>
  <c r="H116" i="79"/>
  <c r="G116" i="79"/>
  <c r="F116" i="79"/>
  <c r="E116" i="79"/>
  <c r="D116" i="79"/>
  <c r="C116" i="79"/>
  <c r="B116" i="79"/>
  <c r="M115" i="79"/>
  <c r="L115" i="79"/>
  <c r="K115" i="79"/>
  <c r="J115" i="79"/>
  <c r="I115" i="79"/>
  <c r="H115" i="79"/>
  <c r="G115" i="79"/>
  <c r="F115" i="79"/>
  <c r="E115" i="79"/>
  <c r="D115" i="79"/>
  <c r="C115" i="79"/>
  <c r="N115" i="79" s="1"/>
  <c r="B115" i="79"/>
  <c r="M114" i="79"/>
  <c r="L114" i="79"/>
  <c r="K114" i="79"/>
  <c r="J114" i="79"/>
  <c r="I114" i="79"/>
  <c r="H114" i="79"/>
  <c r="G114" i="79"/>
  <c r="F114" i="79"/>
  <c r="E114" i="79"/>
  <c r="D114" i="79"/>
  <c r="C114" i="79"/>
  <c r="N114" i="79" s="1"/>
  <c r="B114" i="79"/>
  <c r="M113" i="79"/>
  <c r="L113" i="79"/>
  <c r="K113" i="79"/>
  <c r="J113" i="79"/>
  <c r="I113" i="79"/>
  <c r="H113" i="79"/>
  <c r="G113" i="79"/>
  <c r="F113" i="79"/>
  <c r="E113" i="79"/>
  <c r="D113" i="79"/>
  <c r="C113" i="79"/>
  <c r="B113" i="79"/>
  <c r="M112" i="79"/>
  <c r="L112" i="79"/>
  <c r="K112" i="79"/>
  <c r="J112" i="79"/>
  <c r="I112" i="79"/>
  <c r="H112" i="79"/>
  <c r="G112" i="79"/>
  <c r="F112" i="79"/>
  <c r="E112" i="79"/>
  <c r="D112" i="79"/>
  <c r="C112" i="79"/>
  <c r="B112" i="79"/>
  <c r="M111" i="79"/>
  <c r="N111" i="79" s="1"/>
  <c r="L111" i="79"/>
  <c r="K111" i="79"/>
  <c r="J111" i="79"/>
  <c r="I111" i="79"/>
  <c r="H111" i="79"/>
  <c r="G111" i="79"/>
  <c r="F111" i="79"/>
  <c r="E111" i="79"/>
  <c r="D111" i="79"/>
  <c r="C111" i="79"/>
  <c r="B111" i="79"/>
  <c r="N110" i="79"/>
  <c r="M110" i="79"/>
  <c r="L110" i="79"/>
  <c r="K110" i="79"/>
  <c r="J110" i="79"/>
  <c r="I110" i="79"/>
  <c r="H110" i="79"/>
  <c r="G110" i="79"/>
  <c r="F110" i="79"/>
  <c r="E110" i="79"/>
  <c r="D110" i="79"/>
  <c r="C110" i="79"/>
  <c r="B110" i="79"/>
  <c r="M109" i="79"/>
  <c r="L109" i="79"/>
  <c r="K109" i="79"/>
  <c r="J109" i="79"/>
  <c r="I109" i="79"/>
  <c r="H109" i="79"/>
  <c r="G109" i="79"/>
  <c r="F109" i="79"/>
  <c r="E109" i="79"/>
  <c r="D109" i="79"/>
  <c r="C109" i="79"/>
  <c r="B109" i="79"/>
  <c r="M108" i="79"/>
  <c r="N108" i="79" s="1"/>
  <c r="L108" i="79"/>
  <c r="K108" i="79"/>
  <c r="J108" i="79"/>
  <c r="I108" i="79"/>
  <c r="H108" i="79"/>
  <c r="G108" i="79"/>
  <c r="F108" i="79"/>
  <c r="E108" i="79"/>
  <c r="D108" i="79"/>
  <c r="C108" i="79"/>
  <c r="B108" i="79"/>
  <c r="M107" i="79"/>
  <c r="N107" i="79" s="1"/>
  <c r="L107" i="79"/>
  <c r="K107" i="79"/>
  <c r="J107" i="79"/>
  <c r="I107" i="79"/>
  <c r="H107" i="79"/>
  <c r="G107" i="79"/>
  <c r="F107" i="79"/>
  <c r="E107" i="79"/>
  <c r="D107" i="79"/>
  <c r="C107" i="79"/>
  <c r="B107" i="79"/>
  <c r="M106" i="79"/>
  <c r="N106" i="79" s="1"/>
  <c r="L106" i="79"/>
  <c r="K106" i="79"/>
  <c r="J106" i="79"/>
  <c r="I106" i="79"/>
  <c r="H106" i="79"/>
  <c r="G106" i="79"/>
  <c r="F106" i="79"/>
  <c r="E106" i="79"/>
  <c r="D106" i="79"/>
  <c r="C106" i="79"/>
  <c r="B106" i="79"/>
  <c r="M105" i="79"/>
  <c r="N105" i="79" s="1"/>
  <c r="L105" i="79"/>
  <c r="K105" i="79"/>
  <c r="J105" i="79"/>
  <c r="I105" i="79"/>
  <c r="H105" i="79"/>
  <c r="G105" i="79"/>
  <c r="F105" i="79"/>
  <c r="E105" i="79"/>
  <c r="D105" i="79"/>
  <c r="C105" i="79"/>
  <c r="B105" i="79"/>
  <c r="N104" i="79"/>
  <c r="M104" i="79"/>
  <c r="L104" i="79"/>
  <c r="K104" i="79"/>
  <c r="J104" i="79"/>
  <c r="I104" i="79"/>
  <c r="H104" i="79"/>
  <c r="G104" i="79"/>
  <c r="F104" i="79"/>
  <c r="E104" i="79"/>
  <c r="D104" i="79"/>
  <c r="C104" i="79"/>
  <c r="B104" i="79"/>
  <c r="M103" i="79"/>
  <c r="L103" i="79"/>
  <c r="K103" i="79"/>
  <c r="J103" i="79"/>
  <c r="I103" i="79"/>
  <c r="H103" i="79"/>
  <c r="G103" i="79"/>
  <c r="F103" i="79"/>
  <c r="E103" i="79"/>
  <c r="D103" i="79"/>
  <c r="C103" i="79"/>
  <c r="N103" i="79" s="1"/>
  <c r="B103" i="79"/>
  <c r="M102" i="79"/>
  <c r="L102" i="79"/>
  <c r="K102" i="79"/>
  <c r="J102" i="79"/>
  <c r="I102" i="79"/>
  <c r="H102" i="79"/>
  <c r="G102" i="79"/>
  <c r="F102" i="79"/>
  <c r="E102" i="79"/>
  <c r="D102" i="79"/>
  <c r="C102" i="79"/>
  <c r="B102" i="79"/>
  <c r="M101" i="79"/>
  <c r="L101" i="79"/>
  <c r="K101" i="79"/>
  <c r="J101" i="79"/>
  <c r="I101" i="79"/>
  <c r="H101" i="79"/>
  <c r="G101" i="79"/>
  <c r="F101" i="79"/>
  <c r="E101" i="79"/>
  <c r="D101" i="79"/>
  <c r="C101" i="79"/>
  <c r="S100" i="79"/>
  <c r="M100" i="79"/>
  <c r="N100" i="79" s="1"/>
  <c r="L100" i="79"/>
  <c r="K100" i="79"/>
  <c r="J100" i="79"/>
  <c r="I100" i="79"/>
  <c r="H100" i="79"/>
  <c r="G100" i="79"/>
  <c r="F100" i="79"/>
  <c r="E100" i="79"/>
  <c r="D100" i="79"/>
  <c r="C100" i="79"/>
  <c r="M99" i="79"/>
  <c r="L99" i="79"/>
  <c r="K99" i="79"/>
  <c r="J99" i="79"/>
  <c r="I99" i="79"/>
  <c r="H99" i="79"/>
  <c r="G99" i="79"/>
  <c r="F99" i="79"/>
  <c r="E99" i="79"/>
  <c r="D99" i="79"/>
  <c r="C99" i="79"/>
  <c r="B99" i="79"/>
  <c r="M98" i="79"/>
  <c r="L98" i="79"/>
  <c r="K98" i="79"/>
  <c r="J98" i="79"/>
  <c r="I98" i="79"/>
  <c r="H98" i="79"/>
  <c r="G98" i="79"/>
  <c r="F98" i="79"/>
  <c r="E98" i="79"/>
  <c r="D98" i="79"/>
  <c r="C98" i="79"/>
  <c r="B98" i="79"/>
  <c r="M97" i="79"/>
  <c r="L97" i="79"/>
  <c r="K97" i="79"/>
  <c r="J97" i="79"/>
  <c r="I97" i="79"/>
  <c r="H97" i="79"/>
  <c r="G97" i="79"/>
  <c r="F97" i="79"/>
  <c r="E97" i="79"/>
  <c r="D97" i="79"/>
  <c r="C97" i="79"/>
  <c r="N97" i="79" s="1"/>
  <c r="B97" i="79"/>
  <c r="M96" i="79"/>
  <c r="L96" i="79"/>
  <c r="K96" i="79"/>
  <c r="J96" i="79"/>
  <c r="I96" i="79"/>
  <c r="H96" i="79"/>
  <c r="G96" i="79"/>
  <c r="F96" i="79"/>
  <c r="E96" i="79"/>
  <c r="D96" i="79"/>
  <c r="C96" i="79"/>
  <c r="B96" i="79"/>
  <c r="N95" i="79"/>
  <c r="M95" i="79"/>
  <c r="L95" i="79"/>
  <c r="K95" i="79"/>
  <c r="J95" i="79"/>
  <c r="I95" i="79"/>
  <c r="H95" i="79"/>
  <c r="G95" i="79"/>
  <c r="F95" i="79"/>
  <c r="E95" i="79"/>
  <c r="D95" i="79"/>
  <c r="C95" i="79"/>
  <c r="B95" i="79"/>
  <c r="M94" i="79"/>
  <c r="N94" i="79" s="1"/>
  <c r="L94" i="79"/>
  <c r="K94" i="79"/>
  <c r="J94" i="79"/>
  <c r="I94" i="79"/>
  <c r="H94" i="79"/>
  <c r="G94" i="79"/>
  <c r="F94" i="79"/>
  <c r="E94" i="79"/>
  <c r="D94" i="79"/>
  <c r="C94" i="79"/>
  <c r="B94" i="79"/>
  <c r="M93" i="79"/>
  <c r="N93" i="79" s="1"/>
  <c r="L93" i="79"/>
  <c r="K93" i="79"/>
  <c r="J93" i="79"/>
  <c r="I93" i="79"/>
  <c r="H93" i="79"/>
  <c r="G93" i="79"/>
  <c r="F93" i="79"/>
  <c r="E93" i="79"/>
  <c r="D93" i="79"/>
  <c r="C93" i="79"/>
  <c r="B93" i="79"/>
  <c r="M92" i="79"/>
  <c r="N92" i="79" s="1"/>
  <c r="L92" i="79"/>
  <c r="K92" i="79"/>
  <c r="J92" i="79"/>
  <c r="I92" i="79"/>
  <c r="H92" i="79"/>
  <c r="G92" i="79"/>
  <c r="F92" i="79"/>
  <c r="E92" i="79"/>
  <c r="D92" i="79"/>
  <c r="C92" i="79"/>
  <c r="B92" i="79"/>
  <c r="M91" i="79"/>
  <c r="L91" i="79"/>
  <c r="K91" i="79"/>
  <c r="J91" i="79"/>
  <c r="I91" i="79"/>
  <c r="H91" i="79"/>
  <c r="G91" i="79"/>
  <c r="F91" i="79"/>
  <c r="E91" i="79"/>
  <c r="D91" i="79"/>
  <c r="C91" i="79"/>
  <c r="N91" i="79" s="1"/>
  <c r="B91" i="79"/>
  <c r="M90" i="79"/>
  <c r="L90" i="79"/>
  <c r="K90" i="79"/>
  <c r="J90" i="79"/>
  <c r="I90" i="79"/>
  <c r="H90" i="79"/>
  <c r="G90" i="79"/>
  <c r="F90" i="79"/>
  <c r="E90" i="79"/>
  <c r="D90" i="79"/>
  <c r="C90" i="79"/>
  <c r="B90" i="79"/>
  <c r="N89" i="79"/>
  <c r="M89" i="79"/>
  <c r="L89" i="79"/>
  <c r="K89" i="79"/>
  <c r="J89" i="79"/>
  <c r="I89" i="79"/>
  <c r="H89" i="79"/>
  <c r="G89" i="79"/>
  <c r="F89" i="79"/>
  <c r="E89" i="79"/>
  <c r="D89" i="79"/>
  <c r="C89" i="79"/>
  <c r="B89" i="79"/>
  <c r="M88" i="79"/>
  <c r="L88" i="79"/>
  <c r="K88" i="79"/>
  <c r="J88" i="79"/>
  <c r="I88" i="79"/>
  <c r="H88" i="79"/>
  <c r="G88" i="79"/>
  <c r="F88" i="79"/>
  <c r="E88" i="79"/>
  <c r="D88" i="79"/>
  <c r="C88" i="79"/>
  <c r="B88" i="79"/>
  <c r="M87" i="79"/>
  <c r="L87" i="79"/>
  <c r="K87" i="79"/>
  <c r="J87" i="79"/>
  <c r="I87" i="79"/>
  <c r="H87" i="79"/>
  <c r="G87" i="79"/>
  <c r="F87" i="79"/>
  <c r="E87" i="79"/>
  <c r="D87" i="79"/>
  <c r="C87" i="79"/>
  <c r="B87" i="79"/>
  <c r="M86" i="79"/>
  <c r="N86" i="79" s="1"/>
  <c r="L86" i="79"/>
  <c r="K86" i="79"/>
  <c r="J86" i="79"/>
  <c r="I86" i="79"/>
  <c r="H86" i="79"/>
  <c r="G86" i="79"/>
  <c r="F86" i="79"/>
  <c r="E86" i="79"/>
  <c r="D86" i="79"/>
  <c r="C86" i="79"/>
  <c r="B86" i="79"/>
  <c r="M85" i="79"/>
  <c r="N85" i="79" s="1"/>
  <c r="L85" i="79"/>
  <c r="K85" i="79"/>
  <c r="J85" i="79"/>
  <c r="I85" i="79"/>
  <c r="H85" i="79"/>
  <c r="G85" i="79"/>
  <c r="F85" i="79"/>
  <c r="E85" i="79"/>
  <c r="D85" i="79"/>
  <c r="C85" i="79"/>
  <c r="B85" i="79"/>
  <c r="M84" i="79"/>
  <c r="N84" i="79" s="1"/>
  <c r="L84" i="79"/>
  <c r="K84" i="79"/>
  <c r="J84" i="79"/>
  <c r="I84" i="79"/>
  <c r="H84" i="79"/>
  <c r="G84" i="79"/>
  <c r="F84" i="79"/>
  <c r="E84" i="79"/>
  <c r="D84" i="79"/>
  <c r="C84" i="79"/>
  <c r="B84" i="79"/>
  <c r="N83" i="79"/>
  <c r="M83" i="79"/>
  <c r="L83" i="79"/>
  <c r="K83" i="79"/>
  <c r="J83" i="79"/>
  <c r="I83" i="79"/>
  <c r="H83" i="79"/>
  <c r="G83" i="79"/>
  <c r="F83" i="79"/>
  <c r="E83" i="79"/>
  <c r="D83" i="79"/>
  <c r="C83" i="79"/>
  <c r="B83" i="79"/>
  <c r="M82" i="79"/>
  <c r="L82" i="79"/>
  <c r="K82" i="79"/>
  <c r="J82" i="79"/>
  <c r="I82" i="79"/>
  <c r="H82" i="79"/>
  <c r="G82" i="79"/>
  <c r="F82" i="79"/>
  <c r="E82" i="79"/>
  <c r="D82" i="79"/>
  <c r="C82" i="79"/>
  <c r="B82" i="79"/>
  <c r="M81" i="79"/>
  <c r="L81" i="79"/>
  <c r="K81" i="79"/>
  <c r="J81" i="79"/>
  <c r="I81" i="79"/>
  <c r="H81" i="79"/>
  <c r="G81" i="79"/>
  <c r="F81" i="79"/>
  <c r="E81" i="79"/>
  <c r="D81" i="79"/>
  <c r="C81" i="79"/>
  <c r="M80" i="79"/>
  <c r="L80" i="79"/>
  <c r="K80" i="79"/>
  <c r="J80" i="79"/>
  <c r="I80" i="79"/>
  <c r="H80" i="79"/>
  <c r="G80" i="79"/>
  <c r="F80" i="79"/>
  <c r="E80" i="79"/>
  <c r="D80" i="79"/>
  <c r="C80" i="79"/>
  <c r="N80" i="79" s="1"/>
  <c r="M79" i="79"/>
  <c r="L79" i="79"/>
  <c r="K79" i="79"/>
  <c r="J79" i="79"/>
  <c r="I79" i="79"/>
  <c r="H79" i="79"/>
  <c r="G79" i="79"/>
  <c r="F79" i="79"/>
  <c r="E79" i="79"/>
  <c r="D79" i="79"/>
  <c r="C79" i="79"/>
  <c r="N79" i="79" s="1"/>
  <c r="B79" i="79"/>
  <c r="M78" i="79"/>
  <c r="L78" i="79"/>
  <c r="K78" i="79"/>
  <c r="J78" i="79"/>
  <c r="I78" i="79"/>
  <c r="H78" i="79"/>
  <c r="G78" i="79"/>
  <c r="F78" i="79"/>
  <c r="E78" i="79"/>
  <c r="D78" i="79"/>
  <c r="C78" i="79"/>
  <c r="N78" i="79" s="1"/>
  <c r="B78" i="79"/>
  <c r="M77" i="79"/>
  <c r="L77" i="79"/>
  <c r="K77" i="79"/>
  <c r="J77" i="79"/>
  <c r="I77" i="79"/>
  <c r="H77" i="79"/>
  <c r="G77" i="79"/>
  <c r="F77" i="79"/>
  <c r="E77" i="79"/>
  <c r="D77" i="79"/>
  <c r="C77" i="79"/>
  <c r="N77" i="79" s="1"/>
  <c r="B77" i="79"/>
  <c r="M76" i="79"/>
  <c r="L76" i="79"/>
  <c r="K76" i="79"/>
  <c r="J76" i="79"/>
  <c r="I76" i="79"/>
  <c r="H76" i="79"/>
  <c r="G76" i="79"/>
  <c r="F76" i="79"/>
  <c r="E76" i="79"/>
  <c r="D76" i="79"/>
  <c r="C76" i="79"/>
  <c r="N76" i="79" s="1"/>
  <c r="B76" i="79"/>
  <c r="M75" i="79"/>
  <c r="L75" i="79"/>
  <c r="K75" i="79"/>
  <c r="J75" i="79"/>
  <c r="I75" i="79"/>
  <c r="H75" i="79"/>
  <c r="G75" i="79"/>
  <c r="F75" i="79"/>
  <c r="E75" i="79"/>
  <c r="D75" i="79"/>
  <c r="C75" i="79"/>
  <c r="B75" i="79"/>
  <c r="N74" i="79"/>
  <c r="M74" i="79"/>
  <c r="L74" i="79"/>
  <c r="K74" i="79"/>
  <c r="J74" i="79"/>
  <c r="I74" i="79"/>
  <c r="H74" i="79"/>
  <c r="G74" i="79"/>
  <c r="F74" i="79"/>
  <c r="E74" i="79"/>
  <c r="D74" i="79"/>
  <c r="C74" i="79"/>
  <c r="B74" i="79"/>
  <c r="M73" i="79"/>
  <c r="L73" i="79"/>
  <c r="K73" i="79"/>
  <c r="J73" i="79"/>
  <c r="I73" i="79"/>
  <c r="H73" i="79"/>
  <c r="G73" i="79"/>
  <c r="F73" i="79"/>
  <c r="E73" i="79"/>
  <c r="D73" i="79"/>
  <c r="C73" i="79"/>
  <c r="N73" i="79" s="1"/>
  <c r="B73" i="79"/>
  <c r="M72" i="79"/>
  <c r="L72" i="79"/>
  <c r="K72" i="79"/>
  <c r="J72" i="79"/>
  <c r="I72" i="79"/>
  <c r="H72" i="79"/>
  <c r="G72" i="79"/>
  <c r="F72" i="79"/>
  <c r="E72" i="79"/>
  <c r="D72" i="79"/>
  <c r="C72" i="79"/>
  <c r="B72" i="79"/>
  <c r="N71" i="79"/>
  <c r="M71" i="79"/>
  <c r="L71" i="79"/>
  <c r="K71" i="79"/>
  <c r="J71" i="79"/>
  <c r="I71" i="79"/>
  <c r="H71" i="79"/>
  <c r="G71" i="79"/>
  <c r="F71" i="79"/>
  <c r="E71" i="79"/>
  <c r="D71" i="79"/>
  <c r="C71" i="79"/>
  <c r="B71" i="79"/>
  <c r="M70" i="79"/>
  <c r="L70" i="79"/>
  <c r="K70" i="79"/>
  <c r="J70" i="79"/>
  <c r="I70" i="79"/>
  <c r="H70" i="79"/>
  <c r="G70" i="79"/>
  <c r="F70" i="79"/>
  <c r="E70" i="79"/>
  <c r="D70" i="79"/>
  <c r="C70" i="79"/>
  <c r="N70" i="79" s="1"/>
  <c r="B70" i="79"/>
  <c r="M69" i="79"/>
  <c r="L69" i="79"/>
  <c r="K69" i="79"/>
  <c r="J69" i="79"/>
  <c r="I69" i="79"/>
  <c r="H69" i="79"/>
  <c r="G69" i="79"/>
  <c r="F69" i="79"/>
  <c r="E69" i="79"/>
  <c r="D69" i="79"/>
  <c r="C69" i="79"/>
  <c r="B69" i="79"/>
  <c r="M68" i="79"/>
  <c r="L68" i="79"/>
  <c r="K68" i="79"/>
  <c r="J68" i="79"/>
  <c r="I68" i="79"/>
  <c r="H68" i="79"/>
  <c r="G68" i="79"/>
  <c r="F68" i="79"/>
  <c r="E68" i="79"/>
  <c r="D68" i="79"/>
  <c r="C68" i="79"/>
  <c r="N68" i="79" s="1"/>
  <c r="B68" i="79"/>
  <c r="M67" i="79"/>
  <c r="L67" i="79"/>
  <c r="K67" i="79"/>
  <c r="J67" i="79"/>
  <c r="I67" i="79"/>
  <c r="H67" i="79"/>
  <c r="G67" i="79"/>
  <c r="F67" i="79"/>
  <c r="E67" i="79"/>
  <c r="D67" i="79"/>
  <c r="C67" i="79"/>
  <c r="N67" i="79" s="1"/>
  <c r="B67" i="79"/>
  <c r="M66" i="79"/>
  <c r="L66" i="79"/>
  <c r="K66" i="79"/>
  <c r="J66" i="79"/>
  <c r="I66" i="79"/>
  <c r="H66" i="79"/>
  <c r="G66" i="79"/>
  <c r="F66" i="79"/>
  <c r="E66" i="79"/>
  <c r="D66" i="79"/>
  <c r="C66" i="79"/>
  <c r="B66" i="79"/>
  <c r="N65" i="79"/>
  <c r="M65" i="79"/>
  <c r="L65" i="79"/>
  <c r="K65" i="79"/>
  <c r="J65" i="79"/>
  <c r="I65" i="79"/>
  <c r="H65" i="79"/>
  <c r="G65" i="79"/>
  <c r="F65" i="79"/>
  <c r="E65" i="79"/>
  <c r="D65" i="79"/>
  <c r="C65" i="79"/>
  <c r="B65" i="79"/>
  <c r="M64" i="79"/>
  <c r="L64" i="79"/>
  <c r="K64" i="79"/>
  <c r="J64" i="79"/>
  <c r="I64" i="79"/>
  <c r="H64" i="79"/>
  <c r="G64" i="79"/>
  <c r="F64" i="79"/>
  <c r="E64" i="79"/>
  <c r="D64" i="79"/>
  <c r="C64" i="79"/>
  <c r="N64" i="79" s="1"/>
  <c r="B64" i="79"/>
  <c r="M63" i="79"/>
  <c r="L63" i="79"/>
  <c r="K63" i="79"/>
  <c r="J63" i="79"/>
  <c r="I63" i="79"/>
  <c r="H63" i="79"/>
  <c r="G63" i="79"/>
  <c r="F63" i="79"/>
  <c r="E63" i="79"/>
  <c r="D63" i="79"/>
  <c r="C63" i="79"/>
  <c r="B63" i="79"/>
  <c r="M62" i="79"/>
  <c r="L62" i="79"/>
  <c r="K62" i="79"/>
  <c r="J62" i="79"/>
  <c r="I62" i="79"/>
  <c r="H62" i="79"/>
  <c r="G62" i="79"/>
  <c r="F62" i="79"/>
  <c r="E62" i="79"/>
  <c r="D62" i="79"/>
  <c r="C62" i="79"/>
  <c r="N62" i="79" s="1"/>
  <c r="B62" i="79"/>
  <c r="M61" i="79"/>
  <c r="L61" i="79"/>
  <c r="K61" i="79"/>
  <c r="J61" i="79"/>
  <c r="I61" i="79"/>
  <c r="H61" i="79"/>
  <c r="G61" i="79"/>
  <c r="F61" i="79"/>
  <c r="E61" i="79"/>
  <c r="D61" i="79"/>
  <c r="C61" i="79"/>
  <c r="N61" i="79" s="1"/>
  <c r="S60" i="79"/>
  <c r="M60" i="79"/>
  <c r="L60" i="79"/>
  <c r="K60" i="79"/>
  <c r="J60" i="79"/>
  <c r="I60" i="79"/>
  <c r="H60" i="79"/>
  <c r="G60" i="79"/>
  <c r="F60" i="79"/>
  <c r="E60" i="79"/>
  <c r="D60" i="79"/>
  <c r="C60" i="79"/>
  <c r="M59" i="79"/>
  <c r="N59" i="79" s="1"/>
  <c r="L59" i="79"/>
  <c r="K59" i="79"/>
  <c r="J59" i="79"/>
  <c r="I59" i="79"/>
  <c r="H59" i="79"/>
  <c r="G59" i="79"/>
  <c r="F59" i="79"/>
  <c r="E59" i="79"/>
  <c r="D59" i="79"/>
  <c r="C59" i="79"/>
  <c r="B59" i="79"/>
  <c r="M58" i="79"/>
  <c r="N58" i="79" s="1"/>
  <c r="L58" i="79"/>
  <c r="K58" i="79"/>
  <c r="J58" i="79"/>
  <c r="I58" i="79"/>
  <c r="H58" i="79"/>
  <c r="G58" i="79"/>
  <c r="F58" i="79"/>
  <c r="E58" i="79"/>
  <c r="D58" i="79"/>
  <c r="C58" i="79"/>
  <c r="B58" i="79"/>
  <c r="M57" i="79"/>
  <c r="L57" i="79"/>
  <c r="K57" i="79"/>
  <c r="J57" i="79"/>
  <c r="I57" i="79"/>
  <c r="H57" i="79"/>
  <c r="G57" i="79"/>
  <c r="F57" i="79"/>
  <c r="E57" i="79"/>
  <c r="D57" i="79"/>
  <c r="C57" i="79"/>
  <c r="N57" i="79" s="1"/>
  <c r="B57" i="79"/>
  <c r="M56" i="79"/>
  <c r="L56" i="79"/>
  <c r="K56" i="79"/>
  <c r="J56" i="79"/>
  <c r="I56" i="79"/>
  <c r="H56" i="79"/>
  <c r="G56" i="79"/>
  <c r="F56" i="79"/>
  <c r="E56" i="79"/>
  <c r="D56" i="79"/>
  <c r="C56" i="79"/>
  <c r="N56" i="79" s="1"/>
  <c r="B56" i="79"/>
  <c r="M55" i="79"/>
  <c r="L55" i="79"/>
  <c r="K55" i="79"/>
  <c r="J55" i="79"/>
  <c r="I55" i="79"/>
  <c r="H55" i="79"/>
  <c r="G55" i="79"/>
  <c r="F55" i="79"/>
  <c r="E55" i="79"/>
  <c r="D55" i="79"/>
  <c r="C55" i="79"/>
  <c r="B55" i="79"/>
  <c r="N54" i="79"/>
  <c r="M54" i="79"/>
  <c r="L54" i="79"/>
  <c r="K54" i="79"/>
  <c r="J54" i="79"/>
  <c r="I54" i="79"/>
  <c r="H54" i="79"/>
  <c r="G54" i="79"/>
  <c r="F54" i="79"/>
  <c r="E54" i="79"/>
  <c r="D54" i="79"/>
  <c r="C54" i="79"/>
  <c r="B54" i="79"/>
  <c r="M53" i="79"/>
  <c r="L53" i="79"/>
  <c r="K53" i="79"/>
  <c r="J53" i="79"/>
  <c r="I53" i="79"/>
  <c r="H53" i="79"/>
  <c r="G53" i="79"/>
  <c r="F53" i="79"/>
  <c r="E53" i="79"/>
  <c r="D53" i="79"/>
  <c r="C53" i="79"/>
  <c r="B53" i="79"/>
  <c r="M52" i="79"/>
  <c r="N52" i="79" s="1"/>
  <c r="L52" i="79"/>
  <c r="K52" i="79"/>
  <c r="J52" i="79"/>
  <c r="I52" i="79"/>
  <c r="H52" i="79"/>
  <c r="G52" i="79"/>
  <c r="F52" i="79"/>
  <c r="E52" i="79"/>
  <c r="D52" i="79"/>
  <c r="C52" i="79"/>
  <c r="B52" i="79"/>
  <c r="M51" i="79"/>
  <c r="N51" i="79" s="1"/>
  <c r="L51" i="79"/>
  <c r="K51" i="79"/>
  <c r="J51" i="79"/>
  <c r="I51" i="79"/>
  <c r="H51" i="79"/>
  <c r="G51" i="79"/>
  <c r="F51" i="79"/>
  <c r="E51" i="79"/>
  <c r="D51" i="79"/>
  <c r="C51" i="79"/>
  <c r="B51" i="79"/>
  <c r="M50" i="79"/>
  <c r="L50" i="79"/>
  <c r="K50" i="79"/>
  <c r="J50" i="79"/>
  <c r="I50" i="79"/>
  <c r="H50" i="79"/>
  <c r="G50" i="79"/>
  <c r="F50" i="79"/>
  <c r="E50" i="79"/>
  <c r="D50" i="79"/>
  <c r="C50" i="79"/>
  <c r="B50" i="79"/>
  <c r="M49" i="79"/>
  <c r="N49" i="79" s="1"/>
  <c r="L49" i="79"/>
  <c r="K49" i="79"/>
  <c r="J49" i="79"/>
  <c r="I49" i="79"/>
  <c r="H49" i="79"/>
  <c r="G49" i="79"/>
  <c r="F49" i="79"/>
  <c r="E49" i="79"/>
  <c r="D49" i="79"/>
  <c r="C49" i="79"/>
  <c r="B49" i="79"/>
  <c r="N48" i="79"/>
  <c r="M48" i="79"/>
  <c r="L48" i="79"/>
  <c r="K48" i="79"/>
  <c r="J48" i="79"/>
  <c r="I48" i="79"/>
  <c r="H48" i="79"/>
  <c r="G48" i="79"/>
  <c r="F48" i="79"/>
  <c r="E48" i="79"/>
  <c r="D48" i="79"/>
  <c r="C48" i="79"/>
  <c r="B48" i="79"/>
  <c r="M47" i="79"/>
  <c r="L47" i="79"/>
  <c r="K47" i="79"/>
  <c r="J47" i="79"/>
  <c r="I47" i="79"/>
  <c r="H47" i="79"/>
  <c r="G47" i="79"/>
  <c r="F47" i="79"/>
  <c r="E47" i="79"/>
  <c r="D47" i="79"/>
  <c r="C47" i="79"/>
  <c r="B47" i="79"/>
  <c r="M46" i="79"/>
  <c r="L46" i="79"/>
  <c r="K46" i="79"/>
  <c r="J46" i="79"/>
  <c r="I46" i="79"/>
  <c r="H46" i="79"/>
  <c r="G46" i="79"/>
  <c r="F46" i="79"/>
  <c r="E46" i="79"/>
  <c r="D46" i="79"/>
  <c r="C46" i="79"/>
  <c r="N46" i="79" s="1"/>
  <c r="B46" i="79"/>
  <c r="M45" i="79"/>
  <c r="L45" i="79"/>
  <c r="K45" i="79"/>
  <c r="J45" i="79"/>
  <c r="I45" i="79"/>
  <c r="H45" i="79"/>
  <c r="G45" i="79"/>
  <c r="F45" i="79"/>
  <c r="E45" i="79"/>
  <c r="D45" i="79"/>
  <c r="C45" i="79"/>
  <c r="N45" i="79" s="1"/>
  <c r="B45" i="79"/>
  <c r="M44" i="79"/>
  <c r="L44" i="79"/>
  <c r="K44" i="79"/>
  <c r="J44" i="79"/>
  <c r="I44" i="79"/>
  <c r="H44" i="79"/>
  <c r="G44" i="79"/>
  <c r="F44" i="79"/>
  <c r="E44" i="79"/>
  <c r="D44" i="79"/>
  <c r="C44" i="79"/>
  <c r="N44" i="79" s="1"/>
  <c r="B44" i="79"/>
  <c r="M43" i="79"/>
  <c r="L43" i="79"/>
  <c r="K43" i="79"/>
  <c r="J43" i="79"/>
  <c r="I43" i="79"/>
  <c r="H43" i="79"/>
  <c r="G43" i="79"/>
  <c r="F43" i="79"/>
  <c r="E43" i="79"/>
  <c r="D43" i="79"/>
  <c r="C43" i="79"/>
  <c r="B43" i="79"/>
  <c r="M42" i="79"/>
  <c r="N42" i="79" s="1"/>
  <c r="L42" i="79"/>
  <c r="K42" i="79"/>
  <c r="J42" i="79"/>
  <c r="I42" i="79"/>
  <c r="H42" i="79"/>
  <c r="G42" i="79"/>
  <c r="F42" i="79"/>
  <c r="E42" i="79"/>
  <c r="D42" i="79"/>
  <c r="C42" i="79"/>
  <c r="B42" i="79"/>
  <c r="M41" i="79"/>
  <c r="N41" i="79" s="1"/>
  <c r="L41" i="79"/>
  <c r="K41" i="79"/>
  <c r="J41" i="79"/>
  <c r="I41" i="79"/>
  <c r="H41" i="79"/>
  <c r="G41" i="79"/>
  <c r="F41" i="79"/>
  <c r="E41" i="79"/>
  <c r="D41" i="79"/>
  <c r="C41" i="79"/>
  <c r="M40" i="79"/>
  <c r="L40" i="79"/>
  <c r="K40" i="79"/>
  <c r="J40" i="79"/>
  <c r="I40" i="79"/>
  <c r="H40" i="79"/>
  <c r="G40" i="79"/>
  <c r="F40" i="79"/>
  <c r="E40" i="79"/>
  <c r="D40" i="79"/>
  <c r="C40" i="79"/>
  <c r="N40" i="79" s="1"/>
  <c r="M39" i="79"/>
  <c r="L39" i="79"/>
  <c r="K39" i="79"/>
  <c r="J39" i="79"/>
  <c r="I39" i="79"/>
  <c r="H39" i="79"/>
  <c r="G39" i="79"/>
  <c r="F39" i="79"/>
  <c r="E39" i="79"/>
  <c r="D39" i="79"/>
  <c r="C39" i="79"/>
  <c r="B39" i="79"/>
  <c r="M38" i="79"/>
  <c r="L38" i="79"/>
  <c r="K38" i="79"/>
  <c r="J38" i="79"/>
  <c r="I38" i="79"/>
  <c r="H38" i="79"/>
  <c r="G38" i="79"/>
  <c r="F38" i="79"/>
  <c r="E38" i="79"/>
  <c r="D38" i="79"/>
  <c r="C38" i="79"/>
  <c r="B38" i="79"/>
  <c r="M37" i="79"/>
  <c r="L37" i="79"/>
  <c r="K37" i="79"/>
  <c r="J37" i="79"/>
  <c r="I37" i="79"/>
  <c r="H37" i="79"/>
  <c r="G37" i="79"/>
  <c r="F37" i="79"/>
  <c r="E37" i="79"/>
  <c r="D37" i="79"/>
  <c r="C37" i="79"/>
  <c r="B37" i="79"/>
  <c r="M36" i="79"/>
  <c r="L36" i="79"/>
  <c r="K36" i="79"/>
  <c r="J36" i="79"/>
  <c r="I36" i="79"/>
  <c r="H36" i="79"/>
  <c r="G36" i="79"/>
  <c r="F36" i="79"/>
  <c r="E36" i="79"/>
  <c r="D36" i="79"/>
  <c r="C36" i="79"/>
  <c r="B36" i="79"/>
  <c r="M35" i="79"/>
  <c r="L35" i="79"/>
  <c r="K35" i="79"/>
  <c r="J35" i="79"/>
  <c r="I35" i="79"/>
  <c r="H35" i="79"/>
  <c r="G35" i="79"/>
  <c r="F35" i="79"/>
  <c r="E35" i="79"/>
  <c r="D35" i="79"/>
  <c r="C35" i="79"/>
  <c r="B35" i="79"/>
  <c r="M34" i="79"/>
  <c r="L34" i="79"/>
  <c r="K34" i="79"/>
  <c r="J34" i="79"/>
  <c r="I34" i="79"/>
  <c r="H34" i="79"/>
  <c r="G34" i="79"/>
  <c r="F34" i="79"/>
  <c r="E34" i="79"/>
  <c r="D34" i="79"/>
  <c r="C34" i="79"/>
  <c r="B34" i="79"/>
  <c r="M33" i="79"/>
  <c r="L33" i="79"/>
  <c r="K33" i="79"/>
  <c r="J33" i="79"/>
  <c r="I33" i="79"/>
  <c r="H33" i="79"/>
  <c r="G33" i="79"/>
  <c r="F33" i="79"/>
  <c r="E33" i="79"/>
  <c r="D33" i="79"/>
  <c r="C33" i="79"/>
  <c r="B33" i="79"/>
  <c r="M32" i="79"/>
  <c r="L32" i="79"/>
  <c r="K32" i="79"/>
  <c r="J32" i="79"/>
  <c r="I32" i="79"/>
  <c r="H32" i="79"/>
  <c r="G32" i="79"/>
  <c r="F32" i="79"/>
  <c r="E32" i="79"/>
  <c r="D32" i="79"/>
  <c r="C32" i="79"/>
  <c r="B32" i="79"/>
  <c r="M31" i="79"/>
  <c r="L31" i="79"/>
  <c r="K31" i="79"/>
  <c r="J31" i="79"/>
  <c r="I31" i="79"/>
  <c r="H31" i="79"/>
  <c r="G31" i="79"/>
  <c r="F31" i="79"/>
  <c r="E31" i="79"/>
  <c r="D31" i="79"/>
  <c r="C31" i="79"/>
  <c r="B31" i="79"/>
  <c r="M30" i="79"/>
  <c r="L30" i="79"/>
  <c r="K30" i="79"/>
  <c r="J30" i="79"/>
  <c r="I30" i="79"/>
  <c r="H30" i="79"/>
  <c r="G30" i="79"/>
  <c r="F30" i="79"/>
  <c r="E30" i="79"/>
  <c r="D30" i="79"/>
  <c r="C30" i="79"/>
  <c r="B30" i="79"/>
  <c r="M29" i="79"/>
  <c r="L29" i="79"/>
  <c r="K29" i="79"/>
  <c r="J29" i="79"/>
  <c r="I29" i="79"/>
  <c r="H29" i="79"/>
  <c r="G29" i="79"/>
  <c r="F29" i="79"/>
  <c r="E29" i="79"/>
  <c r="D29" i="79"/>
  <c r="C29" i="79"/>
  <c r="B29" i="79"/>
  <c r="M28" i="79"/>
  <c r="L28" i="79"/>
  <c r="K28" i="79"/>
  <c r="J28" i="79"/>
  <c r="I28" i="79"/>
  <c r="H28" i="79"/>
  <c r="G28" i="79"/>
  <c r="F28" i="79"/>
  <c r="E28" i="79"/>
  <c r="D28" i="79"/>
  <c r="C28" i="79"/>
  <c r="B28" i="79"/>
  <c r="M27" i="79"/>
  <c r="L27" i="79"/>
  <c r="K27" i="79"/>
  <c r="J27" i="79"/>
  <c r="I27" i="79"/>
  <c r="H27" i="79"/>
  <c r="G27" i="79"/>
  <c r="F27" i="79"/>
  <c r="E27" i="79"/>
  <c r="D27" i="79"/>
  <c r="C27" i="79"/>
  <c r="B27" i="79"/>
  <c r="M26" i="79"/>
  <c r="L26" i="79"/>
  <c r="K26" i="79"/>
  <c r="J26" i="79"/>
  <c r="I26" i="79"/>
  <c r="H26" i="79"/>
  <c r="G26" i="79"/>
  <c r="F26" i="79"/>
  <c r="E26" i="79"/>
  <c r="D26" i="79"/>
  <c r="C26" i="79"/>
  <c r="B26" i="79"/>
  <c r="M25" i="79"/>
  <c r="L25" i="79"/>
  <c r="K25" i="79"/>
  <c r="J25" i="79"/>
  <c r="I25" i="79"/>
  <c r="H25" i="79"/>
  <c r="G25" i="79"/>
  <c r="F25" i="79"/>
  <c r="E25" i="79"/>
  <c r="D25" i="79"/>
  <c r="C25" i="79"/>
  <c r="B25" i="79"/>
  <c r="M24" i="79"/>
  <c r="L24" i="79"/>
  <c r="K24" i="79"/>
  <c r="J24" i="79"/>
  <c r="I24" i="79"/>
  <c r="H24" i="79"/>
  <c r="G24" i="79"/>
  <c r="F24" i="79"/>
  <c r="E24" i="79"/>
  <c r="D24" i="79"/>
  <c r="C24" i="79"/>
  <c r="B24" i="79"/>
  <c r="M23" i="79"/>
  <c r="L23" i="79"/>
  <c r="K23" i="79"/>
  <c r="J23" i="79"/>
  <c r="I23" i="79"/>
  <c r="H23" i="79"/>
  <c r="G23" i="79"/>
  <c r="F23" i="79"/>
  <c r="E23" i="79"/>
  <c r="D23" i="79"/>
  <c r="C23" i="79"/>
  <c r="B23" i="79"/>
  <c r="M22" i="79"/>
  <c r="L22" i="79"/>
  <c r="K22" i="79"/>
  <c r="J22" i="79"/>
  <c r="I22" i="79"/>
  <c r="H22" i="79"/>
  <c r="G22" i="79"/>
  <c r="F22" i="79"/>
  <c r="E22" i="79"/>
  <c r="D22" i="79"/>
  <c r="C22" i="79"/>
  <c r="B22" i="79"/>
  <c r="M21" i="79"/>
  <c r="D12" i="79" s="1"/>
  <c r="AS18" i="79" s="1"/>
  <c r="L21" i="79"/>
  <c r="D11" i="79" s="1"/>
  <c r="K21" i="79"/>
  <c r="D10" i="79" s="1"/>
  <c r="J21" i="79"/>
  <c r="D9" i="79" s="1"/>
  <c r="I21" i="79"/>
  <c r="D8" i="79" s="1"/>
  <c r="H21" i="79"/>
  <c r="D7" i="79" s="1"/>
  <c r="G21" i="79"/>
  <c r="D6" i="79" s="1"/>
  <c r="F21" i="79"/>
  <c r="D5" i="79" s="1"/>
  <c r="E21" i="79"/>
  <c r="D4" i="79" s="1"/>
  <c r="D21" i="79"/>
  <c r="D3" i="79" s="1"/>
  <c r="C21" i="79"/>
  <c r="D2" i="79" s="1"/>
  <c r="S20" i="79"/>
  <c r="AZ18" i="79"/>
  <c r="E444" i="76"/>
  <c r="A444" i="76"/>
  <c r="E443" i="76"/>
  <c r="B443" i="76"/>
  <c r="C443" i="76" s="1"/>
  <c r="A443" i="76"/>
  <c r="E442" i="76"/>
  <c r="A442" i="76"/>
  <c r="E441" i="76"/>
  <c r="B441" i="76"/>
  <c r="C441" i="76" s="1"/>
  <c r="A441" i="76"/>
  <c r="E440" i="76"/>
  <c r="A440" i="76"/>
  <c r="E439" i="76"/>
  <c r="B439" i="76"/>
  <c r="C439" i="76" s="1"/>
  <c r="A439" i="76"/>
  <c r="E438" i="76"/>
  <c r="A438" i="76"/>
  <c r="E437" i="76"/>
  <c r="B437" i="76"/>
  <c r="C437" i="76" s="1"/>
  <c r="A437" i="76"/>
  <c r="E436" i="76"/>
  <c r="A436" i="76"/>
  <c r="E435" i="76"/>
  <c r="B435" i="76"/>
  <c r="C435" i="76" s="1"/>
  <c r="A435" i="76"/>
  <c r="E434" i="76"/>
  <c r="A434" i="76"/>
  <c r="E433" i="76"/>
  <c r="B433" i="76"/>
  <c r="C433" i="76" s="1"/>
  <c r="A433" i="76"/>
  <c r="E432" i="76"/>
  <c r="A432" i="76"/>
  <c r="E431" i="76"/>
  <c r="A431" i="76"/>
  <c r="E430" i="76"/>
  <c r="A430" i="76"/>
  <c r="E429" i="76"/>
  <c r="B429" i="76"/>
  <c r="C429" i="76" s="1"/>
  <c r="A429" i="76"/>
  <c r="E428" i="76"/>
  <c r="A428" i="76"/>
  <c r="E427" i="76"/>
  <c r="A427" i="76"/>
  <c r="E426" i="76"/>
  <c r="A426" i="76"/>
  <c r="E425" i="76"/>
  <c r="B425" i="76"/>
  <c r="C425" i="76" s="1"/>
  <c r="A425" i="76"/>
  <c r="E424" i="76"/>
  <c r="A424" i="76"/>
  <c r="E423" i="76"/>
  <c r="B423" i="76"/>
  <c r="C423" i="76" s="1"/>
  <c r="A423" i="76"/>
  <c r="E422" i="76"/>
  <c r="A422" i="76"/>
  <c r="E421" i="76"/>
  <c r="B421" i="76"/>
  <c r="C421" i="76" s="1"/>
  <c r="A421" i="76"/>
  <c r="E420" i="76"/>
  <c r="A420" i="76"/>
  <c r="E419" i="76"/>
  <c r="B419" i="76"/>
  <c r="C419" i="76" s="1"/>
  <c r="A419" i="76"/>
  <c r="E418" i="76"/>
  <c r="A418" i="76"/>
  <c r="E417" i="76"/>
  <c r="B417" i="76"/>
  <c r="C417" i="76" s="1"/>
  <c r="A417" i="76"/>
  <c r="E416" i="76"/>
  <c r="A416" i="76"/>
  <c r="E415" i="76"/>
  <c r="B415" i="76"/>
  <c r="C415" i="76" s="1"/>
  <c r="A415" i="76"/>
  <c r="E414" i="76"/>
  <c r="A414" i="76"/>
  <c r="E413" i="76"/>
  <c r="B413" i="76"/>
  <c r="C413" i="76" s="1"/>
  <c r="A413" i="76"/>
  <c r="E412" i="76"/>
  <c r="A412" i="76"/>
  <c r="E411" i="76"/>
  <c r="A411" i="76"/>
  <c r="E410" i="76"/>
  <c r="A410" i="76"/>
  <c r="E409" i="76"/>
  <c r="B409" i="76"/>
  <c r="C409" i="76" s="1"/>
  <c r="A409" i="76"/>
  <c r="E408" i="76"/>
  <c r="A408" i="76"/>
  <c r="E407" i="76"/>
  <c r="A407" i="76"/>
  <c r="E406" i="76"/>
  <c r="A406" i="76"/>
  <c r="E405" i="76"/>
  <c r="B405" i="76"/>
  <c r="C405" i="76" s="1"/>
  <c r="A405" i="76"/>
  <c r="E404" i="76"/>
  <c r="A404" i="76"/>
  <c r="E403" i="76"/>
  <c r="B403" i="76"/>
  <c r="C403" i="76" s="1"/>
  <c r="A403" i="76"/>
  <c r="E402" i="76"/>
  <c r="A402" i="76"/>
  <c r="E401" i="76"/>
  <c r="B401" i="76"/>
  <c r="C401" i="76" s="1"/>
  <c r="A401" i="76"/>
  <c r="E400" i="76"/>
  <c r="A400" i="76"/>
  <c r="E399" i="76"/>
  <c r="B399" i="76"/>
  <c r="C399" i="76" s="1"/>
  <c r="A399" i="76"/>
  <c r="E398" i="76"/>
  <c r="A398" i="76"/>
  <c r="E397" i="76"/>
  <c r="B397" i="76"/>
  <c r="C397" i="76" s="1"/>
  <c r="A397" i="76"/>
  <c r="E396" i="76"/>
  <c r="A396" i="76"/>
  <c r="E395" i="76"/>
  <c r="B395" i="76"/>
  <c r="C395" i="76" s="1"/>
  <c r="A395" i="76"/>
  <c r="E394" i="76"/>
  <c r="A394" i="76"/>
  <c r="E393" i="76"/>
  <c r="B393" i="76"/>
  <c r="C393" i="76" s="1"/>
  <c r="A393" i="76"/>
  <c r="E392" i="76"/>
  <c r="A392" i="76"/>
  <c r="E391" i="76"/>
  <c r="A391" i="76"/>
  <c r="E390" i="76"/>
  <c r="A390" i="76"/>
  <c r="E389" i="76"/>
  <c r="B389" i="76"/>
  <c r="C389" i="76" s="1"/>
  <c r="A389" i="76"/>
  <c r="E388" i="76"/>
  <c r="A388" i="76"/>
  <c r="E387" i="76"/>
  <c r="A387" i="76"/>
  <c r="E386" i="76"/>
  <c r="A386" i="76"/>
  <c r="E385" i="76"/>
  <c r="B385" i="76"/>
  <c r="C385" i="76" s="1"/>
  <c r="A385" i="76"/>
  <c r="E384" i="76"/>
  <c r="A384" i="76"/>
  <c r="E383" i="76"/>
  <c r="B383" i="76"/>
  <c r="C383" i="76" s="1"/>
  <c r="A383" i="76"/>
  <c r="E382" i="76"/>
  <c r="A382" i="76"/>
  <c r="E381" i="76"/>
  <c r="B381" i="76"/>
  <c r="C381" i="76" s="1"/>
  <c r="A381" i="76"/>
  <c r="E380" i="76"/>
  <c r="A380" i="76"/>
  <c r="E379" i="76"/>
  <c r="B379" i="76"/>
  <c r="C379" i="76" s="1"/>
  <c r="A379" i="76"/>
  <c r="E378" i="76"/>
  <c r="A378" i="76"/>
  <c r="E377" i="76"/>
  <c r="B377" i="76"/>
  <c r="C377" i="76" s="1"/>
  <c r="A377" i="76"/>
  <c r="E376" i="76"/>
  <c r="A376" i="76"/>
  <c r="E375" i="76"/>
  <c r="B375" i="76"/>
  <c r="C375" i="76" s="1"/>
  <c r="A375" i="76"/>
  <c r="E374" i="76"/>
  <c r="A374" i="76"/>
  <c r="E373" i="76"/>
  <c r="B373" i="76"/>
  <c r="C373" i="76" s="1"/>
  <c r="A373" i="76"/>
  <c r="E372" i="76"/>
  <c r="A372" i="76"/>
  <c r="E371" i="76"/>
  <c r="A371" i="76"/>
  <c r="E370" i="76"/>
  <c r="A370" i="76"/>
  <c r="E369" i="76"/>
  <c r="B369" i="76"/>
  <c r="C369" i="76" s="1"/>
  <c r="A369" i="76"/>
  <c r="E368" i="76"/>
  <c r="A368" i="76"/>
  <c r="E367" i="76"/>
  <c r="A367" i="76"/>
  <c r="E366" i="76"/>
  <c r="A366" i="76"/>
  <c r="E365" i="76"/>
  <c r="B365" i="76"/>
  <c r="C365" i="76" s="1"/>
  <c r="A365" i="76"/>
  <c r="E364" i="76"/>
  <c r="A364" i="76"/>
  <c r="E363" i="76"/>
  <c r="B363" i="76"/>
  <c r="C363" i="76" s="1"/>
  <c r="A363" i="76"/>
  <c r="E362" i="76"/>
  <c r="A362" i="76"/>
  <c r="E361" i="76"/>
  <c r="B361" i="76"/>
  <c r="C361" i="76" s="1"/>
  <c r="A361" i="76"/>
  <c r="E360" i="76"/>
  <c r="A360" i="76"/>
  <c r="E359" i="76"/>
  <c r="B359" i="76"/>
  <c r="C359" i="76" s="1"/>
  <c r="A359" i="76"/>
  <c r="E358" i="76"/>
  <c r="A358" i="76"/>
  <c r="E357" i="76"/>
  <c r="B357" i="76"/>
  <c r="C357" i="76" s="1"/>
  <c r="A357" i="76"/>
  <c r="E356" i="76"/>
  <c r="A356" i="76"/>
  <c r="E355" i="76"/>
  <c r="B355" i="76"/>
  <c r="C355" i="76" s="1"/>
  <c r="A355" i="76"/>
  <c r="E354" i="76"/>
  <c r="A354" i="76"/>
  <c r="E353" i="76"/>
  <c r="B353" i="76"/>
  <c r="C353" i="76" s="1"/>
  <c r="A353" i="76"/>
  <c r="E352" i="76"/>
  <c r="A352" i="76"/>
  <c r="E351" i="76"/>
  <c r="A351" i="76"/>
  <c r="E350" i="76"/>
  <c r="A350" i="76"/>
  <c r="E349" i="76"/>
  <c r="B349" i="76"/>
  <c r="C349" i="76" s="1"/>
  <c r="A349" i="76"/>
  <c r="E348" i="76"/>
  <c r="A348" i="76"/>
  <c r="E347" i="76"/>
  <c r="B347" i="76"/>
  <c r="C347" i="76" s="1"/>
  <c r="A347" i="76"/>
  <c r="E346" i="76"/>
  <c r="A346" i="76"/>
  <c r="E345" i="76"/>
  <c r="B345" i="76"/>
  <c r="C345" i="76" s="1"/>
  <c r="A345" i="76"/>
  <c r="E344" i="76"/>
  <c r="A344" i="76"/>
  <c r="E343" i="76"/>
  <c r="B343" i="76"/>
  <c r="C343" i="76" s="1"/>
  <c r="A343" i="76"/>
  <c r="E342" i="76"/>
  <c r="A342" i="76"/>
  <c r="E341" i="76"/>
  <c r="B341" i="76"/>
  <c r="C341" i="76" s="1"/>
  <c r="A341" i="76"/>
  <c r="E340" i="76"/>
  <c r="A340" i="76"/>
  <c r="E339" i="76"/>
  <c r="B339" i="76"/>
  <c r="C339" i="76" s="1"/>
  <c r="A339" i="76"/>
  <c r="E338" i="76"/>
  <c r="A338" i="76"/>
  <c r="E337" i="76"/>
  <c r="B337" i="76"/>
  <c r="C337" i="76" s="1"/>
  <c r="A337" i="76"/>
  <c r="E336" i="76"/>
  <c r="A336" i="76"/>
  <c r="E335" i="76"/>
  <c r="B335" i="76"/>
  <c r="C335" i="76" s="1"/>
  <c r="A335" i="76"/>
  <c r="E334" i="76"/>
  <c r="A334" i="76"/>
  <c r="E333" i="76"/>
  <c r="B333" i="76"/>
  <c r="C333" i="76" s="1"/>
  <c r="A333" i="76"/>
  <c r="E332" i="76"/>
  <c r="A332" i="76"/>
  <c r="E331" i="76"/>
  <c r="A331" i="76"/>
  <c r="E330" i="76"/>
  <c r="A330" i="76"/>
  <c r="E329" i="76"/>
  <c r="B329" i="76"/>
  <c r="C329" i="76" s="1"/>
  <c r="A329" i="76"/>
  <c r="E328" i="76"/>
  <c r="A328" i="76"/>
  <c r="E327" i="76"/>
  <c r="A327" i="76"/>
  <c r="E326" i="76"/>
  <c r="A326" i="76"/>
  <c r="E325" i="76"/>
  <c r="B325" i="76"/>
  <c r="C325" i="76" s="1"/>
  <c r="A325" i="76"/>
  <c r="E324" i="76"/>
  <c r="A324" i="76"/>
  <c r="E323" i="76"/>
  <c r="B323" i="76"/>
  <c r="C323" i="76" s="1"/>
  <c r="A323" i="76"/>
  <c r="E322" i="76"/>
  <c r="A322" i="76"/>
  <c r="E321" i="76"/>
  <c r="B321" i="76"/>
  <c r="C321" i="76" s="1"/>
  <c r="A321" i="76"/>
  <c r="E320" i="76"/>
  <c r="A320" i="76"/>
  <c r="E319" i="76"/>
  <c r="B319" i="76"/>
  <c r="C319" i="76" s="1"/>
  <c r="A319" i="76"/>
  <c r="E318" i="76"/>
  <c r="A318" i="76"/>
  <c r="E317" i="76"/>
  <c r="B317" i="76"/>
  <c r="C317" i="76" s="1"/>
  <c r="A317" i="76"/>
  <c r="E316" i="76"/>
  <c r="A316" i="76"/>
  <c r="E315" i="76"/>
  <c r="B315" i="76"/>
  <c r="C315" i="76" s="1"/>
  <c r="A315" i="76"/>
  <c r="E314" i="76"/>
  <c r="A314" i="76"/>
  <c r="E313" i="76"/>
  <c r="B313" i="76"/>
  <c r="C313" i="76" s="1"/>
  <c r="A313" i="76"/>
  <c r="E312" i="76"/>
  <c r="A312" i="76"/>
  <c r="E311" i="76"/>
  <c r="A311" i="76"/>
  <c r="E310" i="76"/>
  <c r="A310" i="76"/>
  <c r="E309" i="76"/>
  <c r="B309" i="76"/>
  <c r="C309" i="76" s="1"/>
  <c r="A309" i="76"/>
  <c r="E308" i="76"/>
  <c r="A308" i="76"/>
  <c r="E307" i="76"/>
  <c r="A307" i="76"/>
  <c r="E306" i="76"/>
  <c r="A306" i="76"/>
  <c r="E305" i="76"/>
  <c r="B305" i="76"/>
  <c r="C305" i="76" s="1"/>
  <c r="A305" i="76"/>
  <c r="E304" i="76"/>
  <c r="A304" i="76"/>
  <c r="E303" i="76"/>
  <c r="B303" i="76"/>
  <c r="C303" i="76" s="1"/>
  <c r="A303" i="76"/>
  <c r="E302" i="76"/>
  <c r="A302" i="76"/>
  <c r="E301" i="76"/>
  <c r="B301" i="76"/>
  <c r="C301" i="76" s="1"/>
  <c r="A301" i="76"/>
  <c r="E300" i="76"/>
  <c r="A300" i="76"/>
  <c r="E299" i="76"/>
  <c r="B299" i="76"/>
  <c r="C299" i="76" s="1"/>
  <c r="A299" i="76"/>
  <c r="E298" i="76"/>
  <c r="A298" i="76"/>
  <c r="E297" i="76"/>
  <c r="B297" i="76"/>
  <c r="C297" i="76" s="1"/>
  <c r="A297" i="76"/>
  <c r="E296" i="76"/>
  <c r="A296" i="76"/>
  <c r="E295" i="76"/>
  <c r="B295" i="76"/>
  <c r="C295" i="76" s="1"/>
  <c r="A295" i="76"/>
  <c r="E294" i="76"/>
  <c r="A294" i="76"/>
  <c r="E293" i="76"/>
  <c r="B293" i="76"/>
  <c r="C293" i="76" s="1"/>
  <c r="A293" i="76"/>
  <c r="E292" i="76"/>
  <c r="A292" i="76"/>
  <c r="E291" i="76"/>
  <c r="A291" i="76"/>
  <c r="E290" i="76"/>
  <c r="A290" i="76"/>
  <c r="E289" i="76"/>
  <c r="B289" i="76"/>
  <c r="C289" i="76" s="1"/>
  <c r="A289" i="76"/>
  <c r="E288" i="76"/>
  <c r="A288" i="76"/>
  <c r="E287" i="76"/>
  <c r="A287" i="76"/>
  <c r="E286" i="76"/>
  <c r="A286" i="76"/>
  <c r="E285" i="76"/>
  <c r="B285" i="76"/>
  <c r="C285" i="76" s="1"/>
  <c r="A285" i="76"/>
  <c r="E284" i="76"/>
  <c r="A284" i="76"/>
  <c r="E283" i="76"/>
  <c r="B283" i="76"/>
  <c r="C283" i="76" s="1"/>
  <c r="A283" i="76"/>
  <c r="E282" i="76"/>
  <c r="A282" i="76"/>
  <c r="E281" i="76"/>
  <c r="B281" i="76"/>
  <c r="C281" i="76" s="1"/>
  <c r="A281" i="76"/>
  <c r="E280" i="76"/>
  <c r="A280" i="76"/>
  <c r="E279" i="76"/>
  <c r="B279" i="76"/>
  <c r="C279" i="76" s="1"/>
  <c r="A279" i="76"/>
  <c r="E278" i="76"/>
  <c r="A278" i="76"/>
  <c r="E277" i="76"/>
  <c r="B277" i="76"/>
  <c r="C277" i="76" s="1"/>
  <c r="A277" i="76"/>
  <c r="E276" i="76"/>
  <c r="A276" i="76"/>
  <c r="E275" i="76"/>
  <c r="B275" i="76"/>
  <c r="C275" i="76" s="1"/>
  <c r="A275" i="76"/>
  <c r="E274" i="76"/>
  <c r="A274" i="76"/>
  <c r="E273" i="76"/>
  <c r="B273" i="76"/>
  <c r="C273" i="76" s="1"/>
  <c r="A273" i="76"/>
  <c r="E272" i="76"/>
  <c r="A272" i="76"/>
  <c r="E271" i="76"/>
  <c r="A271" i="76"/>
  <c r="E270" i="76"/>
  <c r="A270" i="76"/>
  <c r="E269" i="76"/>
  <c r="B269" i="76"/>
  <c r="C269" i="76" s="1"/>
  <c r="A269" i="76"/>
  <c r="E268" i="76"/>
  <c r="A268" i="76"/>
  <c r="E267" i="76"/>
  <c r="A267" i="76"/>
  <c r="E266" i="76"/>
  <c r="A266" i="76"/>
  <c r="E265" i="76"/>
  <c r="B265" i="76"/>
  <c r="C265" i="76" s="1"/>
  <c r="A265" i="76"/>
  <c r="E264" i="76"/>
  <c r="A264" i="76"/>
  <c r="E263" i="76"/>
  <c r="B263" i="76"/>
  <c r="C263" i="76" s="1"/>
  <c r="A263" i="76"/>
  <c r="E262" i="76"/>
  <c r="A262" i="76"/>
  <c r="E261" i="76"/>
  <c r="B261" i="76"/>
  <c r="C261" i="76" s="1"/>
  <c r="A261" i="76"/>
  <c r="E260" i="76"/>
  <c r="A260" i="76"/>
  <c r="E259" i="76"/>
  <c r="B259" i="76"/>
  <c r="C259" i="76" s="1"/>
  <c r="A259" i="76"/>
  <c r="E258" i="76"/>
  <c r="A258" i="76"/>
  <c r="E257" i="76"/>
  <c r="B257" i="76"/>
  <c r="C257" i="76" s="1"/>
  <c r="A257" i="76"/>
  <c r="E256" i="76"/>
  <c r="A256" i="76"/>
  <c r="E255" i="76"/>
  <c r="B255" i="76"/>
  <c r="C255" i="76" s="1"/>
  <c r="A255" i="76"/>
  <c r="E254" i="76"/>
  <c r="A254" i="76"/>
  <c r="E253" i="76"/>
  <c r="B253" i="76"/>
  <c r="C253" i="76" s="1"/>
  <c r="A253" i="76"/>
  <c r="E252" i="76"/>
  <c r="A252" i="76"/>
  <c r="E251" i="76"/>
  <c r="A251" i="76"/>
  <c r="E250" i="76"/>
  <c r="A250" i="76"/>
  <c r="E249" i="76"/>
  <c r="B249" i="76"/>
  <c r="C249" i="76" s="1"/>
  <c r="A249" i="76"/>
  <c r="E248" i="76"/>
  <c r="A248" i="76"/>
  <c r="E247" i="76"/>
  <c r="A247" i="76"/>
  <c r="E246" i="76"/>
  <c r="A246" i="76"/>
  <c r="E245" i="76"/>
  <c r="B245" i="76"/>
  <c r="C245" i="76" s="1"/>
  <c r="A245" i="76"/>
  <c r="E244" i="76"/>
  <c r="A244" i="76"/>
  <c r="E243" i="76"/>
  <c r="B243" i="76"/>
  <c r="C243" i="76" s="1"/>
  <c r="A243" i="76"/>
  <c r="E242" i="76"/>
  <c r="A242" i="76"/>
  <c r="E241" i="76"/>
  <c r="B241" i="76"/>
  <c r="C241" i="76" s="1"/>
  <c r="A241" i="76"/>
  <c r="E240" i="76"/>
  <c r="A240" i="76"/>
  <c r="E239" i="76"/>
  <c r="B239" i="76"/>
  <c r="C239" i="76" s="1"/>
  <c r="A239" i="76"/>
  <c r="E238" i="76"/>
  <c r="A238" i="76"/>
  <c r="E237" i="76"/>
  <c r="B237" i="76"/>
  <c r="C237" i="76" s="1"/>
  <c r="A237" i="76"/>
  <c r="E236" i="76"/>
  <c r="A236" i="76"/>
  <c r="E235" i="76"/>
  <c r="B235" i="76"/>
  <c r="C235" i="76" s="1"/>
  <c r="A235" i="76"/>
  <c r="E234" i="76"/>
  <c r="A234" i="76"/>
  <c r="E233" i="76"/>
  <c r="B233" i="76"/>
  <c r="C233" i="76" s="1"/>
  <c r="A233" i="76"/>
  <c r="E232" i="76"/>
  <c r="A232" i="76"/>
  <c r="E231" i="76"/>
  <c r="A231" i="76"/>
  <c r="E230" i="76"/>
  <c r="A230" i="76"/>
  <c r="E229" i="76"/>
  <c r="B229" i="76"/>
  <c r="C229" i="76" s="1"/>
  <c r="A229" i="76"/>
  <c r="E228" i="76"/>
  <c r="A228" i="76"/>
  <c r="E227" i="76"/>
  <c r="B227" i="76"/>
  <c r="C227" i="76" s="1"/>
  <c r="A227" i="76"/>
  <c r="E226" i="76"/>
  <c r="A226" i="76"/>
  <c r="E225" i="76"/>
  <c r="B225" i="76"/>
  <c r="C225" i="76" s="1"/>
  <c r="A225" i="76"/>
  <c r="E224" i="76"/>
  <c r="A224" i="76"/>
  <c r="E223" i="76"/>
  <c r="B223" i="76"/>
  <c r="C223" i="76" s="1"/>
  <c r="A223" i="76"/>
  <c r="E222" i="76"/>
  <c r="A222" i="76"/>
  <c r="E221" i="76"/>
  <c r="B221" i="76"/>
  <c r="C221" i="76" s="1"/>
  <c r="A221" i="76"/>
  <c r="E220" i="76"/>
  <c r="A220" i="76"/>
  <c r="E219" i="76"/>
  <c r="B219" i="76"/>
  <c r="C219" i="76" s="1"/>
  <c r="A219" i="76"/>
  <c r="E218" i="76"/>
  <c r="A218" i="76"/>
  <c r="E217" i="76"/>
  <c r="B217" i="76"/>
  <c r="C217" i="76" s="1"/>
  <c r="A217" i="76"/>
  <c r="E216" i="76"/>
  <c r="A216" i="76"/>
  <c r="E215" i="76"/>
  <c r="B215" i="76"/>
  <c r="C215" i="76" s="1"/>
  <c r="A215" i="76"/>
  <c r="E214" i="76"/>
  <c r="A214" i="76"/>
  <c r="E213" i="76"/>
  <c r="B213" i="76"/>
  <c r="C213" i="76" s="1"/>
  <c r="A213" i="76"/>
  <c r="E212" i="76"/>
  <c r="A212" i="76"/>
  <c r="E211" i="76"/>
  <c r="A211" i="76"/>
  <c r="E210" i="76"/>
  <c r="A210" i="76"/>
  <c r="E209" i="76"/>
  <c r="B209" i="76"/>
  <c r="C209" i="76" s="1"/>
  <c r="A209" i="76"/>
  <c r="E208" i="76"/>
  <c r="A208" i="76"/>
  <c r="E207" i="76"/>
  <c r="A207" i="76"/>
  <c r="E206" i="76"/>
  <c r="A206" i="76"/>
  <c r="E205" i="76"/>
  <c r="B205" i="76"/>
  <c r="C205" i="76" s="1"/>
  <c r="A205" i="76"/>
  <c r="E204" i="76"/>
  <c r="A204" i="76"/>
  <c r="E203" i="76"/>
  <c r="B203" i="76"/>
  <c r="C203" i="76" s="1"/>
  <c r="A203" i="76"/>
  <c r="E202" i="76"/>
  <c r="A202" i="76"/>
  <c r="E201" i="76"/>
  <c r="B201" i="76"/>
  <c r="C201" i="76" s="1"/>
  <c r="A201" i="76"/>
  <c r="E200" i="76"/>
  <c r="A200" i="76"/>
  <c r="E199" i="76"/>
  <c r="B199" i="76"/>
  <c r="C199" i="76" s="1"/>
  <c r="A199" i="76"/>
  <c r="E198" i="76"/>
  <c r="A198" i="76"/>
  <c r="E197" i="76"/>
  <c r="B197" i="76"/>
  <c r="C197" i="76" s="1"/>
  <c r="A197" i="76"/>
  <c r="E196" i="76"/>
  <c r="A196" i="76"/>
  <c r="E195" i="76"/>
  <c r="B195" i="76"/>
  <c r="C195" i="76" s="1"/>
  <c r="A195" i="76"/>
  <c r="E194" i="76"/>
  <c r="A194" i="76"/>
  <c r="E193" i="76"/>
  <c r="B193" i="76"/>
  <c r="C193" i="76" s="1"/>
  <c r="A193" i="76"/>
  <c r="E192" i="76"/>
  <c r="A192" i="76"/>
  <c r="E191" i="76"/>
  <c r="A191" i="76"/>
  <c r="E190" i="76"/>
  <c r="A190" i="76"/>
  <c r="E189" i="76"/>
  <c r="B189" i="76"/>
  <c r="C189" i="76" s="1"/>
  <c r="A189" i="76"/>
  <c r="E188" i="76"/>
  <c r="A188" i="76"/>
  <c r="E187" i="76"/>
  <c r="A187" i="76"/>
  <c r="E186" i="76"/>
  <c r="A186" i="76"/>
  <c r="E185" i="76"/>
  <c r="B185" i="76"/>
  <c r="C185" i="76" s="1"/>
  <c r="A185" i="76"/>
  <c r="E184" i="76"/>
  <c r="A184" i="76"/>
  <c r="E183" i="76"/>
  <c r="B183" i="76"/>
  <c r="C183" i="76" s="1"/>
  <c r="A183" i="76"/>
  <c r="E182" i="76"/>
  <c r="A182" i="76"/>
  <c r="E181" i="76"/>
  <c r="B181" i="76"/>
  <c r="C181" i="76" s="1"/>
  <c r="A181" i="76"/>
  <c r="E180" i="76"/>
  <c r="A180" i="76"/>
  <c r="E179" i="76"/>
  <c r="B179" i="76"/>
  <c r="C179" i="76" s="1"/>
  <c r="A179" i="76"/>
  <c r="E178" i="76"/>
  <c r="A178" i="76"/>
  <c r="E177" i="76"/>
  <c r="B177" i="76"/>
  <c r="C177" i="76" s="1"/>
  <c r="A177" i="76"/>
  <c r="E176" i="76"/>
  <c r="A176" i="76"/>
  <c r="E175" i="76"/>
  <c r="B175" i="76"/>
  <c r="C175" i="76" s="1"/>
  <c r="A175" i="76"/>
  <c r="E174" i="76"/>
  <c r="A174" i="76"/>
  <c r="E173" i="76"/>
  <c r="B173" i="76"/>
  <c r="C173" i="76" s="1"/>
  <c r="A173" i="76"/>
  <c r="E172" i="76"/>
  <c r="A172" i="76"/>
  <c r="E171" i="76"/>
  <c r="A171" i="76"/>
  <c r="E170" i="76"/>
  <c r="A170" i="76"/>
  <c r="E169" i="76"/>
  <c r="B169" i="76"/>
  <c r="C169" i="76" s="1"/>
  <c r="A169" i="76"/>
  <c r="E168" i="76"/>
  <c r="A168" i="76"/>
  <c r="E167" i="76"/>
  <c r="A167" i="76"/>
  <c r="E166" i="76"/>
  <c r="A166" i="76"/>
  <c r="E165" i="76"/>
  <c r="B165" i="76"/>
  <c r="C165" i="76" s="1"/>
  <c r="A165" i="76"/>
  <c r="E164" i="76"/>
  <c r="A164" i="76"/>
  <c r="E163" i="76"/>
  <c r="B163" i="76"/>
  <c r="C163" i="76" s="1"/>
  <c r="A163" i="76"/>
  <c r="E162" i="76"/>
  <c r="A162" i="76"/>
  <c r="E161" i="76"/>
  <c r="B161" i="76"/>
  <c r="C161" i="76" s="1"/>
  <c r="A161" i="76"/>
  <c r="E160" i="76"/>
  <c r="B160" i="76"/>
  <c r="C160" i="76" s="1"/>
  <c r="A160" i="76"/>
  <c r="E159" i="76"/>
  <c r="B159" i="76"/>
  <c r="C159" i="76" s="1"/>
  <c r="A159" i="76"/>
  <c r="E158" i="76"/>
  <c r="A158" i="76"/>
  <c r="E157" i="76"/>
  <c r="B157" i="76"/>
  <c r="C157" i="76" s="1"/>
  <c r="A157" i="76"/>
  <c r="E156" i="76"/>
  <c r="A156" i="76"/>
  <c r="E155" i="76"/>
  <c r="B155" i="76"/>
  <c r="C155" i="76" s="1"/>
  <c r="A155" i="76"/>
  <c r="E154" i="76"/>
  <c r="A154" i="76"/>
  <c r="E153" i="76"/>
  <c r="B153" i="76"/>
  <c r="C153" i="76" s="1"/>
  <c r="A153" i="76"/>
  <c r="E152" i="76"/>
  <c r="B152" i="76"/>
  <c r="C152" i="76" s="1"/>
  <c r="A152" i="76"/>
  <c r="E151" i="76"/>
  <c r="A151" i="76"/>
  <c r="E150" i="76"/>
  <c r="B150" i="76"/>
  <c r="C150" i="76" s="1"/>
  <c r="A150" i="76"/>
  <c r="E149" i="76"/>
  <c r="B149" i="76"/>
  <c r="C149" i="76" s="1"/>
  <c r="A149" i="76"/>
  <c r="E148" i="76"/>
  <c r="A148" i="76"/>
  <c r="E147" i="76"/>
  <c r="A147" i="76"/>
  <c r="E146" i="76"/>
  <c r="A146" i="76"/>
  <c r="E145" i="76"/>
  <c r="B145" i="76"/>
  <c r="C145" i="76" s="1"/>
  <c r="A145" i="76"/>
  <c r="E144" i="76"/>
  <c r="A144" i="76"/>
  <c r="E143" i="76"/>
  <c r="B143" i="76"/>
  <c r="C143" i="76" s="1"/>
  <c r="A143" i="76"/>
  <c r="E142" i="76"/>
  <c r="A142" i="76"/>
  <c r="E141" i="76"/>
  <c r="B141" i="76"/>
  <c r="C141" i="76" s="1"/>
  <c r="A141" i="76"/>
  <c r="E140" i="76"/>
  <c r="B140" i="76"/>
  <c r="C140" i="76" s="1"/>
  <c r="A140" i="76"/>
  <c r="E139" i="76"/>
  <c r="B139" i="76"/>
  <c r="C139" i="76" s="1"/>
  <c r="A139" i="76"/>
  <c r="E138" i="76"/>
  <c r="A138" i="76"/>
  <c r="E137" i="76"/>
  <c r="B137" i="76"/>
  <c r="C137" i="76" s="1"/>
  <c r="A137" i="76"/>
  <c r="E136" i="76"/>
  <c r="A136" i="76"/>
  <c r="E135" i="76"/>
  <c r="B135" i="76"/>
  <c r="C135" i="76" s="1"/>
  <c r="A135" i="76"/>
  <c r="E134" i="76"/>
  <c r="A134" i="76"/>
  <c r="E133" i="76"/>
  <c r="B133" i="76"/>
  <c r="C133" i="76" s="1"/>
  <c r="A133" i="76"/>
  <c r="E132" i="76"/>
  <c r="A132" i="76"/>
  <c r="E131" i="76"/>
  <c r="A131" i="76"/>
  <c r="E130" i="76"/>
  <c r="A130" i="76"/>
  <c r="E129" i="76"/>
  <c r="B129" i="76"/>
  <c r="C129" i="76" s="1"/>
  <c r="A129" i="76"/>
  <c r="E128" i="76"/>
  <c r="A128" i="76"/>
  <c r="E127" i="76"/>
  <c r="A127" i="76"/>
  <c r="E126" i="76"/>
  <c r="A126" i="76"/>
  <c r="E125" i="76"/>
  <c r="B125" i="76"/>
  <c r="C125" i="76" s="1"/>
  <c r="A125" i="76"/>
  <c r="E124" i="76"/>
  <c r="B124" i="76"/>
  <c r="C124" i="76" s="1"/>
  <c r="A124" i="76"/>
  <c r="E123" i="76"/>
  <c r="B123" i="76"/>
  <c r="C123" i="76" s="1"/>
  <c r="A123" i="76"/>
  <c r="E122" i="76"/>
  <c r="A122" i="76"/>
  <c r="E121" i="76"/>
  <c r="B121" i="76"/>
  <c r="C121" i="76" s="1"/>
  <c r="A121" i="76"/>
  <c r="E120" i="76"/>
  <c r="A120" i="76"/>
  <c r="E119" i="76"/>
  <c r="B119" i="76"/>
  <c r="C119" i="76" s="1"/>
  <c r="A119" i="76"/>
  <c r="E118" i="76"/>
  <c r="A118" i="76"/>
  <c r="E117" i="76"/>
  <c r="B117" i="76"/>
  <c r="C117" i="76" s="1"/>
  <c r="A117" i="76"/>
  <c r="E116" i="76"/>
  <c r="A116" i="76"/>
  <c r="E115" i="76"/>
  <c r="B115" i="76"/>
  <c r="C115" i="76" s="1"/>
  <c r="A115" i="76"/>
  <c r="E114" i="76"/>
  <c r="A114" i="76"/>
  <c r="E113" i="76"/>
  <c r="B113" i="76"/>
  <c r="C113" i="76" s="1"/>
  <c r="A113" i="76"/>
  <c r="E112" i="76"/>
  <c r="A112" i="76"/>
  <c r="E111" i="76"/>
  <c r="A111" i="76"/>
  <c r="E110" i="76"/>
  <c r="A110" i="76"/>
  <c r="E109" i="76"/>
  <c r="B109" i="76"/>
  <c r="C109" i="76" s="1"/>
  <c r="A109" i="76"/>
  <c r="E108" i="76"/>
  <c r="A108" i="76"/>
  <c r="E107" i="76"/>
  <c r="A107" i="76"/>
  <c r="E106" i="76"/>
  <c r="A106" i="76"/>
  <c r="E105" i="76"/>
  <c r="B105" i="76"/>
  <c r="C105" i="76" s="1"/>
  <c r="A105" i="76"/>
  <c r="E104" i="76"/>
  <c r="A104" i="76"/>
  <c r="E103" i="76"/>
  <c r="B103" i="76"/>
  <c r="C103" i="76" s="1"/>
  <c r="A103" i="76"/>
  <c r="E102" i="76"/>
  <c r="B102" i="76"/>
  <c r="C102" i="76" s="1"/>
  <c r="A102" i="76"/>
  <c r="E101" i="76"/>
  <c r="B101" i="76"/>
  <c r="C101" i="76" s="1"/>
  <c r="A101" i="76"/>
  <c r="E100" i="76"/>
  <c r="A100" i="76"/>
  <c r="E99" i="76"/>
  <c r="B99" i="76"/>
  <c r="C99" i="76" s="1"/>
  <c r="A99" i="76"/>
  <c r="E98" i="76"/>
  <c r="A98" i="76"/>
  <c r="E97" i="76"/>
  <c r="B97" i="76"/>
  <c r="C97" i="76" s="1"/>
  <c r="A97" i="76"/>
  <c r="E96" i="76"/>
  <c r="A96" i="76"/>
  <c r="E95" i="76"/>
  <c r="B95" i="76"/>
  <c r="C95" i="76" s="1"/>
  <c r="A95" i="76"/>
  <c r="E94" i="76"/>
  <c r="A94" i="76"/>
  <c r="E93" i="76"/>
  <c r="B93" i="76"/>
  <c r="C93" i="76" s="1"/>
  <c r="A93" i="76"/>
  <c r="E92" i="76"/>
  <c r="A92" i="76"/>
  <c r="E91" i="76"/>
  <c r="A91" i="76"/>
  <c r="E90" i="76"/>
  <c r="A90" i="76"/>
  <c r="E89" i="76"/>
  <c r="B89" i="76"/>
  <c r="C89" i="76" s="1"/>
  <c r="A89" i="76"/>
  <c r="E88" i="76"/>
  <c r="A88" i="76"/>
  <c r="E87" i="76"/>
  <c r="A87" i="76"/>
  <c r="E86" i="76"/>
  <c r="A86" i="76"/>
  <c r="E85" i="76"/>
  <c r="B85" i="76"/>
  <c r="C85" i="76" s="1"/>
  <c r="A85" i="76"/>
  <c r="E84" i="76"/>
  <c r="A84" i="76"/>
  <c r="E83" i="76"/>
  <c r="B83" i="76"/>
  <c r="C83" i="76" s="1"/>
  <c r="A83" i="76"/>
  <c r="E82" i="76"/>
  <c r="A82" i="76"/>
  <c r="E81" i="76"/>
  <c r="B81" i="76"/>
  <c r="C81" i="76" s="1"/>
  <c r="A81" i="76"/>
  <c r="E80" i="76"/>
  <c r="A80" i="76"/>
  <c r="E79" i="76"/>
  <c r="B79" i="76"/>
  <c r="C79" i="76" s="1"/>
  <c r="A79" i="76"/>
  <c r="E78" i="76"/>
  <c r="A78" i="76"/>
  <c r="E77" i="76"/>
  <c r="B77" i="76"/>
  <c r="C77" i="76" s="1"/>
  <c r="A77" i="76"/>
  <c r="E76" i="76"/>
  <c r="A76" i="76"/>
  <c r="E75" i="76"/>
  <c r="B75" i="76"/>
  <c r="C75" i="76" s="1"/>
  <c r="A75" i="76"/>
  <c r="E74" i="76"/>
  <c r="A74" i="76"/>
  <c r="E73" i="76"/>
  <c r="B73" i="76"/>
  <c r="C73" i="76" s="1"/>
  <c r="A73" i="76"/>
  <c r="E72" i="76"/>
  <c r="B72" i="76"/>
  <c r="C72" i="76" s="1"/>
  <c r="A72" i="76"/>
  <c r="E71" i="76"/>
  <c r="A71" i="76"/>
  <c r="E70" i="76"/>
  <c r="B70" i="76"/>
  <c r="C70" i="76" s="1"/>
  <c r="A70" i="76"/>
  <c r="E69" i="76"/>
  <c r="B69" i="76"/>
  <c r="C69" i="76" s="1"/>
  <c r="A69" i="76"/>
  <c r="E68" i="76"/>
  <c r="A68" i="76"/>
  <c r="E67" i="76"/>
  <c r="A67" i="76"/>
  <c r="E66" i="76"/>
  <c r="A66" i="76"/>
  <c r="E65" i="76"/>
  <c r="B65" i="76"/>
  <c r="C65" i="76" s="1"/>
  <c r="A65" i="76"/>
  <c r="E64" i="76"/>
  <c r="A64" i="76"/>
  <c r="E63" i="76"/>
  <c r="B63" i="76"/>
  <c r="C63" i="76" s="1"/>
  <c r="A63" i="76"/>
  <c r="E62" i="76"/>
  <c r="B62" i="76"/>
  <c r="C62" i="76" s="1"/>
  <c r="A62" i="76"/>
  <c r="E61" i="76"/>
  <c r="B61" i="76"/>
  <c r="C61" i="76" s="1"/>
  <c r="A61" i="76"/>
  <c r="E60" i="76"/>
  <c r="A60" i="76"/>
  <c r="E59" i="76"/>
  <c r="B59" i="76"/>
  <c r="C59" i="76" s="1"/>
  <c r="A59" i="76"/>
  <c r="E58" i="76"/>
  <c r="B58" i="76"/>
  <c r="C58" i="76" s="1"/>
  <c r="A58" i="76"/>
  <c r="E57" i="76"/>
  <c r="B57" i="76"/>
  <c r="C57" i="76" s="1"/>
  <c r="A57" i="76"/>
  <c r="E56" i="76"/>
  <c r="B56" i="76"/>
  <c r="C56" i="76" s="1"/>
  <c r="A56" i="76"/>
  <c r="E55" i="76"/>
  <c r="B55" i="76"/>
  <c r="C55" i="76" s="1"/>
  <c r="A55" i="76"/>
  <c r="E54" i="76"/>
  <c r="A54" i="76"/>
  <c r="E53" i="76"/>
  <c r="B53" i="76"/>
  <c r="C53" i="76" s="1"/>
  <c r="A53" i="76"/>
  <c r="E52" i="76"/>
  <c r="A52" i="76"/>
  <c r="E51" i="76"/>
  <c r="A51" i="76"/>
  <c r="E50" i="76"/>
  <c r="A50" i="76"/>
  <c r="E49" i="76"/>
  <c r="B49" i="76"/>
  <c r="C49" i="76" s="1"/>
  <c r="A49" i="76"/>
  <c r="E48" i="76"/>
  <c r="A48" i="76"/>
  <c r="E47" i="76"/>
  <c r="A47" i="76"/>
  <c r="E46" i="76"/>
  <c r="A46" i="76"/>
  <c r="E45" i="76"/>
  <c r="B45" i="76"/>
  <c r="C45" i="76" s="1"/>
  <c r="A45" i="76"/>
  <c r="E44" i="76"/>
  <c r="B44" i="76"/>
  <c r="C44" i="76" s="1"/>
  <c r="A44" i="76"/>
  <c r="E43" i="76"/>
  <c r="B43" i="76"/>
  <c r="C43" i="76" s="1"/>
  <c r="A43" i="76"/>
  <c r="E42" i="76"/>
  <c r="A42" i="76"/>
  <c r="E41" i="76"/>
  <c r="B41" i="76"/>
  <c r="C41" i="76" s="1"/>
  <c r="A41" i="76"/>
  <c r="E40" i="76"/>
  <c r="B40" i="76"/>
  <c r="C40" i="76" s="1"/>
  <c r="A40" i="76"/>
  <c r="E39" i="76"/>
  <c r="B39" i="76"/>
  <c r="C39" i="76" s="1"/>
  <c r="A39" i="76"/>
  <c r="E38" i="76"/>
  <c r="B38" i="76"/>
  <c r="C38" i="76" s="1"/>
  <c r="A38" i="76"/>
  <c r="E37" i="76"/>
  <c r="B37" i="76"/>
  <c r="C37" i="76" s="1"/>
  <c r="A37" i="76"/>
  <c r="E36" i="76"/>
  <c r="B36" i="76"/>
  <c r="C36" i="76" s="1"/>
  <c r="A36" i="76"/>
  <c r="E35" i="76"/>
  <c r="B35" i="76"/>
  <c r="C35" i="76" s="1"/>
  <c r="A35" i="76"/>
  <c r="E34" i="76"/>
  <c r="A34" i="76"/>
  <c r="E33" i="76"/>
  <c r="B33" i="76"/>
  <c r="C33" i="76" s="1"/>
  <c r="A33" i="76"/>
  <c r="E32" i="76"/>
  <c r="B32" i="76"/>
  <c r="C32" i="76" s="1"/>
  <c r="A32" i="76"/>
  <c r="E31" i="76"/>
  <c r="A31" i="76"/>
  <c r="E30" i="76"/>
  <c r="B30" i="76"/>
  <c r="C30" i="76" s="1"/>
  <c r="A30" i="76"/>
  <c r="E29" i="76"/>
  <c r="B29" i="76"/>
  <c r="C29" i="76" s="1"/>
  <c r="A29" i="76"/>
  <c r="E28" i="76"/>
  <c r="B28" i="76"/>
  <c r="C28" i="76" s="1"/>
  <c r="A28" i="76"/>
  <c r="E27" i="76"/>
  <c r="A27" i="76"/>
  <c r="E26" i="76"/>
  <c r="B26" i="76"/>
  <c r="C26" i="76" s="1"/>
  <c r="A26" i="76"/>
  <c r="E25" i="76"/>
  <c r="B25" i="76"/>
  <c r="C25" i="76" s="1"/>
  <c r="A25" i="76"/>
  <c r="E24" i="76"/>
  <c r="C24" i="76"/>
  <c r="B24" i="76"/>
  <c r="A24" i="76"/>
  <c r="E23" i="76"/>
  <c r="B23" i="76"/>
  <c r="C23" i="76" s="1"/>
  <c r="A23" i="76"/>
  <c r="E22" i="76"/>
  <c r="B22" i="76"/>
  <c r="C22" i="76" s="1"/>
  <c r="A22" i="76"/>
  <c r="E21" i="76"/>
  <c r="B21" i="76"/>
  <c r="C21" i="76" s="1"/>
  <c r="A21" i="76"/>
  <c r="E20" i="76"/>
  <c r="B20" i="76"/>
  <c r="C20" i="76" s="1"/>
  <c r="A20" i="76"/>
  <c r="E19" i="76"/>
  <c r="B19" i="76"/>
  <c r="C19" i="76" s="1"/>
  <c r="A19" i="76"/>
  <c r="E18" i="76"/>
  <c r="B18" i="76"/>
  <c r="C18" i="76" s="1"/>
  <c r="A18" i="76"/>
  <c r="E17" i="76"/>
  <c r="B17" i="76"/>
  <c r="C17" i="76" s="1"/>
  <c r="A17" i="76"/>
  <c r="E16" i="76"/>
  <c r="B16" i="76"/>
  <c r="C16" i="76" s="1"/>
  <c r="A16" i="76"/>
  <c r="E15" i="76"/>
  <c r="B15" i="76"/>
  <c r="C15" i="76" s="1"/>
  <c r="A15" i="76"/>
  <c r="E14" i="76"/>
  <c r="A14" i="76"/>
  <c r="E13" i="76"/>
  <c r="B13" i="76"/>
  <c r="C13" i="76" s="1"/>
  <c r="A13" i="76"/>
  <c r="E12" i="76"/>
  <c r="B12" i="76"/>
  <c r="C12" i="76" s="1"/>
  <c r="A12" i="76"/>
  <c r="E11" i="76"/>
  <c r="A11" i="76"/>
  <c r="E10" i="76"/>
  <c r="B10" i="76"/>
  <c r="C10" i="76" s="1"/>
  <c r="A10" i="76"/>
  <c r="E9" i="76"/>
  <c r="B9" i="76"/>
  <c r="C9" i="76" s="1"/>
  <c r="A9" i="76"/>
  <c r="E8" i="76"/>
  <c r="B8" i="76"/>
  <c r="C8" i="76" s="1"/>
  <c r="A8" i="76"/>
  <c r="E7" i="76"/>
  <c r="A7" i="76"/>
  <c r="E6" i="76"/>
  <c r="B6" i="76"/>
  <c r="C6" i="76" s="1"/>
  <c r="A6" i="76"/>
  <c r="E5" i="76"/>
  <c r="B5" i="76"/>
  <c r="C5" i="76" s="1"/>
  <c r="A5" i="76"/>
  <c r="AC62" i="75"/>
  <c r="AB62" i="75"/>
  <c r="AA62" i="75"/>
  <c r="Z62" i="75"/>
  <c r="X62" i="75"/>
  <c r="W62" i="75"/>
  <c r="V62" i="75"/>
  <c r="U62" i="75"/>
  <c r="T62" i="75"/>
  <c r="AC61" i="75"/>
  <c r="AA61" i="75"/>
  <c r="Z61" i="75"/>
  <c r="Y61" i="75"/>
  <c r="W61" i="75"/>
  <c r="U61" i="75"/>
  <c r="T61" i="75"/>
  <c r="S61" i="75"/>
  <c r="AB60" i="75"/>
  <c r="AA60" i="75"/>
  <c r="Z60" i="75"/>
  <c r="Y60" i="75"/>
  <c r="X60" i="75"/>
  <c r="W60" i="75"/>
  <c r="V60" i="75"/>
  <c r="U60" i="75"/>
  <c r="T60" i="75"/>
  <c r="S60" i="75"/>
  <c r="AC59" i="75"/>
  <c r="AA59" i="75"/>
  <c r="Y59" i="75"/>
  <c r="X59" i="75"/>
  <c r="W59" i="75"/>
  <c r="U59" i="75"/>
  <c r="S59" i="75"/>
  <c r="N50" i="75"/>
  <c r="M50" i="75"/>
  <c r="L50" i="75"/>
  <c r="K50" i="75"/>
  <c r="J50" i="75"/>
  <c r="I50" i="75"/>
  <c r="H50" i="75"/>
  <c r="G50" i="75"/>
  <c r="F50" i="75"/>
  <c r="E50" i="75"/>
  <c r="D50" i="75"/>
  <c r="C50" i="75"/>
  <c r="B50" i="75"/>
  <c r="N49" i="75"/>
  <c r="M49" i="75"/>
  <c r="L49" i="75"/>
  <c r="K49" i="75"/>
  <c r="J49" i="75"/>
  <c r="I49" i="75"/>
  <c r="H49" i="75"/>
  <c r="G49" i="75"/>
  <c r="F49" i="75"/>
  <c r="E49" i="75"/>
  <c r="D49" i="75"/>
  <c r="C49" i="75"/>
  <c r="B49" i="75"/>
  <c r="N48" i="75"/>
  <c r="M48" i="75"/>
  <c r="L48" i="75"/>
  <c r="K48" i="75"/>
  <c r="J48" i="75"/>
  <c r="I48" i="75"/>
  <c r="H48" i="75"/>
  <c r="G48" i="75"/>
  <c r="F48" i="75"/>
  <c r="E48" i="75"/>
  <c r="D48" i="75"/>
  <c r="C48" i="75"/>
  <c r="B48" i="75"/>
  <c r="N47" i="75"/>
  <c r="M47" i="75"/>
  <c r="L47" i="75"/>
  <c r="K47" i="75"/>
  <c r="J47" i="75"/>
  <c r="I47" i="75"/>
  <c r="H47" i="75"/>
  <c r="G47" i="75"/>
  <c r="F47" i="75"/>
  <c r="E47" i="75"/>
  <c r="D47" i="75"/>
  <c r="C47" i="75"/>
  <c r="B47" i="75"/>
  <c r="N46" i="75"/>
  <c r="M46" i="75"/>
  <c r="L46" i="75"/>
  <c r="K46" i="75"/>
  <c r="J46" i="75"/>
  <c r="I46" i="75"/>
  <c r="H46" i="75"/>
  <c r="G46" i="75"/>
  <c r="F46" i="75"/>
  <c r="E46" i="75"/>
  <c r="D46" i="75"/>
  <c r="C46" i="75"/>
  <c r="B46" i="75"/>
  <c r="N45" i="75"/>
  <c r="M45" i="75"/>
  <c r="L45" i="75"/>
  <c r="K45" i="75"/>
  <c r="J45" i="75"/>
  <c r="I45" i="75"/>
  <c r="H45" i="75"/>
  <c r="G45" i="75"/>
  <c r="F45" i="75"/>
  <c r="E45" i="75"/>
  <c r="D45" i="75"/>
  <c r="C45" i="75"/>
  <c r="B45" i="75"/>
  <c r="N44" i="75"/>
  <c r="M44" i="75"/>
  <c r="L44" i="75"/>
  <c r="K44" i="75"/>
  <c r="J44" i="75"/>
  <c r="I44" i="75"/>
  <c r="H44" i="75"/>
  <c r="G44" i="75"/>
  <c r="F44" i="75"/>
  <c r="E44" i="75"/>
  <c r="D44" i="75"/>
  <c r="C44" i="75"/>
  <c r="B44" i="75"/>
  <c r="N43" i="75"/>
  <c r="M43" i="75"/>
  <c r="L43" i="75"/>
  <c r="K43" i="75"/>
  <c r="J43" i="75"/>
  <c r="I43" i="75"/>
  <c r="H43" i="75"/>
  <c r="G43" i="75"/>
  <c r="F43" i="75"/>
  <c r="E43" i="75"/>
  <c r="D43" i="75"/>
  <c r="C43" i="75"/>
  <c r="B43" i="75"/>
  <c r="N42" i="75"/>
  <c r="M42" i="75"/>
  <c r="L42" i="75"/>
  <c r="K42" i="75"/>
  <c r="J42" i="75"/>
  <c r="I42" i="75"/>
  <c r="H42" i="75"/>
  <c r="G42" i="75"/>
  <c r="F42" i="75"/>
  <c r="E42" i="75"/>
  <c r="D42" i="75"/>
  <c r="C42" i="75"/>
  <c r="B42" i="75"/>
  <c r="N41" i="75"/>
  <c r="M41" i="75"/>
  <c r="L41" i="75"/>
  <c r="K41" i="75"/>
  <c r="J41" i="75"/>
  <c r="I41" i="75"/>
  <c r="H41" i="75"/>
  <c r="G41" i="75"/>
  <c r="F41" i="75"/>
  <c r="E41" i="75"/>
  <c r="D41" i="75"/>
  <c r="C41" i="75"/>
  <c r="B41" i="75"/>
  <c r="N40" i="75"/>
  <c r="M40" i="75"/>
  <c r="L40" i="75"/>
  <c r="K40" i="75"/>
  <c r="J40" i="75"/>
  <c r="I40" i="75"/>
  <c r="H40" i="75"/>
  <c r="G40" i="75"/>
  <c r="F40" i="75"/>
  <c r="E40" i="75"/>
  <c r="D40" i="75"/>
  <c r="C40" i="75"/>
  <c r="B40" i="75"/>
  <c r="N39" i="75"/>
  <c r="M39" i="75"/>
  <c r="L39" i="75"/>
  <c r="K39" i="75"/>
  <c r="J39" i="75"/>
  <c r="I39" i="75"/>
  <c r="H39" i="75"/>
  <c r="G39" i="75"/>
  <c r="F39" i="75"/>
  <c r="E39" i="75"/>
  <c r="D39" i="75"/>
  <c r="C39" i="75"/>
  <c r="B39" i="75"/>
  <c r="N38" i="75"/>
  <c r="M38" i="75"/>
  <c r="L38" i="75"/>
  <c r="K38" i="75"/>
  <c r="J38" i="75"/>
  <c r="I38" i="75"/>
  <c r="H38" i="75"/>
  <c r="G38" i="75"/>
  <c r="F38" i="75"/>
  <c r="E38" i="75"/>
  <c r="D38" i="75"/>
  <c r="C38" i="75"/>
  <c r="B38" i="75"/>
  <c r="N37" i="75"/>
  <c r="M37" i="75"/>
  <c r="L37" i="75"/>
  <c r="K37" i="75"/>
  <c r="J37" i="75"/>
  <c r="I37" i="75"/>
  <c r="H37" i="75"/>
  <c r="G37" i="75"/>
  <c r="F37" i="75"/>
  <c r="E37" i="75"/>
  <c r="D37" i="75"/>
  <c r="C37" i="75"/>
  <c r="B37" i="75"/>
  <c r="N36" i="75"/>
  <c r="M36" i="75"/>
  <c r="L36" i="75"/>
  <c r="K36" i="75"/>
  <c r="J36" i="75"/>
  <c r="I36" i="75"/>
  <c r="H36" i="75"/>
  <c r="G36" i="75"/>
  <c r="F36" i="75"/>
  <c r="E36" i="75"/>
  <c r="D36" i="75"/>
  <c r="C36" i="75"/>
  <c r="B36" i="75"/>
  <c r="N35" i="75"/>
  <c r="M35" i="75"/>
  <c r="L35" i="75"/>
  <c r="K35" i="75"/>
  <c r="J35" i="75"/>
  <c r="I35" i="75"/>
  <c r="H35" i="75"/>
  <c r="G35" i="75"/>
  <c r="F35" i="75"/>
  <c r="E35" i="75"/>
  <c r="D35" i="75"/>
  <c r="C35" i="75"/>
  <c r="B35" i="75"/>
  <c r="N34" i="75"/>
  <c r="M34" i="75"/>
  <c r="L34" i="75"/>
  <c r="K34" i="75"/>
  <c r="J34" i="75"/>
  <c r="I34" i="75"/>
  <c r="H34" i="75"/>
  <c r="G34" i="75"/>
  <c r="F34" i="75"/>
  <c r="E34" i="75"/>
  <c r="D34" i="75"/>
  <c r="C34" i="75"/>
  <c r="B34" i="75"/>
  <c r="N33" i="75"/>
  <c r="M33" i="75"/>
  <c r="L33" i="75"/>
  <c r="K33" i="75"/>
  <c r="J33" i="75"/>
  <c r="I33" i="75"/>
  <c r="H33" i="75"/>
  <c r="G33" i="75"/>
  <c r="F33" i="75"/>
  <c r="E33" i="75"/>
  <c r="D33" i="75"/>
  <c r="C33" i="75"/>
  <c r="B33" i="75"/>
  <c r="N32" i="75"/>
  <c r="M32" i="75"/>
  <c r="L32" i="75"/>
  <c r="K32" i="75"/>
  <c r="J32" i="75"/>
  <c r="I32" i="75"/>
  <c r="H32" i="75"/>
  <c r="G32" i="75"/>
  <c r="F32" i="75"/>
  <c r="E32" i="75"/>
  <c r="D32" i="75"/>
  <c r="C32" i="75"/>
  <c r="B32" i="75"/>
  <c r="N31" i="75"/>
  <c r="M31" i="75"/>
  <c r="L31" i="75"/>
  <c r="K31" i="75"/>
  <c r="J31" i="75"/>
  <c r="I31" i="75"/>
  <c r="H31" i="75"/>
  <c r="G31" i="75"/>
  <c r="F31" i="75"/>
  <c r="E31" i="75"/>
  <c r="D31" i="75"/>
  <c r="C31" i="75"/>
  <c r="B31" i="75"/>
  <c r="AC54" i="75"/>
  <c r="AB54" i="75"/>
  <c r="AA54" i="75"/>
  <c r="Z54" i="75"/>
  <c r="Y54" i="75"/>
  <c r="X54" i="75"/>
  <c r="W54" i="75"/>
  <c r="V54" i="75"/>
  <c r="U54" i="75"/>
  <c r="T54" i="75"/>
  <c r="S54" i="75"/>
  <c r="AB53" i="75"/>
  <c r="AA53" i="75"/>
  <c r="Z53" i="75"/>
  <c r="Y53" i="75"/>
  <c r="X53" i="75"/>
  <c r="W53" i="75"/>
  <c r="V53" i="75"/>
  <c r="U53" i="75"/>
  <c r="T53" i="75"/>
  <c r="S53" i="75"/>
  <c r="AC52" i="75"/>
  <c r="AB52" i="75"/>
  <c r="AA52" i="75"/>
  <c r="Z52" i="75"/>
  <c r="Y52" i="75"/>
  <c r="X52" i="75"/>
  <c r="W52" i="75"/>
  <c r="V52" i="75"/>
  <c r="U52" i="75"/>
  <c r="T52" i="75"/>
  <c r="S52" i="75"/>
  <c r="AC51" i="75"/>
  <c r="AB51" i="75"/>
  <c r="AA51" i="75"/>
  <c r="Z51" i="75"/>
  <c r="Y51" i="75"/>
  <c r="X51" i="75"/>
  <c r="W51" i="75"/>
  <c r="V51" i="75"/>
  <c r="U51" i="75"/>
  <c r="T51" i="75"/>
  <c r="S51" i="75"/>
  <c r="N26" i="75"/>
  <c r="M26" i="75"/>
  <c r="L26" i="75"/>
  <c r="K26" i="75"/>
  <c r="J26" i="75"/>
  <c r="I26" i="75"/>
  <c r="H26" i="75"/>
  <c r="G26" i="75"/>
  <c r="F26" i="75"/>
  <c r="E26" i="75"/>
  <c r="D26" i="75"/>
  <c r="C26" i="75"/>
  <c r="B26" i="75"/>
  <c r="N25" i="75"/>
  <c r="M25" i="75"/>
  <c r="L25" i="75"/>
  <c r="K25" i="75"/>
  <c r="J25" i="75"/>
  <c r="I25" i="75"/>
  <c r="H25" i="75"/>
  <c r="G25" i="75"/>
  <c r="F25" i="75"/>
  <c r="E25" i="75"/>
  <c r="D25" i="75"/>
  <c r="C25" i="75"/>
  <c r="B25" i="75"/>
  <c r="N24" i="75"/>
  <c r="M24" i="75"/>
  <c r="L24" i="75"/>
  <c r="K24" i="75"/>
  <c r="J24" i="75"/>
  <c r="I24" i="75"/>
  <c r="H24" i="75"/>
  <c r="G24" i="75"/>
  <c r="F24" i="75"/>
  <c r="E24" i="75"/>
  <c r="D24" i="75"/>
  <c r="C24" i="75"/>
  <c r="B24" i="75"/>
  <c r="N23" i="75"/>
  <c r="M23" i="75"/>
  <c r="L23" i="75"/>
  <c r="K23" i="75"/>
  <c r="J23" i="75"/>
  <c r="I23" i="75"/>
  <c r="H23" i="75"/>
  <c r="G23" i="75"/>
  <c r="F23" i="75"/>
  <c r="E23" i="75"/>
  <c r="D23" i="75"/>
  <c r="C23" i="75"/>
  <c r="B23" i="75"/>
  <c r="N22" i="75"/>
  <c r="M22" i="75"/>
  <c r="L22" i="75"/>
  <c r="K22" i="75"/>
  <c r="J22" i="75"/>
  <c r="I22" i="75"/>
  <c r="H22" i="75"/>
  <c r="G22" i="75"/>
  <c r="F22" i="75"/>
  <c r="E22" i="75"/>
  <c r="D22" i="75"/>
  <c r="C22" i="75"/>
  <c r="B22" i="75"/>
  <c r="N21" i="75"/>
  <c r="M21" i="75"/>
  <c r="L21" i="75"/>
  <c r="K21" i="75"/>
  <c r="J21" i="75"/>
  <c r="I21" i="75"/>
  <c r="H21" i="75"/>
  <c r="G21" i="75"/>
  <c r="F21" i="75"/>
  <c r="E21" i="75"/>
  <c r="D21" i="75"/>
  <c r="C21" i="75"/>
  <c r="B21" i="75"/>
  <c r="N20" i="75"/>
  <c r="M20" i="75"/>
  <c r="L20" i="75"/>
  <c r="K20" i="75"/>
  <c r="J20" i="75"/>
  <c r="I20" i="75"/>
  <c r="H20" i="75"/>
  <c r="G20" i="75"/>
  <c r="F20" i="75"/>
  <c r="E20" i="75"/>
  <c r="D20" i="75"/>
  <c r="C20" i="75"/>
  <c r="B20" i="75"/>
  <c r="N19" i="75"/>
  <c r="M19" i="75"/>
  <c r="L19" i="75"/>
  <c r="K19" i="75"/>
  <c r="J19" i="75"/>
  <c r="I19" i="75"/>
  <c r="H19" i="75"/>
  <c r="G19" i="75"/>
  <c r="F19" i="75"/>
  <c r="E19" i="75"/>
  <c r="D19" i="75"/>
  <c r="C19" i="75"/>
  <c r="B19" i="75"/>
  <c r="N18" i="75"/>
  <c r="M18" i="75"/>
  <c r="L18" i="75"/>
  <c r="K18" i="75"/>
  <c r="J18" i="75"/>
  <c r="I18" i="75"/>
  <c r="H18" i="75"/>
  <c r="G18" i="75"/>
  <c r="F18" i="75"/>
  <c r="E18" i="75"/>
  <c r="D18" i="75"/>
  <c r="C18" i="75"/>
  <c r="B18" i="75"/>
  <c r="N17" i="75"/>
  <c r="M17" i="75"/>
  <c r="L17" i="75"/>
  <c r="K17" i="75"/>
  <c r="J17" i="75"/>
  <c r="I17" i="75"/>
  <c r="H17" i="75"/>
  <c r="G17" i="75"/>
  <c r="F17" i="75"/>
  <c r="E17" i="75"/>
  <c r="D17" i="75"/>
  <c r="C17" i="75"/>
  <c r="B17" i="75"/>
  <c r="N16" i="75"/>
  <c r="M16" i="75"/>
  <c r="L16" i="75"/>
  <c r="K16" i="75"/>
  <c r="J16" i="75"/>
  <c r="I16" i="75"/>
  <c r="H16" i="75"/>
  <c r="G16" i="75"/>
  <c r="F16" i="75"/>
  <c r="E16" i="75"/>
  <c r="D16" i="75"/>
  <c r="C16" i="75"/>
  <c r="B16" i="75"/>
  <c r="N15" i="75"/>
  <c r="M15" i="75"/>
  <c r="L15" i="75"/>
  <c r="K15" i="75"/>
  <c r="J15" i="75"/>
  <c r="I15" i="75"/>
  <c r="H15" i="75"/>
  <c r="G15" i="75"/>
  <c r="F15" i="75"/>
  <c r="E15" i="75"/>
  <c r="D15" i="75"/>
  <c r="C15" i="75"/>
  <c r="B15" i="75"/>
  <c r="N14" i="75"/>
  <c r="M14" i="75"/>
  <c r="L14" i="75"/>
  <c r="K14" i="75"/>
  <c r="J14" i="75"/>
  <c r="I14" i="75"/>
  <c r="H14" i="75"/>
  <c r="G14" i="75"/>
  <c r="F14" i="75"/>
  <c r="E14" i="75"/>
  <c r="D14" i="75"/>
  <c r="C14" i="75"/>
  <c r="B14" i="75"/>
  <c r="N13" i="75"/>
  <c r="M13" i="75"/>
  <c r="L13" i="75"/>
  <c r="K13" i="75"/>
  <c r="J13" i="75"/>
  <c r="I13" i="75"/>
  <c r="H13" i="75"/>
  <c r="G13" i="75"/>
  <c r="F13" i="75"/>
  <c r="E13" i="75"/>
  <c r="D13" i="75"/>
  <c r="C13" i="75"/>
  <c r="B13" i="75"/>
  <c r="N12" i="75"/>
  <c r="M12" i="75"/>
  <c r="L12" i="75"/>
  <c r="K12" i="75"/>
  <c r="J12" i="75"/>
  <c r="I12" i="75"/>
  <c r="H12" i="75"/>
  <c r="G12" i="75"/>
  <c r="F12" i="75"/>
  <c r="E12" i="75"/>
  <c r="D12" i="75"/>
  <c r="C12" i="75"/>
  <c r="B12" i="75"/>
  <c r="N11" i="75"/>
  <c r="M11" i="75"/>
  <c r="L11" i="75"/>
  <c r="K11" i="75"/>
  <c r="J11" i="75"/>
  <c r="I11" i="75"/>
  <c r="H11" i="75"/>
  <c r="G11" i="75"/>
  <c r="F11" i="75"/>
  <c r="E11" i="75"/>
  <c r="D11" i="75"/>
  <c r="C11" i="75"/>
  <c r="B11" i="75"/>
  <c r="N10" i="75"/>
  <c r="M10" i="75"/>
  <c r="L10" i="75"/>
  <c r="K10" i="75"/>
  <c r="J10" i="75"/>
  <c r="I10" i="75"/>
  <c r="H10" i="75"/>
  <c r="G10" i="75"/>
  <c r="F10" i="75"/>
  <c r="E10" i="75"/>
  <c r="D10" i="75"/>
  <c r="C10" i="75"/>
  <c r="B10" i="75"/>
  <c r="N9" i="75"/>
  <c r="M9" i="75"/>
  <c r="L9" i="75"/>
  <c r="K9" i="75"/>
  <c r="J9" i="75"/>
  <c r="I9" i="75"/>
  <c r="H9" i="75"/>
  <c r="G9" i="75"/>
  <c r="F9" i="75"/>
  <c r="E9" i="75"/>
  <c r="D9" i="75"/>
  <c r="C9" i="75"/>
  <c r="B9" i="75"/>
  <c r="N8" i="75"/>
  <c r="M8" i="75"/>
  <c r="L8" i="75"/>
  <c r="K8" i="75"/>
  <c r="J8" i="75"/>
  <c r="I8" i="75"/>
  <c r="H8" i="75"/>
  <c r="G8" i="75"/>
  <c r="F8" i="75"/>
  <c r="E8" i="75"/>
  <c r="D8" i="75"/>
  <c r="C8" i="75"/>
  <c r="B8" i="75"/>
  <c r="N7" i="75"/>
  <c r="M7" i="75"/>
  <c r="L7" i="75"/>
  <c r="K7" i="75"/>
  <c r="J7" i="75"/>
  <c r="I7" i="75"/>
  <c r="H7" i="75"/>
  <c r="G7" i="75"/>
  <c r="F7" i="75"/>
  <c r="E7" i="75"/>
  <c r="D7" i="75"/>
  <c r="C7" i="75"/>
  <c r="B7" i="75"/>
  <c r="N6" i="75"/>
  <c r="M6" i="75"/>
  <c r="AB50" i="75" s="1"/>
  <c r="AB58" i="75" s="1"/>
  <c r="L6" i="75"/>
  <c r="AA50" i="75" s="1"/>
  <c r="AA58" i="75" s="1"/>
  <c r="K6" i="75"/>
  <c r="Z50" i="75" s="1"/>
  <c r="Z58" i="75" s="1"/>
  <c r="J6" i="75"/>
  <c r="Y50" i="75" s="1"/>
  <c r="Y58" i="75" s="1"/>
  <c r="I6" i="75"/>
  <c r="X50" i="75" s="1"/>
  <c r="X58" i="75" s="1"/>
  <c r="H6" i="75"/>
  <c r="W50" i="75" s="1"/>
  <c r="W58" i="75" s="1"/>
  <c r="G6" i="75"/>
  <c r="V50" i="75" s="1"/>
  <c r="V58" i="75" s="1"/>
  <c r="F6" i="75"/>
  <c r="U50" i="75" s="1"/>
  <c r="U58" i="75" s="1"/>
  <c r="E6" i="75"/>
  <c r="T50" i="75" s="1"/>
  <c r="T58" i="75" s="1"/>
  <c r="D6" i="75"/>
  <c r="S50" i="75" s="1"/>
  <c r="S58" i="75" s="1"/>
  <c r="BD5" i="75"/>
  <c r="BC5" i="75"/>
  <c r="BB5" i="75"/>
  <c r="BA5" i="75"/>
  <c r="AZ5" i="75"/>
  <c r="AY5" i="75"/>
  <c r="AX5" i="75"/>
  <c r="AW5" i="75"/>
  <c r="AV5" i="75"/>
  <c r="AU5" i="75"/>
  <c r="AT5" i="75"/>
  <c r="BD4" i="75"/>
  <c r="BC4" i="75"/>
  <c r="BB4" i="75"/>
  <c r="BA4" i="75"/>
  <c r="AZ4" i="75"/>
  <c r="AY4" i="75"/>
  <c r="AX4" i="75"/>
  <c r="AW4" i="75"/>
  <c r="AV4" i="75"/>
  <c r="AU4" i="75"/>
  <c r="AT4" i="75"/>
  <c r="BD3" i="75"/>
  <c r="BC3" i="75"/>
  <c r="BL11" i="75" s="1"/>
  <c r="BB3" i="75"/>
  <c r="BL10" i="75" s="1"/>
  <c r="BA3" i="75"/>
  <c r="BL9" i="75" s="1"/>
  <c r="AZ3" i="75"/>
  <c r="BL8" i="75" s="1"/>
  <c r="AY3" i="75"/>
  <c r="BL7" i="75" s="1"/>
  <c r="AX3" i="75"/>
  <c r="BL6" i="75" s="1"/>
  <c r="AW3" i="75"/>
  <c r="BL5" i="75" s="1"/>
  <c r="AV3" i="75"/>
  <c r="BL4" i="75" s="1"/>
  <c r="AU3" i="75"/>
  <c r="BL3" i="75" s="1"/>
  <c r="AT3" i="75"/>
  <c r="BL2" i="75" s="1"/>
  <c r="BK19" i="75" s="1"/>
  <c r="N104" i="74"/>
  <c r="M104" i="74"/>
  <c r="L104" i="74"/>
  <c r="K104" i="74"/>
  <c r="J104" i="74"/>
  <c r="I104" i="74"/>
  <c r="H104" i="74"/>
  <c r="G104" i="74"/>
  <c r="F104" i="74"/>
  <c r="E104" i="74"/>
  <c r="D104" i="74"/>
  <c r="N103" i="74"/>
  <c r="M103" i="74"/>
  <c r="L103" i="74"/>
  <c r="K103" i="74"/>
  <c r="J103" i="74"/>
  <c r="I103" i="74"/>
  <c r="H103" i="74"/>
  <c r="G103" i="74"/>
  <c r="F103" i="74"/>
  <c r="E103" i="74"/>
  <c r="D103" i="74"/>
  <c r="N102" i="74"/>
  <c r="M102" i="74"/>
  <c r="L102" i="74"/>
  <c r="K102" i="74"/>
  <c r="J102" i="74"/>
  <c r="I102" i="74"/>
  <c r="H102" i="74"/>
  <c r="G102" i="74"/>
  <c r="F102" i="74"/>
  <c r="E102" i="74"/>
  <c r="D102" i="74"/>
  <c r="N101" i="74"/>
  <c r="M101" i="74"/>
  <c r="L101" i="74"/>
  <c r="K101" i="74"/>
  <c r="J101" i="74"/>
  <c r="I101" i="74"/>
  <c r="H101" i="74"/>
  <c r="G101" i="74"/>
  <c r="F101" i="74"/>
  <c r="E101" i="74"/>
  <c r="D101" i="74"/>
  <c r="N91" i="74"/>
  <c r="M91" i="74"/>
  <c r="L91" i="74"/>
  <c r="K91" i="74"/>
  <c r="J91" i="74"/>
  <c r="I91" i="74"/>
  <c r="H91" i="74"/>
  <c r="G91" i="74"/>
  <c r="F91" i="74"/>
  <c r="E91" i="74"/>
  <c r="D91" i="74"/>
  <c r="N90" i="74"/>
  <c r="M90" i="74"/>
  <c r="L90" i="74"/>
  <c r="K90" i="74"/>
  <c r="J90" i="74"/>
  <c r="I90" i="74"/>
  <c r="H90" i="74"/>
  <c r="G90" i="74"/>
  <c r="F90" i="74"/>
  <c r="E90" i="74"/>
  <c r="D90" i="74"/>
  <c r="N89" i="74"/>
  <c r="M89" i="74"/>
  <c r="L89" i="74"/>
  <c r="K89" i="74"/>
  <c r="J89" i="74"/>
  <c r="I89" i="74"/>
  <c r="H89" i="74"/>
  <c r="G89" i="74"/>
  <c r="F89" i="74"/>
  <c r="E89" i="74"/>
  <c r="D89" i="74"/>
  <c r="N88" i="74"/>
  <c r="M88" i="74"/>
  <c r="L88" i="74"/>
  <c r="K88" i="74"/>
  <c r="J88" i="74"/>
  <c r="I88" i="74"/>
  <c r="H88" i="74"/>
  <c r="G88" i="74"/>
  <c r="F88" i="74"/>
  <c r="E88" i="74"/>
  <c r="D88" i="74"/>
  <c r="N54" i="74"/>
  <c r="M54" i="74"/>
  <c r="L54" i="74"/>
  <c r="K54" i="74"/>
  <c r="J54" i="74"/>
  <c r="I54" i="74"/>
  <c r="H54" i="74"/>
  <c r="G54" i="74"/>
  <c r="F54" i="74"/>
  <c r="E54" i="74"/>
  <c r="D54" i="74"/>
  <c r="N53" i="74"/>
  <c r="M53" i="74"/>
  <c r="L53" i="74"/>
  <c r="K53" i="74"/>
  <c r="J53" i="74"/>
  <c r="I53" i="74"/>
  <c r="H53" i="74"/>
  <c r="G53" i="74"/>
  <c r="F53" i="74"/>
  <c r="E53" i="74"/>
  <c r="D53" i="74"/>
  <c r="N52" i="74"/>
  <c r="M52" i="74"/>
  <c r="L52" i="74"/>
  <c r="K52" i="74"/>
  <c r="J52" i="74"/>
  <c r="I52" i="74"/>
  <c r="H52" i="74"/>
  <c r="G52" i="74"/>
  <c r="F52" i="74"/>
  <c r="E52" i="74"/>
  <c r="D52" i="74"/>
  <c r="N51" i="74"/>
  <c r="M51" i="74"/>
  <c r="L51" i="74"/>
  <c r="K51" i="74"/>
  <c r="J51" i="74"/>
  <c r="I51" i="74"/>
  <c r="H51" i="74"/>
  <c r="G51" i="74"/>
  <c r="F51" i="74"/>
  <c r="E51" i="74"/>
  <c r="D51" i="74"/>
  <c r="N50" i="74"/>
  <c r="M50" i="74"/>
  <c r="L50" i="74"/>
  <c r="K50" i="74"/>
  <c r="J50" i="74"/>
  <c r="Y26" i="74" s="1"/>
  <c r="I50" i="74"/>
  <c r="H50" i="74"/>
  <c r="G50" i="74"/>
  <c r="F50" i="74"/>
  <c r="E50" i="74"/>
  <c r="D50" i="74"/>
  <c r="S26" i="74" s="1"/>
  <c r="C50" i="74"/>
  <c r="B50" i="74"/>
  <c r="N49" i="74"/>
  <c r="M49" i="74"/>
  <c r="L49" i="74"/>
  <c r="K49" i="74"/>
  <c r="J49" i="74"/>
  <c r="I49" i="74"/>
  <c r="H49" i="74"/>
  <c r="G49" i="74"/>
  <c r="F49" i="74"/>
  <c r="E49" i="74"/>
  <c r="D49" i="74"/>
  <c r="S25" i="74" s="1"/>
  <c r="C49" i="74"/>
  <c r="B49" i="74"/>
  <c r="N48" i="74"/>
  <c r="M48" i="74"/>
  <c r="L48" i="74"/>
  <c r="K48" i="74"/>
  <c r="J48" i="74"/>
  <c r="I48" i="74"/>
  <c r="H48" i="74"/>
  <c r="G48" i="74"/>
  <c r="F48" i="74"/>
  <c r="U24" i="74" s="1"/>
  <c r="E48" i="74"/>
  <c r="D48" i="74"/>
  <c r="C48" i="74"/>
  <c r="B48" i="74"/>
  <c r="N47" i="74"/>
  <c r="M47" i="74"/>
  <c r="L47" i="74"/>
  <c r="K47" i="74"/>
  <c r="J47" i="74"/>
  <c r="I47" i="74"/>
  <c r="H47" i="74"/>
  <c r="G47" i="74"/>
  <c r="F47" i="74"/>
  <c r="U23" i="74" s="1"/>
  <c r="E47" i="74"/>
  <c r="D47" i="74"/>
  <c r="C47" i="74"/>
  <c r="B47" i="74"/>
  <c r="N46" i="74"/>
  <c r="AC22" i="74" s="1"/>
  <c r="M46" i="74"/>
  <c r="L46" i="74"/>
  <c r="K46" i="74"/>
  <c r="J46" i="74"/>
  <c r="I46" i="74"/>
  <c r="H46" i="74"/>
  <c r="W22" i="74" s="1"/>
  <c r="G46" i="74"/>
  <c r="F46" i="74"/>
  <c r="E46" i="74"/>
  <c r="D46" i="74"/>
  <c r="C46" i="74"/>
  <c r="B46" i="74"/>
  <c r="N45" i="74"/>
  <c r="AC21" i="74" s="1"/>
  <c r="M45" i="74"/>
  <c r="L45" i="74"/>
  <c r="K45" i="74"/>
  <c r="J45" i="74"/>
  <c r="I45" i="74"/>
  <c r="H45" i="74"/>
  <c r="G45" i="74"/>
  <c r="F45" i="74"/>
  <c r="E45" i="74"/>
  <c r="D45" i="74"/>
  <c r="C45" i="74"/>
  <c r="B45" i="74"/>
  <c r="N44" i="74"/>
  <c r="M44" i="74"/>
  <c r="L44" i="74"/>
  <c r="K44" i="74"/>
  <c r="J44" i="74"/>
  <c r="Y20" i="74" s="1"/>
  <c r="I44" i="74"/>
  <c r="H44" i="74"/>
  <c r="G44" i="74"/>
  <c r="F44" i="74"/>
  <c r="E44" i="74"/>
  <c r="D44" i="74"/>
  <c r="S20" i="74" s="1"/>
  <c r="C44" i="74"/>
  <c r="B44" i="74"/>
  <c r="N43" i="74"/>
  <c r="M43" i="74"/>
  <c r="L43" i="74"/>
  <c r="K43" i="74"/>
  <c r="J43" i="74"/>
  <c r="Y19" i="74" s="1"/>
  <c r="I43" i="74"/>
  <c r="H43" i="74"/>
  <c r="G43" i="74"/>
  <c r="F43" i="74"/>
  <c r="E43" i="74"/>
  <c r="D43" i="74"/>
  <c r="S19" i="74" s="1"/>
  <c r="C43" i="74"/>
  <c r="B43" i="74"/>
  <c r="N42" i="74"/>
  <c r="M42" i="74"/>
  <c r="L42" i="74"/>
  <c r="AA18" i="74" s="1"/>
  <c r="K42" i="74"/>
  <c r="J42" i="74"/>
  <c r="I42" i="74"/>
  <c r="H42" i="74"/>
  <c r="G42" i="74"/>
  <c r="F42" i="74"/>
  <c r="U18" i="74" s="1"/>
  <c r="E42" i="74"/>
  <c r="D42" i="74"/>
  <c r="C42" i="74"/>
  <c r="B42" i="74"/>
  <c r="N41" i="74"/>
  <c r="M41" i="74"/>
  <c r="L41" i="74"/>
  <c r="K41" i="74"/>
  <c r="J41" i="74"/>
  <c r="I41" i="74"/>
  <c r="H41" i="74"/>
  <c r="G41" i="74"/>
  <c r="F41" i="74"/>
  <c r="E41" i="74"/>
  <c r="D41" i="74"/>
  <c r="C41" i="74"/>
  <c r="B41" i="74"/>
  <c r="N40" i="74"/>
  <c r="AC16" i="74" s="1"/>
  <c r="M40" i="74"/>
  <c r="L40" i="74"/>
  <c r="K40" i="74"/>
  <c r="J40" i="74"/>
  <c r="I40" i="74"/>
  <c r="H40" i="74"/>
  <c r="W16" i="74" s="1"/>
  <c r="G40" i="74"/>
  <c r="F40" i="74"/>
  <c r="E40" i="74"/>
  <c r="D40" i="74"/>
  <c r="C40" i="74"/>
  <c r="B40" i="74"/>
  <c r="N39" i="74"/>
  <c r="M39" i="74"/>
  <c r="L39" i="74"/>
  <c r="K39" i="74"/>
  <c r="J39" i="74"/>
  <c r="I39" i="74"/>
  <c r="H39" i="74"/>
  <c r="G39" i="74"/>
  <c r="F39" i="74"/>
  <c r="E39" i="74"/>
  <c r="D39" i="74"/>
  <c r="C39" i="74"/>
  <c r="B39" i="74"/>
  <c r="N38" i="74"/>
  <c r="M38" i="74"/>
  <c r="L38" i="74"/>
  <c r="K38" i="74"/>
  <c r="J38" i="74"/>
  <c r="I38" i="74"/>
  <c r="H38" i="74"/>
  <c r="G38" i="74"/>
  <c r="F38" i="74"/>
  <c r="E38" i="74"/>
  <c r="D38" i="74"/>
  <c r="S14" i="74" s="1"/>
  <c r="C38" i="74"/>
  <c r="B38" i="74"/>
  <c r="N37" i="74"/>
  <c r="M37" i="74"/>
  <c r="L37" i="74"/>
  <c r="K37" i="74"/>
  <c r="J37" i="74"/>
  <c r="I37" i="74"/>
  <c r="H37" i="74"/>
  <c r="G37" i="74"/>
  <c r="F37" i="74"/>
  <c r="E37" i="74"/>
  <c r="T13" i="74" s="1"/>
  <c r="D37" i="74"/>
  <c r="C37" i="74"/>
  <c r="B37" i="74"/>
  <c r="N36" i="74"/>
  <c r="M36" i="74"/>
  <c r="L36" i="74"/>
  <c r="AA12" i="74" s="1"/>
  <c r="K36" i="74"/>
  <c r="J36" i="74"/>
  <c r="I36" i="74"/>
  <c r="H36" i="74"/>
  <c r="G36" i="74"/>
  <c r="F36" i="74"/>
  <c r="U12" i="74" s="1"/>
  <c r="E36" i="74"/>
  <c r="D36" i="74"/>
  <c r="C36" i="74"/>
  <c r="B36" i="74"/>
  <c r="N35" i="74"/>
  <c r="M35" i="74"/>
  <c r="L35" i="74"/>
  <c r="K35" i="74"/>
  <c r="J35" i="74"/>
  <c r="I35" i="74"/>
  <c r="H35" i="74"/>
  <c r="G35" i="74"/>
  <c r="F35" i="74"/>
  <c r="E35" i="74"/>
  <c r="D35" i="74"/>
  <c r="C35" i="74"/>
  <c r="B35" i="74"/>
  <c r="N34" i="74"/>
  <c r="AC10" i="74" s="1"/>
  <c r="M34" i="74"/>
  <c r="L34" i="74"/>
  <c r="K34" i="74"/>
  <c r="J34" i="74"/>
  <c r="I34" i="74"/>
  <c r="H34" i="74"/>
  <c r="W10" i="74" s="1"/>
  <c r="G34" i="74"/>
  <c r="F34" i="74"/>
  <c r="E34" i="74"/>
  <c r="D34" i="74"/>
  <c r="C34" i="74"/>
  <c r="B34" i="74"/>
  <c r="N33" i="74"/>
  <c r="M33" i="74"/>
  <c r="L33" i="74"/>
  <c r="K33" i="74"/>
  <c r="J33" i="74"/>
  <c r="I33" i="74"/>
  <c r="H33" i="74"/>
  <c r="G33" i="74"/>
  <c r="F33" i="74"/>
  <c r="E33" i="74"/>
  <c r="D33" i="74"/>
  <c r="C33" i="74"/>
  <c r="B33" i="74"/>
  <c r="N32" i="74"/>
  <c r="M32" i="74"/>
  <c r="L32" i="74"/>
  <c r="K32" i="74"/>
  <c r="J32" i="74"/>
  <c r="I32" i="74"/>
  <c r="H32" i="74"/>
  <c r="G32" i="74"/>
  <c r="F32" i="74"/>
  <c r="E32" i="74"/>
  <c r="D32" i="74"/>
  <c r="S8" i="74" s="1"/>
  <c r="C32" i="74"/>
  <c r="B32" i="74"/>
  <c r="AB31" i="74"/>
  <c r="V31" i="74"/>
  <c r="Q31" i="74"/>
  <c r="N31" i="74"/>
  <c r="V82" i="74" s="1"/>
  <c r="M31" i="74"/>
  <c r="L31" i="74"/>
  <c r="K31" i="74"/>
  <c r="J31" i="74"/>
  <c r="I31" i="74"/>
  <c r="H31" i="74"/>
  <c r="J82" i="74" s="1"/>
  <c r="I82" i="74" s="1"/>
  <c r="G31" i="74"/>
  <c r="F31" i="74"/>
  <c r="E31" i="74"/>
  <c r="D31" i="74"/>
  <c r="C31" i="74"/>
  <c r="B31" i="74"/>
  <c r="N30" i="74"/>
  <c r="AC34" i="74" s="1"/>
  <c r="M30" i="74"/>
  <c r="L30" i="74"/>
  <c r="AA34" i="74" s="1"/>
  <c r="K30" i="74"/>
  <c r="Z34" i="74" s="1"/>
  <c r="J30" i="74"/>
  <c r="Y34" i="74" s="1"/>
  <c r="I30" i="74"/>
  <c r="X34" i="74" s="1"/>
  <c r="H30" i="74"/>
  <c r="W34" i="74" s="1"/>
  <c r="G30" i="74"/>
  <c r="F30" i="74"/>
  <c r="U34" i="74" s="1"/>
  <c r="E30" i="74"/>
  <c r="T34" i="74" s="1"/>
  <c r="D30" i="74"/>
  <c r="S34" i="74" s="1"/>
  <c r="N29" i="74"/>
  <c r="AC33" i="74" s="1"/>
  <c r="M29" i="74"/>
  <c r="AB33" i="74" s="1"/>
  <c r="L29" i="74"/>
  <c r="K29" i="74"/>
  <c r="Z33" i="74" s="1"/>
  <c r="J29" i="74"/>
  <c r="Y33" i="74" s="1"/>
  <c r="I29" i="74"/>
  <c r="X33" i="74" s="1"/>
  <c r="H29" i="74"/>
  <c r="W33" i="74" s="1"/>
  <c r="G29" i="74"/>
  <c r="V33" i="74" s="1"/>
  <c r="F29" i="74"/>
  <c r="E29" i="74"/>
  <c r="T33" i="74" s="1"/>
  <c r="D29" i="74"/>
  <c r="S33" i="74" s="1"/>
  <c r="N28" i="74"/>
  <c r="AC32" i="74" s="1"/>
  <c r="M28" i="74"/>
  <c r="AB32" i="74" s="1"/>
  <c r="L28" i="74"/>
  <c r="AA32" i="74" s="1"/>
  <c r="K28" i="74"/>
  <c r="J28" i="74"/>
  <c r="Y32" i="74" s="1"/>
  <c r="I28" i="74"/>
  <c r="X32" i="74" s="1"/>
  <c r="H28" i="74"/>
  <c r="W32" i="74" s="1"/>
  <c r="G28" i="74"/>
  <c r="V32" i="74" s="1"/>
  <c r="F28" i="74"/>
  <c r="U32" i="74" s="1"/>
  <c r="E28" i="74"/>
  <c r="D28" i="74"/>
  <c r="S32" i="74" s="1"/>
  <c r="N27" i="74"/>
  <c r="AC31" i="74" s="1"/>
  <c r="M27" i="74"/>
  <c r="L27" i="74"/>
  <c r="AA31" i="74" s="1"/>
  <c r="K27" i="74"/>
  <c r="Z31" i="74" s="1"/>
  <c r="J27" i="74"/>
  <c r="I27" i="74"/>
  <c r="X31" i="74" s="1"/>
  <c r="H27" i="74"/>
  <c r="W31" i="74" s="1"/>
  <c r="G27" i="74"/>
  <c r="F27" i="74"/>
  <c r="U31" i="74" s="1"/>
  <c r="E27" i="74"/>
  <c r="T31" i="74" s="1"/>
  <c r="D27" i="74"/>
  <c r="N26" i="74"/>
  <c r="AC26" i="74" s="1"/>
  <c r="M26" i="74"/>
  <c r="AB26" i="74" s="1"/>
  <c r="L26" i="74"/>
  <c r="AA26" i="74" s="1"/>
  <c r="K26" i="74"/>
  <c r="Z26" i="74" s="1"/>
  <c r="J26" i="74"/>
  <c r="I26" i="74"/>
  <c r="H26" i="74"/>
  <c r="W26" i="74" s="1"/>
  <c r="G26" i="74"/>
  <c r="V26" i="74" s="1"/>
  <c r="F26" i="74"/>
  <c r="U26" i="74" s="1"/>
  <c r="E26" i="74"/>
  <c r="T26" i="74" s="1"/>
  <c r="D26" i="74"/>
  <c r="C26" i="74"/>
  <c r="B26" i="74"/>
  <c r="AC25" i="74"/>
  <c r="Y25" i="74"/>
  <c r="W25" i="74"/>
  <c r="N25" i="74"/>
  <c r="M25" i="74"/>
  <c r="AB25" i="74" s="1"/>
  <c r="L25" i="74"/>
  <c r="AA25" i="74" s="1"/>
  <c r="K25" i="74"/>
  <c r="J25" i="74"/>
  <c r="I25" i="74"/>
  <c r="X25" i="74" s="1"/>
  <c r="H25" i="74"/>
  <c r="G25" i="74"/>
  <c r="V25" i="74" s="1"/>
  <c r="F25" i="74"/>
  <c r="U25" i="74" s="1"/>
  <c r="E25" i="74"/>
  <c r="D25" i="74"/>
  <c r="C25" i="74"/>
  <c r="B25" i="74"/>
  <c r="AC24" i="74"/>
  <c r="Y24" i="74"/>
  <c r="W24" i="74"/>
  <c r="S24" i="74"/>
  <c r="N24" i="74"/>
  <c r="M24" i="74"/>
  <c r="AB24" i="74" s="1"/>
  <c r="L24" i="74"/>
  <c r="AA24" i="74" s="1"/>
  <c r="K24" i="74"/>
  <c r="Z24" i="74" s="1"/>
  <c r="J24" i="74"/>
  <c r="I24" i="74"/>
  <c r="X24" i="74" s="1"/>
  <c r="H24" i="74"/>
  <c r="G24" i="74"/>
  <c r="V24" i="74" s="1"/>
  <c r="F24" i="74"/>
  <c r="E24" i="74"/>
  <c r="T24" i="74" s="1"/>
  <c r="D24" i="74"/>
  <c r="C24" i="74"/>
  <c r="B24" i="74"/>
  <c r="AC23" i="74"/>
  <c r="Y23" i="74"/>
  <c r="W23" i="74"/>
  <c r="S23" i="74"/>
  <c r="N23" i="74"/>
  <c r="M23" i="74"/>
  <c r="L23" i="74"/>
  <c r="AA23" i="74" s="1"/>
  <c r="K23" i="74"/>
  <c r="Z23" i="74" s="1"/>
  <c r="J23" i="74"/>
  <c r="I23" i="74"/>
  <c r="X23" i="74" s="1"/>
  <c r="H23" i="74"/>
  <c r="G23" i="74"/>
  <c r="F23" i="74"/>
  <c r="E23" i="74"/>
  <c r="T23" i="74" s="1"/>
  <c r="D23" i="74"/>
  <c r="C23" i="74"/>
  <c r="B23" i="74"/>
  <c r="Y22" i="74"/>
  <c r="U22" i="74"/>
  <c r="S22" i="74"/>
  <c r="N22" i="74"/>
  <c r="M22" i="74"/>
  <c r="L22" i="74"/>
  <c r="AA22" i="74" s="1"/>
  <c r="K22" i="74"/>
  <c r="Z22" i="74" s="1"/>
  <c r="J22" i="74"/>
  <c r="I22" i="74"/>
  <c r="X22" i="74" s="1"/>
  <c r="H22" i="74"/>
  <c r="G22" i="74"/>
  <c r="F22" i="74"/>
  <c r="E22" i="74"/>
  <c r="T22" i="74" s="1"/>
  <c r="D22" i="74"/>
  <c r="C22" i="74"/>
  <c r="B22" i="74"/>
  <c r="Y21" i="74"/>
  <c r="W21" i="74"/>
  <c r="U21" i="74"/>
  <c r="S21" i="74"/>
  <c r="N21" i="74"/>
  <c r="M21" i="74"/>
  <c r="AB21" i="74" s="1"/>
  <c r="L21" i="74"/>
  <c r="AA21" i="74" s="1"/>
  <c r="K21" i="74"/>
  <c r="Z21" i="74" s="1"/>
  <c r="J21" i="74"/>
  <c r="I21" i="74"/>
  <c r="H21" i="74"/>
  <c r="G21" i="74"/>
  <c r="V21" i="74" s="1"/>
  <c r="F21" i="74"/>
  <c r="E21" i="74"/>
  <c r="T21" i="74" s="1"/>
  <c r="D21" i="74"/>
  <c r="C21" i="74"/>
  <c r="B21" i="74"/>
  <c r="AC20" i="74"/>
  <c r="AA20" i="74"/>
  <c r="W20" i="74"/>
  <c r="U20" i="74"/>
  <c r="N20" i="74"/>
  <c r="M20" i="74"/>
  <c r="AB20" i="74" s="1"/>
  <c r="L20" i="74"/>
  <c r="K20" i="74"/>
  <c r="Z20" i="74" s="1"/>
  <c r="J20" i="74"/>
  <c r="I20" i="74"/>
  <c r="H20" i="74"/>
  <c r="G20" i="74"/>
  <c r="V20" i="74" s="1"/>
  <c r="F20" i="74"/>
  <c r="E20" i="74"/>
  <c r="T20" i="74" s="1"/>
  <c r="D20" i="74"/>
  <c r="C20" i="74"/>
  <c r="B20" i="74"/>
  <c r="AC19" i="74"/>
  <c r="AA19" i="74"/>
  <c r="W19" i="74"/>
  <c r="U19" i="74"/>
  <c r="N19" i="74"/>
  <c r="M19" i="74"/>
  <c r="AB19" i="74" s="1"/>
  <c r="L19" i="74"/>
  <c r="K19" i="74"/>
  <c r="J19" i="74"/>
  <c r="I19" i="74"/>
  <c r="X19" i="74" s="1"/>
  <c r="H19" i="74"/>
  <c r="G19" i="74"/>
  <c r="V19" i="74" s="1"/>
  <c r="F19" i="74"/>
  <c r="E19" i="74"/>
  <c r="D19" i="74"/>
  <c r="C19" i="74"/>
  <c r="B19" i="74"/>
  <c r="AC18" i="74"/>
  <c r="Y18" i="74"/>
  <c r="W18" i="74"/>
  <c r="S18" i="74"/>
  <c r="N18" i="74"/>
  <c r="M18" i="74"/>
  <c r="AB18" i="74" s="1"/>
  <c r="L18" i="74"/>
  <c r="K18" i="74"/>
  <c r="J18" i="74"/>
  <c r="I18" i="74"/>
  <c r="X18" i="74" s="1"/>
  <c r="H18" i="74"/>
  <c r="G18" i="74"/>
  <c r="V18" i="74" s="1"/>
  <c r="F18" i="74"/>
  <c r="E18" i="74"/>
  <c r="D18" i="74"/>
  <c r="C18" i="74"/>
  <c r="B18" i="74"/>
  <c r="AC17" i="74"/>
  <c r="AA17" i="74"/>
  <c r="Y17" i="74"/>
  <c r="W17" i="74"/>
  <c r="U17" i="74"/>
  <c r="S17" i="74"/>
  <c r="N17" i="74"/>
  <c r="M17" i="74"/>
  <c r="L17" i="74"/>
  <c r="K17" i="74"/>
  <c r="Z17" i="74" s="1"/>
  <c r="J17" i="74"/>
  <c r="I17" i="74"/>
  <c r="X17" i="74" s="1"/>
  <c r="H17" i="74"/>
  <c r="G17" i="74"/>
  <c r="F17" i="74"/>
  <c r="E17" i="74"/>
  <c r="T17" i="74" s="1"/>
  <c r="D17" i="74"/>
  <c r="C17" i="74"/>
  <c r="B17" i="74"/>
  <c r="Y16" i="74"/>
  <c r="U16" i="74"/>
  <c r="S16" i="74"/>
  <c r="N16" i="74"/>
  <c r="M16" i="74"/>
  <c r="AB16" i="74" s="1"/>
  <c r="L16" i="74"/>
  <c r="AA16" i="74" s="1"/>
  <c r="K16" i="74"/>
  <c r="Z16" i="74" s="1"/>
  <c r="J16" i="74"/>
  <c r="I16" i="74"/>
  <c r="X16" i="74" s="1"/>
  <c r="H16" i="74"/>
  <c r="G16" i="74"/>
  <c r="V16" i="74" s="1"/>
  <c r="F16" i="74"/>
  <c r="E16" i="74"/>
  <c r="T16" i="74" s="1"/>
  <c r="D16" i="74"/>
  <c r="C16" i="74"/>
  <c r="B16" i="74"/>
  <c r="AC15" i="74"/>
  <c r="AA15" i="74"/>
  <c r="Y15" i="74"/>
  <c r="W15" i="74"/>
  <c r="U15" i="74"/>
  <c r="S15" i="74"/>
  <c r="N15" i="74"/>
  <c r="M15" i="74"/>
  <c r="AB15" i="74" s="1"/>
  <c r="L15" i="74"/>
  <c r="K15" i="74"/>
  <c r="Z15" i="74" s="1"/>
  <c r="J15" i="74"/>
  <c r="I15" i="74"/>
  <c r="H15" i="74"/>
  <c r="G15" i="74"/>
  <c r="V15" i="74" s="1"/>
  <c r="F15" i="74"/>
  <c r="E15" i="74"/>
  <c r="T15" i="74" s="1"/>
  <c r="D15" i="74"/>
  <c r="C15" i="74"/>
  <c r="B15" i="74"/>
  <c r="AC14" i="74"/>
  <c r="AA14" i="74"/>
  <c r="Y14" i="74"/>
  <c r="W14" i="74"/>
  <c r="U14" i="74"/>
  <c r="N14" i="74"/>
  <c r="M14" i="74"/>
  <c r="AB14" i="74" s="1"/>
  <c r="L14" i="74"/>
  <c r="K14" i="74"/>
  <c r="Z14" i="74" s="1"/>
  <c r="J14" i="74"/>
  <c r="I14" i="74"/>
  <c r="X14" i="74" s="1"/>
  <c r="H14" i="74"/>
  <c r="G14" i="74"/>
  <c r="V14" i="74" s="1"/>
  <c r="F14" i="74"/>
  <c r="E14" i="74"/>
  <c r="T14" i="74" s="1"/>
  <c r="D14" i="74"/>
  <c r="C14" i="74"/>
  <c r="B14" i="74"/>
  <c r="AC13" i="74"/>
  <c r="AA13" i="74"/>
  <c r="Y13" i="74"/>
  <c r="W13" i="74"/>
  <c r="U13" i="74"/>
  <c r="S13" i="74"/>
  <c r="N13" i="74"/>
  <c r="M13" i="74"/>
  <c r="AB13" i="74" s="1"/>
  <c r="L13" i="74"/>
  <c r="K13" i="74"/>
  <c r="J13" i="74"/>
  <c r="I13" i="74"/>
  <c r="X13" i="74" s="1"/>
  <c r="H13" i="74"/>
  <c r="G13" i="74"/>
  <c r="V13" i="74" s="1"/>
  <c r="F13" i="74"/>
  <c r="E13" i="74"/>
  <c r="D13" i="74"/>
  <c r="C13" i="74"/>
  <c r="B13" i="74"/>
  <c r="AC12" i="74"/>
  <c r="Y12" i="74"/>
  <c r="W12" i="74"/>
  <c r="S12" i="74"/>
  <c r="N12" i="74"/>
  <c r="M12" i="74"/>
  <c r="AB12" i="74" s="1"/>
  <c r="L12" i="74"/>
  <c r="K12" i="74"/>
  <c r="J12" i="74"/>
  <c r="I12" i="74"/>
  <c r="X12" i="74" s="1"/>
  <c r="H12" i="74"/>
  <c r="G12" i="74"/>
  <c r="V12" i="74" s="1"/>
  <c r="F12" i="74"/>
  <c r="E12" i="74"/>
  <c r="D12" i="74"/>
  <c r="C12" i="74"/>
  <c r="B12" i="74"/>
  <c r="AC11" i="74"/>
  <c r="AA11" i="74"/>
  <c r="Y11" i="74"/>
  <c r="W11" i="74"/>
  <c r="U11" i="74"/>
  <c r="T11" i="74"/>
  <c r="S11" i="74"/>
  <c r="N11" i="74"/>
  <c r="M11" i="74"/>
  <c r="L11" i="74"/>
  <c r="K11" i="74"/>
  <c r="Z11" i="74" s="1"/>
  <c r="J11" i="74"/>
  <c r="I11" i="74"/>
  <c r="X11" i="74" s="1"/>
  <c r="H11" i="74"/>
  <c r="G11" i="74"/>
  <c r="F11" i="74"/>
  <c r="E11" i="74"/>
  <c r="D11" i="74"/>
  <c r="C11" i="74"/>
  <c r="B11" i="74"/>
  <c r="Z10" i="74"/>
  <c r="Y10" i="74"/>
  <c r="U10" i="74"/>
  <c r="T10" i="74"/>
  <c r="S10" i="74"/>
  <c r="N10" i="74"/>
  <c r="M10" i="74"/>
  <c r="AB10" i="74" s="1"/>
  <c r="L10" i="74"/>
  <c r="AA10" i="74" s="1"/>
  <c r="K10" i="74"/>
  <c r="J10" i="74"/>
  <c r="I10" i="74"/>
  <c r="X10" i="74" s="1"/>
  <c r="H10" i="74"/>
  <c r="G10" i="74"/>
  <c r="V10" i="74" s="1"/>
  <c r="F10" i="74"/>
  <c r="E10" i="74"/>
  <c r="D10" i="74"/>
  <c r="C10" i="74"/>
  <c r="B10" i="74"/>
  <c r="AC9" i="74"/>
  <c r="AA9" i="74"/>
  <c r="Z9" i="74"/>
  <c r="Y9" i="74"/>
  <c r="W9" i="74"/>
  <c r="U9" i="74"/>
  <c r="T9" i="74"/>
  <c r="S9" i="74"/>
  <c r="N9" i="74"/>
  <c r="M9" i="74"/>
  <c r="AB9" i="74" s="1"/>
  <c r="L9" i="74"/>
  <c r="K9" i="74"/>
  <c r="J9" i="74"/>
  <c r="I9" i="74"/>
  <c r="H9" i="74"/>
  <c r="G9" i="74"/>
  <c r="V9" i="74" s="1"/>
  <c r="F9" i="74"/>
  <c r="E9" i="74"/>
  <c r="D9" i="74"/>
  <c r="C9" i="74"/>
  <c r="B9" i="74"/>
  <c r="AC8" i="74"/>
  <c r="AA8" i="74"/>
  <c r="Z8" i="74"/>
  <c r="Y8" i="74"/>
  <c r="W8" i="74"/>
  <c r="U8" i="74"/>
  <c r="T8" i="74"/>
  <c r="N8" i="74"/>
  <c r="M8" i="74"/>
  <c r="AB8" i="74" s="1"/>
  <c r="L8" i="74"/>
  <c r="K8" i="74"/>
  <c r="J8" i="74"/>
  <c r="I8" i="74"/>
  <c r="X8" i="74" s="1"/>
  <c r="H8" i="74"/>
  <c r="G8" i="74"/>
  <c r="V8" i="74" s="1"/>
  <c r="F8" i="74"/>
  <c r="E8" i="74"/>
  <c r="D8" i="74"/>
  <c r="C8" i="74"/>
  <c r="B8" i="74"/>
  <c r="Y7" i="74"/>
  <c r="S7" i="74"/>
  <c r="Q7" i="74"/>
  <c r="N7" i="74"/>
  <c r="V73" i="74" s="1"/>
  <c r="M7" i="74"/>
  <c r="L7" i="74"/>
  <c r="K7" i="74"/>
  <c r="J7" i="74"/>
  <c r="I7" i="74"/>
  <c r="H7" i="74"/>
  <c r="J73" i="74" s="1"/>
  <c r="I73" i="74" s="1"/>
  <c r="G7" i="74"/>
  <c r="F7" i="74"/>
  <c r="E7" i="74"/>
  <c r="D7" i="74"/>
  <c r="C7" i="74"/>
  <c r="B7" i="74"/>
  <c r="N6" i="74"/>
  <c r="M6" i="74"/>
  <c r="L6" i="74"/>
  <c r="K6" i="74"/>
  <c r="J6" i="74"/>
  <c r="I6" i="74"/>
  <c r="H6" i="74"/>
  <c r="G6" i="74"/>
  <c r="F6" i="74"/>
  <c r="E6" i="74"/>
  <c r="D6" i="74"/>
  <c r="BD5" i="74"/>
  <c r="N107" i="74" s="1"/>
  <c r="BC5" i="74"/>
  <c r="M106" i="74" s="1"/>
  <c r="BB5" i="74"/>
  <c r="BA5" i="74"/>
  <c r="K106" i="74" s="1"/>
  <c r="AZ5" i="74"/>
  <c r="J109" i="74" s="1"/>
  <c r="AY5" i="74"/>
  <c r="I108" i="74" s="1"/>
  <c r="AX5" i="74"/>
  <c r="H107" i="74" s="1"/>
  <c r="AW5" i="74"/>
  <c r="G106" i="74" s="1"/>
  <c r="AV5" i="74"/>
  <c r="AU5" i="74"/>
  <c r="E106" i="74" s="1"/>
  <c r="AT5" i="74"/>
  <c r="D109" i="74" s="1"/>
  <c r="BG4" i="74"/>
  <c r="BF4" i="74"/>
  <c r="BD4" i="74"/>
  <c r="N94" i="74" s="1"/>
  <c r="BC4" i="74"/>
  <c r="M93" i="74" s="1"/>
  <c r="BB4" i="74"/>
  <c r="L93" i="74" s="1"/>
  <c r="BA4" i="74"/>
  <c r="K93" i="74" s="1"/>
  <c r="AZ4" i="74"/>
  <c r="J96" i="74" s="1"/>
  <c r="AY4" i="74"/>
  <c r="I95" i="74" s="1"/>
  <c r="AX4" i="74"/>
  <c r="H94" i="74" s="1"/>
  <c r="AW4" i="74"/>
  <c r="G93" i="74" s="1"/>
  <c r="AV4" i="74"/>
  <c r="F93" i="74" s="1"/>
  <c r="AU4" i="74"/>
  <c r="E93" i="74" s="1"/>
  <c r="AT4" i="74"/>
  <c r="D96" i="74" s="1"/>
  <c r="BD3" i="74"/>
  <c r="BC3" i="74"/>
  <c r="BB3" i="74"/>
  <c r="BA3" i="74"/>
  <c r="AZ3" i="74"/>
  <c r="AY3" i="74"/>
  <c r="AX3" i="74"/>
  <c r="AW3" i="74"/>
  <c r="AV3" i="74"/>
  <c r="AU3" i="74"/>
  <c r="AT3" i="74"/>
  <c r="N108" i="72"/>
  <c r="M108" i="72"/>
  <c r="L108" i="72"/>
  <c r="K108" i="72"/>
  <c r="J108" i="72"/>
  <c r="I108" i="72"/>
  <c r="H108" i="72"/>
  <c r="G108" i="72"/>
  <c r="F108" i="72"/>
  <c r="E108" i="72"/>
  <c r="D108" i="72"/>
  <c r="N107" i="72"/>
  <c r="M107" i="72"/>
  <c r="L107" i="72"/>
  <c r="K107" i="72"/>
  <c r="J107" i="72"/>
  <c r="I107" i="72"/>
  <c r="H107" i="72"/>
  <c r="G107" i="72"/>
  <c r="F107" i="72"/>
  <c r="E107" i="72"/>
  <c r="D107" i="72"/>
  <c r="N106" i="72"/>
  <c r="M106" i="72"/>
  <c r="L106" i="72"/>
  <c r="K106" i="72"/>
  <c r="J106" i="72"/>
  <c r="I106" i="72"/>
  <c r="H106" i="72"/>
  <c r="G106" i="72"/>
  <c r="F106" i="72"/>
  <c r="E106" i="72"/>
  <c r="D106" i="72"/>
  <c r="N105" i="72"/>
  <c r="M105" i="72"/>
  <c r="L105" i="72"/>
  <c r="K105" i="72"/>
  <c r="J105" i="72"/>
  <c r="I105" i="72"/>
  <c r="H105" i="72"/>
  <c r="G105" i="72"/>
  <c r="F105" i="72"/>
  <c r="E105" i="72"/>
  <c r="D105" i="72"/>
  <c r="N93" i="72"/>
  <c r="M93" i="72"/>
  <c r="L93" i="72"/>
  <c r="K93" i="72"/>
  <c r="J93" i="72"/>
  <c r="I93" i="72"/>
  <c r="H93" i="72"/>
  <c r="G93" i="72"/>
  <c r="F93" i="72"/>
  <c r="E93" i="72"/>
  <c r="D93" i="72"/>
  <c r="N92" i="72"/>
  <c r="M92" i="72"/>
  <c r="L92" i="72"/>
  <c r="K92" i="72"/>
  <c r="J92" i="72"/>
  <c r="I92" i="72"/>
  <c r="H92" i="72"/>
  <c r="G92" i="72"/>
  <c r="F92" i="72"/>
  <c r="E92" i="72"/>
  <c r="D92" i="72"/>
  <c r="N91" i="72"/>
  <c r="M91" i="72"/>
  <c r="L91" i="72"/>
  <c r="K91" i="72"/>
  <c r="J91" i="72"/>
  <c r="I91" i="72"/>
  <c r="H91" i="72"/>
  <c r="G91" i="72"/>
  <c r="F91" i="72"/>
  <c r="E91" i="72"/>
  <c r="D91" i="72"/>
  <c r="N90" i="72"/>
  <c r="M90" i="72"/>
  <c r="L90" i="72"/>
  <c r="K90" i="72"/>
  <c r="J90" i="72"/>
  <c r="I90" i="72"/>
  <c r="H90" i="72"/>
  <c r="G90" i="72"/>
  <c r="F90" i="72"/>
  <c r="E90" i="72"/>
  <c r="D90" i="72"/>
  <c r="N54" i="72"/>
  <c r="M54" i="72"/>
  <c r="L54" i="72"/>
  <c r="K54" i="72"/>
  <c r="J54" i="72"/>
  <c r="I54" i="72"/>
  <c r="H54" i="72"/>
  <c r="G54" i="72"/>
  <c r="F54" i="72"/>
  <c r="E54" i="72"/>
  <c r="D54" i="72"/>
  <c r="N53" i="72"/>
  <c r="M53" i="72"/>
  <c r="L53" i="72"/>
  <c r="K53" i="72"/>
  <c r="J53" i="72"/>
  <c r="I53" i="72"/>
  <c r="H53" i="72"/>
  <c r="G53" i="72"/>
  <c r="F53" i="72"/>
  <c r="E53" i="72"/>
  <c r="D53" i="72"/>
  <c r="N52" i="72"/>
  <c r="M52" i="72"/>
  <c r="L52" i="72"/>
  <c r="K52" i="72"/>
  <c r="J52" i="72"/>
  <c r="I52" i="72"/>
  <c r="H52" i="72"/>
  <c r="G52" i="72"/>
  <c r="F52" i="72"/>
  <c r="E52" i="72"/>
  <c r="D52" i="72"/>
  <c r="N51" i="72"/>
  <c r="M51" i="72"/>
  <c r="L51" i="72"/>
  <c r="K51" i="72"/>
  <c r="J51" i="72"/>
  <c r="I51" i="72"/>
  <c r="H51" i="72"/>
  <c r="G51" i="72"/>
  <c r="F51" i="72"/>
  <c r="E51" i="72"/>
  <c r="D51" i="72"/>
  <c r="N50" i="72"/>
  <c r="M50" i="72"/>
  <c r="L50" i="72"/>
  <c r="K50" i="72"/>
  <c r="J50" i="72"/>
  <c r="I50" i="72"/>
  <c r="H50" i="72"/>
  <c r="G50" i="72"/>
  <c r="F50" i="72"/>
  <c r="E50" i="72"/>
  <c r="D50" i="72"/>
  <c r="C50" i="72"/>
  <c r="B50" i="72"/>
  <c r="N49" i="72"/>
  <c r="M49" i="72"/>
  <c r="L49" i="72"/>
  <c r="K49" i="72"/>
  <c r="J49" i="72"/>
  <c r="I49" i="72"/>
  <c r="H49" i="72"/>
  <c r="G49" i="72"/>
  <c r="F49" i="72"/>
  <c r="E49" i="72"/>
  <c r="D49" i="72"/>
  <c r="C49" i="72"/>
  <c r="B49" i="72"/>
  <c r="N48" i="72"/>
  <c r="M48" i="72"/>
  <c r="L48" i="72"/>
  <c r="K48" i="72"/>
  <c r="J48" i="72"/>
  <c r="I48" i="72"/>
  <c r="H48" i="72"/>
  <c r="G48" i="72"/>
  <c r="F48" i="72"/>
  <c r="E48" i="72"/>
  <c r="D48" i="72"/>
  <c r="C48" i="72"/>
  <c r="B48" i="72"/>
  <c r="N47" i="72"/>
  <c r="M47" i="72"/>
  <c r="L47" i="72"/>
  <c r="K47" i="72"/>
  <c r="J47" i="72"/>
  <c r="I47" i="72"/>
  <c r="H47" i="72"/>
  <c r="G47" i="72"/>
  <c r="F47" i="72"/>
  <c r="E47" i="72"/>
  <c r="D47" i="72"/>
  <c r="C47" i="72"/>
  <c r="B47" i="72"/>
  <c r="N46" i="72"/>
  <c r="M46" i="72"/>
  <c r="L46" i="72"/>
  <c r="K46" i="72"/>
  <c r="J46" i="72"/>
  <c r="I46" i="72"/>
  <c r="H46" i="72"/>
  <c r="G46" i="72"/>
  <c r="F46" i="72"/>
  <c r="E46" i="72"/>
  <c r="D46" i="72"/>
  <c r="C46" i="72"/>
  <c r="B46" i="72"/>
  <c r="N45" i="72"/>
  <c r="M45" i="72"/>
  <c r="L45" i="72"/>
  <c r="K45" i="72"/>
  <c r="J45" i="72"/>
  <c r="I45" i="72"/>
  <c r="H45" i="72"/>
  <c r="G45" i="72"/>
  <c r="F45" i="72"/>
  <c r="E45" i="72"/>
  <c r="D45" i="72"/>
  <c r="C45" i="72"/>
  <c r="B45" i="72"/>
  <c r="N44" i="72"/>
  <c r="M44" i="72"/>
  <c r="L44" i="72"/>
  <c r="K44" i="72"/>
  <c r="J44" i="72"/>
  <c r="I44" i="72"/>
  <c r="H44" i="72"/>
  <c r="G44" i="72"/>
  <c r="F44" i="72"/>
  <c r="E44" i="72"/>
  <c r="D44" i="72"/>
  <c r="C44" i="72"/>
  <c r="B44" i="72"/>
  <c r="N43" i="72"/>
  <c r="M43" i="72"/>
  <c r="L43" i="72"/>
  <c r="K43" i="72"/>
  <c r="J43" i="72"/>
  <c r="I43" i="72"/>
  <c r="H43" i="72"/>
  <c r="G43" i="72"/>
  <c r="F43" i="72"/>
  <c r="E43" i="72"/>
  <c r="D43" i="72"/>
  <c r="C43" i="72"/>
  <c r="B43" i="72"/>
  <c r="N42" i="72"/>
  <c r="M42" i="72"/>
  <c r="L42" i="72"/>
  <c r="K42" i="72"/>
  <c r="J42" i="72"/>
  <c r="I42" i="72"/>
  <c r="H42" i="72"/>
  <c r="G42" i="72"/>
  <c r="F42" i="72"/>
  <c r="E42" i="72"/>
  <c r="D42" i="72"/>
  <c r="C42" i="72"/>
  <c r="B42" i="72"/>
  <c r="N41" i="72"/>
  <c r="M41" i="72"/>
  <c r="L41" i="72"/>
  <c r="K41" i="72"/>
  <c r="J41" i="72"/>
  <c r="I41" i="72"/>
  <c r="H41" i="72"/>
  <c r="G41" i="72"/>
  <c r="F41" i="72"/>
  <c r="E41" i="72"/>
  <c r="D41" i="72"/>
  <c r="C41" i="72"/>
  <c r="B41" i="72"/>
  <c r="N40" i="72"/>
  <c r="M40" i="72"/>
  <c r="L40" i="72"/>
  <c r="K40" i="72"/>
  <c r="J40" i="72"/>
  <c r="I40" i="72"/>
  <c r="H40" i="72"/>
  <c r="G40" i="72"/>
  <c r="F40" i="72"/>
  <c r="E40" i="72"/>
  <c r="D40" i="72"/>
  <c r="C40" i="72"/>
  <c r="B40" i="72"/>
  <c r="N39" i="72"/>
  <c r="M39" i="72"/>
  <c r="L39" i="72"/>
  <c r="K39" i="72"/>
  <c r="J39" i="72"/>
  <c r="I39" i="72"/>
  <c r="H39" i="72"/>
  <c r="G39" i="72"/>
  <c r="F39" i="72"/>
  <c r="E39" i="72"/>
  <c r="D39" i="72"/>
  <c r="C39" i="72"/>
  <c r="B39" i="72"/>
  <c r="N38" i="72"/>
  <c r="M38" i="72"/>
  <c r="L38" i="72"/>
  <c r="K38" i="72"/>
  <c r="J38" i="72"/>
  <c r="I38" i="72"/>
  <c r="H38" i="72"/>
  <c r="G38" i="72"/>
  <c r="F38" i="72"/>
  <c r="E38" i="72"/>
  <c r="D38" i="72"/>
  <c r="C38" i="72"/>
  <c r="B38" i="72"/>
  <c r="N37" i="72"/>
  <c r="M37" i="72"/>
  <c r="L37" i="72"/>
  <c r="K37" i="72"/>
  <c r="J37" i="72"/>
  <c r="I37" i="72"/>
  <c r="H37" i="72"/>
  <c r="G37" i="72"/>
  <c r="F37" i="72"/>
  <c r="E37" i="72"/>
  <c r="D37" i="72"/>
  <c r="C37" i="72"/>
  <c r="B37" i="72"/>
  <c r="N36" i="72"/>
  <c r="M36" i="72"/>
  <c r="L36" i="72"/>
  <c r="K36" i="72"/>
  <c r="J36" i="72"/>
  <c r="I36" i="72"/>
  <c r="H36" i="72"/>
  <c r="G36" i="72"/>
  <c r="F36" i="72"/>
  <c r="E36" i="72"/>
  <c r="D36" i="72"/>
  <c r="C36" i="72"/>
  <c r="B36" i="72"/>
  <c r="N35" i="72"/>
  <c r="M35" i="72"/>
  <c r="L35" i="72"/>
  <c r="K35" i="72"/>
  <c r="J35" i="72"/>
  <c r="I35" i="72"/>
  <c r="H35" i="72"/>
  <c r="G35" i="72"/>
  <c r="F35" i="72"/>
  <c r="E35" i="72"/>
  <c r="D35" i="72"/>
  <c r="C35" i="72"/>
  <c r="B35" i="72"/>
  <c r="N34" i="72"/>
  <c r="M34" i="72"/>
  <c r="L34" i="72"/>
  <c r="K34" i="72"/>
  <c r="J34" i="72"/>
  <c r="I34" i="72"/>
  <c r="H34" i="72"/>
  <c r="G34" i="72"/>
  <c r="F34" i="72"/>
  <c r="E34" i="72"/>
  <c r="D34" i="72"/>
  <c r="C34" i="72"/>
  <c r="B34" i="72"/>
  <c r="N33" i="72"/>
  <c r="M33" i="72"/>
  <c r="L33" i="72"/>
  <c r="K33" i="72"/>
  <c r="J33" i="72"/>
  <c r="I33" i="72"/>
  <c r="H33" i="72"/>
  <c r="G33" i="72"/>
  <c r="F33" i="72"/>
  <c r="E33" i="72"/>
  <c r="D33" i="72"/>
  <c r="C33" i="72"/>
  <c r="B33" i="72"/>
  <c r="N32" i="72"/>
  <c r="M32" i="72"/>
  <c r="L32" i="72"/>
  <c r="K32" i="72"/>
  <c r="J32" i="72"/>
  <c r="I32" i="72"/>
  <c r="H32" i="72"/>
  <c r="G32" i="72"/>
  <c r="F32" i="72"/>
  <c r="E32" i="72"/>
  <c r="D32" i="72"/>
  <c r="C32" i="72"/>
  <c r="B32" i="72"/>
  <c r="U21" i="72" s="1"/>
  <c r="Q31" i="72"/>
  <c r="N31" i="72"/>
  <c r="M31" i="72"/>
  <c r="L31" i="72"/>
  <c r="K31" i="72"/>
  <c r="J31" i="72"/>
  <c r="I31" i="72"/>
  <c r="H31" i="72"/>
  <c r="G31" i="72"/>
  <c r="F31" i="72"/>
  <c r="E31" i="72"/>
  <c r="D31" i="72"/>
  <c r="C31" i="72"/>
  <c r="B31" i="72"/>
  <c r="N30" i="72"/>
  <c r="M30" i="72"/>
  <c r="L30" i="72"/>
  <c r="K30" i="72"/>
  <c r="J30" i="72"/>
  <c r="I30" i="72"/>
  <c r="H30" i="72"/>
  <c r="G30" i="72"/>
  <c r="F30" i="72"/>
  <c r="E30" i="72"/>
  <c r="D30" i="72"/>
  <c r="N29" i="72"/>
  <c r="M29" i="72"/>
  <c r="L29" i="72"/>
  <c r="K29" i="72"/>
  <c r="J29" i="72"/>
  <c r="I29" i="72"/>
  <c r="H29" i="72"/>
  <c r="G29" i="72"/>
  <c r="F29" i="72"/>
  <c r="E29" i="72"/>
  <c r="D29" i="72"/>
  <c r="N28" i="72"/>
  <c r="M28" i="72"/>
  <c r="L28" i="72"/>
  <c r="K28" i="72"/>
  <c r="J28" i="72"/>
  <c r="I28" i="72"/>
  <c r="H28" i="72"/>
  <c r="G28" i="72"/>
  <c r="F28" i="72"/>
  <c r="E28" i="72"/>
  <c r="D28" i="72"/>
  <c r="N27" i="72"/>
  <c r="M27" i="72"/>
  <c r="L27" i="72"/>
  <c r="K27" i="72"/>
  <c r="J27" i="72"/>
  <c r="I27" i="72"/>
  <c r="H27" i="72"/>
  <c r="G27" i="72"/>
  <c r="F27" i="72"/>
  <c r="E27" i="72"/>
  <c r="D27" i="72"/>
  <c r="N26" i="72"/>
  <c r="M26" i="72"/>
  <c r="L26" i="72"/>
  <c r="K26" i="72"/>
  <c r="J26" i="72"/>
  <c r="I26" i="72"/>
  <c r="H26" i="72"/>
  <c r="G26" i="72"/>
  <c r="F26" i="72"/>
  <c r="E26" i="72"/>
  <c r="D26" i="72"/>
  <c r="C26" i="72"/>
  <c r="B26" i="72"/>
  <c r="R26" i="72" s="1"/>
  <c r="U26" i="72" s="1"/>
  <c r="N25" i="72"/>
  <c r="M25" i="72"/>
  <c r="L25" i="72"/>
  <c r="K25" i="72"/>
  <c r="J25" i="72"/>
  <c r="I25" i="72"/>
  <c r="H25" i="72"/>
  <c r="G25" i="72"/>
  <c r="F25" i="72"/>
  <c r="E25" i="72"/>
  <c r="D25" i="72"/>
  <c r="C25" i="72"/>
  <c r="B25" i="72"/>
  <c r="R25" i="72" s="1"/>
  <c r="N24" i="72"/>
  <c r="M24" i="72"/>
  <c r="L24" i="72"/>
  <c r="K24" i="72"/>
  <c r="J24" i="72"/>
  <c r="I24" i="72"/>
  <c r="H24" i="72"/>
  <c r="G24" i="72"/>
  <c r="F24" i="72"/>
  <c r="E24" i="72"/>
  <c r="D24" i="72"/>
  <c r="C24" i="72"/>
  <c r="B24" i="72"/>
  <c r="R24" i="72" s="1"/>
  <c r="N23" i="72"/>
  <c r="M23" i="72"/>
  <c r="L23" i="72"/>
  <c r="K23" i="72"/>
  <c r="J23" i="72"/>
  <c r="I23" i="72"/>
  <c r="H23" i="72"/>
  <c r="G23" i="72"/>
  <c r="F23" i="72"/>
  <c r="E23" i="72"/>
  <c r="D23" i="72"/>
  <c r="C23" i="72"/>
  <c r="B23" i="72"/>
  <c r="R23" i="72" s="1"/>
  <c r="N22" i="72"/>
  <c r="M22" i="72"/>
  <c r="L22" i="72"/>
  <c r="K22" i="72"/>
  <c r="J22" i="72"/>
  <c r="I22" i="72"/>
  <c r="H22" i="72"/>
  <c r="G22" i="72"/>
  <c r="F22" i="72"/>
  <c r="E22" i="72"/>
  <c r="D22" i="72"/>
  <c r="C22" i="72"/>
  <c r="B22" i="72"/>
  <c r="R22" i="72" s="1"/>
  <c r="N21" i="72"/>
  <c r="M21" i="72"/>
  <c r="L21" i="72"/>
  <c r="K21" i="72"/>
  <c r="J21" i="72"/>
  <c r="I21" i="72"/>
  <c r="H21" i="72"/>
  <c r="G21" i="72"/>
  <c r="F21" i="72"/>
  <c r="E21" i="72"/>
  <c r="D21" i="72"/>
  <c r="C21" i="72"/>
  <c r="B21" i="72"/>
  <c r="R21" i="72" s="1"/>
  <c r="N20" i="72"/>
  <c r="M20" i="72"/>
  <c r="L20" i="72"/>
  <c r="K20" i="72"/>
  <c r="J20" i="72"/>
  <c r="I20" i="72"/>
  <c r="H20" i="72"/>
  <c r="G20" i="72"/>
  <c r="F20" i="72"/>
  <c r="E20" i="72"/>
  <c r="D20" i="72"/>
  <c r="C20" i="72"/>
  <c r="B20" i="72"/>
  <c r="R20" i="72" s="1"/>
  <c r="N19" i="72"/>
  <c r="M19" i="72"/>
  <c r="L19" i="72"/>
  <c r="K19" i="72"/>
  <c r="J19" i="72"/>
  <c r="I19" i="72"/>
  <c r="H19" i="72"/>
  <c r="G19" i="72"/>
  <c r="F19" i="72"/>
  <c r="E19" i="72"/>
  <c r="D19" i="72"/>
  <c r="C19" i="72"/>
  <c r="B19" i="72"/>
  <c r="R19" i="72" s="1"/>
  <c r="U19" i="72" s="1"/>
  <c r="N18" i="72"/>
  <c r="M18" i="72"/>
  <c r="L18" i="72"/>
  <c r="K18" i="72"/>
  <c r="J18" i="72"/>
  <c r="I18" i="72"/>
  <c r="H18" i="72"/>
  <c r="G18" i="72"/>
  <c r="F18" i="72"/>
  <c r="E18" i="72"/>
  <c r="D18" i="72"/>
  <c r="C18" i="72"/>
  <c r="B18" i="72"/>
  <c r="R18" i="72" s="1"/>
  <c r="N17" i="72"/>
  <c r="M17" i="72"/>
  <c r="L17" i="72"/>
  <c r="K17" i="72"/>
  <c r="J17" i="72"/>
  <c r="I17" i="72"/>
  <c r="H17" i="72"/>
  <c r="G17" i="72"/>
  <c r="F17" i="72"/>
  <c r="E17" i="72"/>
  <c r="D17" i="72"/>
  <c r="C17" i="72"/>
  <c r="B17" i="72"/>
  <c r="R17" i="72" s="1"/>
  <c r="N16" i="72"/>
  <c r="M16" i="72"/>
  <c r="L16" i="72"/>
  <c r="K16" i="72"/>
  <c r="J16" i="72"/>
  <c r="I16" i="72"/>
  <c r="H16" i="72"/>
  <c r="G16" i="72"/>
  <c r="F16" i="72"/>
  <c r="E16" i="72"/>
  <c r="D16" i="72"/>
  <c r="C16" i="72"/>
  <c r="B16" i="72"/>
  <c r="R16" i="72" s="1"/>
  <c r="N15" i="72"/>
  <c r="M15" i="72"/>
  <c r="L15" i="72"/>
  <c r="K15" i="72"/>
  <c r="J15" i="72"/>
  <c r="I15" i="72"/>
  <c r="H15" i="72"/>
  <c r="G15" i="72"/>
  <c r="F15" i="72"/>
  <c r="E15" i="72"/>
  <c r="D15" i="72"/>
  <c r="C15" i="72"/>
  <c r="B15" i="72"/>
  <c r="R15" i="72" s="1"/>
  <c r="N14" i="72"/>
  <c r="M14" i="72"/>
  <c r="L14" i="72"/>
  <c r="K14" i="72"/>
  <c r="J14" i="72"/>
  <c r="I14" i="72"/>
  <c r="H14" i="72"/>
  <c r="G14" i="72"/>
  <c r="F14" i="72"/>
  <c r="E14" i="72"/>
  <c r="D14" i="72"/>
  <c r="C14" i="72"/>
  <c r="B14" i="72"/>
  <c r="R14" i="72" s="1"/>
  <c r="N13" i="72"/>
  <c r="M13" i="72"/>
  <c r="L13" i="72"/>
  <c r="K13" i="72"/>
  <c r="J13" i="72"/>
  <c r="I13" i="72"/>
  <c r="H13" i="72"/>
  <c r="G13" i="72"/>
  <c r="F13" i="72"/>
  <c r="E13" i="72"/>
  <c r="D13" i="72"/>
  <c r="C13" i="72"/>
  <c r="B13" i="72"/>
  <c r="R13" i="72" s="1"/>
  <c r="N12" i="72"/>
  <c r="M12" i="72"/>
  <c r="L12" i="72"/>
  <c r="K12" i="72"/>
  <c r="J12" i="72"/>
  <c r="I12" i="72"/>
  <c r="H12" i="72"/>
  <c r="G12" i="72"/>
  <c r="F12" i="72"/>
  <c r="E12" i="72"/>
  <c r="D12" i="72"/>
  <c r="C12" i="72"/>
  <c r="B12" i="72"/>
  <c r="R12" i="72" s="1"/>
  <c r="N11" i="72"/>
  <c r="M11" i="72"/>
  <c r="L11" i="72"/>
  <c r="K11" i="72"/>
  <c r="J11" i="72"/>
  <c r="I11" i="72"/>
  <c r="H11" i="72"/>
  <c r="G11" i="72"/>
  <c r="F11" i="72"/>
  <c r="E11" i="72"/>
  <c r="D11" i="72"/>
  <c r="C11" i="72"/>
  <c r="B11" i="72"/>
  <c r="R11" i="72" s="1"/>
  <c r="N10" i="72"/>
  <c r="M10" i="72"/>
  <c r="L10" i="72"/>
  <c r="K10" i="72"/>
  <c r="J10" i="72"/>
  <c r="I10" i="72"/>
  <c r="H10" i="72"/>
  <c r="G10" i="72"/>
  <c r="F10" i="72"/>
  <c r="E10" i="72"/>
  <c r="D10" i="72"/>
  <c r="C10" i="72"/>
  <c r="B10" i="72"/>
  <c r="R10" i="72" s="1"/>
  <c r="N9" i="72"/>
  <c r="M9" i="72"/>
  <c r="L9" i="72"/>
  <c r="K9" i="72"/>
  <c r="J9" i="72"/>
  <c r="I9" i="72"/>
  <c r="H9" i="72"/>
  <c r="G9" i="72"/>
  <c r="F9" i="72"/>
  <c r="E9" i="72"/>
  <c r="D9" i="72"/>
  <c r="C9" i="72"/>
  <c r="B9" i="72"/>
  <c r="R9" i="72" s="1"/>
  <c r="N8" i="72"/>
  <c r="M8" i="72"/>
  <c r="L8" i="72"/>
  <c r="K8" i="72"/>
  <c r="J8" i="72"/>
  <c r="I8" i="72"/>
  <c r="H8" i="72"/>
  <c r="G8" i="72"/>
  <c r="F8" i="72"/>
  <c r="E8" i="72"/>
  <c r="D8" i="72"/>
  <c r="C8" i="72"/>
  <c r="B8" i="72"/>
  <c r="R8" i="72" s="1"/>
  <c r="Q7" i="72"/>
  <c r="N7" i="72"/>
  <c r="M7" i="72"/>
  <c r="L7" i="72"/>
  <c r="K7" i="72"/>
  <c r="J7" i="72"/>
  <c r="I7" i="72"/>
  <c r="H7" i="72"/>
  <c r="G7" i="72"/>
  <c r="F7" i="72"/>
  <c r="E7" i="72"/>
  <c r="D7" i="72"/>
  <c r="C7" i="72"/>
  <c r="B7" i="72"/>
  <c r="R7" i="72" s="1"/>
  <c r="Z7" i="72" s="1"/>
  <c r="N6" i="72"/>
  <c r="M6" i="72"/>
  <c r="L6" i="72"/>
  <c r="K6" i="72"/>
  <c r="J6" i="72"/>
  <c r="I6" i="72"/>
  <c r="H6" i="72"/>
  <c r="G6" i="72"/>
  <c r="F6" i="72"/>
  <c r="E6" i="72"/>
  <c r="D6" i="72"/>
  <c r="BD5" i="72"/>
  <c r="N112" i="72" s="1"/>
  <c r="BC5" i="72"/>
  <c r="M111" i="72" s="1"/>
  <c r="BB5" i="72"/>
  <c r="BA5" i="72"/>
  <c r="AZ5" i="72"/>
  <c r="J110" i="72" s="1"/>
  <c r="AY5" i="72"/>
  <c r="AX5" i="72"/>
  <c r="H112" i="72" s="1"/>
  <c r="AW5" i="72"/>
  <c r="G111" i="72" s="1"/>
  <c r="AV5" i="72"/>
  <c r="AU5" i="72"/>
  <c r="AT5" i="72"/>
  <c r="BD4" i="72"/>
  <c r="BC4" i="72"/>
  <c r="M98" i="72" s="1"/>
  <c r="BB4" i="72"/>
  <c r="L97" i="72" s="1"/>
  <c r="BA4" i="72"/>
  <c r="K96" i="72" s="1"/>
  <c r="AZ4" i="72"/>
  <c r="J95" i="72" s="1"/>
  <c r="AY4" i="72"/>
  <c r="I95" i="72" s="1"/>
  <c r="AX4" i="72"/>
  <c r="AW4" i="72"/>
  <c r="G98" i="72" s="1"/>
  <c r="AV4" i="72"/>
  <c r="F97" i="72" s="1"/>
  <c r="AU4" i="72"/>
  <c r="E96" i="72" s="1"/>
  <c r="AT4" i="72"/>
  <c r="D95" i="72" s="1"/>
  <c r="BD3" i="72"/>
  <c r="BC3" i="72"/>
  <c r="BB3" i="72"/>
  <c r="BA3" i="72"/>
  <c r="AZ3" i="72"/>
  <c r="AY3" i="72"/>
  <c r="AX3" i="72"/>
  <c r="AW3" i="72"/>
  <c r="AV3" i="72"/>
  <c r="AU3" i="72"/>
  <c r="AT3" i="72"/>
  <c r="U13" i="72" l="1"/>
  <c r="U20" i="72"/>
  <c r="AA20" i="72"/>
  <c r="AA19" i="72"/>
  <c r="S14" i="72"/>
  <c r="Y14" i="72"/>
  <c r="Z16" i="72"/>
  <c r="S9" i="72"/>
  <c r="Y9" i="72"/>
  <c r="Z11" i="72"/>
  <c r="AA13" i="72"/>
  <c r="AA17" i="72"/>
  <c r="U23" i="72"/>
  <c r="E110" i="72"/>
  <c r="K110" i="72"/>
  <c r="U11" i="72"/>
  <c r="AA11" i="72"/>
  <c r="S13" i="72"/>
  <c r="Y13" i="72"/>
  <c r="U16" i="72"/>
  <c r="AA16" i="72"/>
  <c r="Z18" i="72"/>
  <c r="J81" i="72"/>
  <c r="I81" i="72" s="1"/>
  <c r="V81" i="72"/>
  <c r="U81" i="72" s="1"/>
  <c r="U47" i="72" s="1"/>
  <c r="V47" i="72" s="1"/>
  <c r="F81" i="72"/>
  <c r="E81" i="72" s="1"/>
  <c r="R81" i="72"/>
  <c r="Q81" i="72" s="1"/>
  <c r="D80" i="72"/>
  <c r="C80" i="72" s="1"/>
  <c r="P80" i="72"/>
  <c r="O80" i="72" s="1"/>
  <c r="B83" i="72"/>
  <c r="A83" i="72" s="1"/>
  <c r="Z83" i="72" s="1"/>
  <c r="N83" i="72"/>
  <c r="M83" i="72" s="1"/>
  <c r="T79" i="72"/>
  <c r="F110" i="72"/>
  <c r="L110" i="72"/>
  <c r="S8" i="72"/>
  <c r="Y8" i="72"/>
  <c r="Z10" i="72"/>
  <c r="U12" i="72"/>
  <c r="AA12" i="72"/>
  <c r="Z22" i="72"/>
  <c r="Z26" i="72"/>
  <c r="L83" i="72"/>
  <c r="K83" i="72" s="1"/>
  <c r="H83" i="72"/>
  <c r="G83" i="72" s="1"/>
  <c r="T83" i="72"/>
  <c r="S83" i="72" s="1"/>
  <c r="D110" i="72"/>
  <c r="J71" i="72"/>
  <c r="I71" i="72" s="1"/>
  <c r="U8" i="72"/>
  <c r="S10" i="72"/>
  <c r="Z12" i="72"/>
  <c r="Y15" i="72"/>
  <c r="AA21" i="72"/>
  <c r="U24" i="72"/>
  <c r="AA26" i="72"/>
  <c r="H95" i="72"/>
  <c r="BG4" i="72"/>
  <c r="I113" i="72"/>
  <c r="U9" i="72"/>
  <c r="AA9" i="72"/>
  <c r="S11" i="72"/>
  <c r="Y11" i="72"/>
  <c r="U14" i="72"/>
  <c r="AA14" i="72"/>
  <c r="U17" i="72"/>
  <c r="U18" i="72"/>
  <c r="AA18" i="72"/>
  <c r="Z20" i="72"/>
  <c r="AA23" i="72"/>
  <c r="U25" i="72"/>
  <c r="AA25" i="72"/>
  <c r="V71" i="72"/>
  <c r="AA8" i="72"/>
  <c r="Y10" i="72"/>
  <c r="S15" i="72"/>
  <c r="AA24" i="72"/>
  <c r="B71" i="72"/>
  <c r="B76" i="72" s="1"/>
  <c r="U10" i="72"/>
  <c r="AA10" i="72"/>
  <c r="S12" i="72"/>
  <c r="Y12" i="72"/>
  <c r="U15" i="72"/>
  <c r="AA15" i="72"/>
  <c r="U22" i="72"/>
  <c r="AA22" i="72"/>
  <c r="Z24" i="72"/>
  <c r="H80" i="72"/>
  <c r="G80" i="72" s="1"/>
  <c r="T80" i="72"/>
  <c r="S80" i="72" s="1"/>
  <c r="B107" i="76"/>
  <c r="C107" i="76" s="1"/>
  <c r="B247" i="76"/>
  <c r="C247" i="76" s="1"/>
  <c r="B367" i="76"/>
  <c r="C367" i="76" s="1"/>
  <c r="B7" i="76"/>
  <c r="C7" i="76" s="1"/>
  <c r="B27" i="76"/>
  <c r="C27" i="76" s="1"/>
  <c r="B67" i="76"/>
  <c r="C67" i="76" s="1"/>
  <c r="B267" i="76"/>
  <c r="C267" i="76" s="1"/>
  <c r="B387" i="76"/>
  <c r="C387" i="76" s="1"/>
  <c r="B127" i="76"/>
  <c r="C127" i="76" s="1"/>
  <c r="B167" i="76"/>
  <c r="C167" i="76" s="1"/>
  <c r="B287" i="76"/>
  <c r="C287" i="76" s="1"/>
  <c r="B407" i="76"/>
  <c r="C407" i="76" s="1"/>
  <c r="B47" i="76"/>
  <c r="C47" i="76" s="1"/>
  <c r="B187" i="76"/>
  <c r="C187" i="76" s="1"/>
  <c r="B307" i="76"/>
  <c r="C307" i="76" s="1"/>
  <c r="B427" i="76"/>
  <c r="C427" i="76" s="1"/>
  <c r="B87" i="76"/>
  <c r="C87" i="76" s="1"/>
  <c r="B147" i="76"/>
  <c r="C147" i="76" s="1"/>
  <c r="B207" i="76"/>
  <c r="C207" i="76" s="1"/>
  <c r="T22" i="79"/>
  <c r="Z103" i="79"/>
  <c r="Z63" i="79"/>
  <c r="G68" i="84"/>
  <c r="B69" i="84"/>
  <c r="H69" i="84"/>
  <c r="B68" i="84"/>
  <c r="H68" i="84"/>
  <c r="E68" i="84"/>
  <c r="K68" i="84"/>
  <c r="F69" i="84"/>
  <c r="L69" i="84"/>
  <c r="M69" i="84" s="1"/>
  <c r="B71" i="84"/>
  <c r="H71" i="84"/>
  <c r="N121" i="79"/>
  <c r="N122" i="79"/>
  <c r="N123" i="79"/>
  <c r="N125" i="79"/>
  <c r="N126" i="79"/>
  <c r="N129" i="79"/>
  <c r="N131" i="79"/>
  <c r="N132" i="79"/>
  <c r="N133" i="79"/>
  <c r="N134" i="79"/>
  <c r="N137" i="79"/>
  <c r="G34" i="85"/>
  <c r="G71" i="85"/>
  <c r="K24" i="85"/>
  <c r="B34" i="85"/>
  <c r="B71" i="85"/>
  <c r="H34" i="85"/>
  <c r="H71" i="85"/>
  <c r="C34" i="85"/>
  <c r="C71" i="85"/>
  <c r="I34" i="85"/>
  <c r="I71" i="85"/>
  <c r="D34" i="85"/>
  <c r="D71" i="85"/>
  <c r="J34" i="85"/>
  <c r="J71" i="85"/>
  <c r="E34" i="85"/>
  <c r="E71" i="85"/>
  <c r="K34" i="85"/>
  <c r="K71" i="85"/>
  <c r="M37" i="85"/>
  <c r="E41" i="85"/>
  <c r="K41" i="85"/>
  <c r="M22" i="85"/>
  <c r="C24" i="85"/>
  <c r="I24" i="85"/>
  <c r="F34" i="85"/>
  <c r="F71" i="85"/>
  <c r="L34" i="85"/>
  <c r="L71" i="85"/>
  <c r="O23" i="82"/>
  <c r="E58" i="84"/>
  <c r="K58" i="84"/>
  <c r="F59" i="84"/>
  <c r="L59" i="84"/>
  <c r="E57" i="84"/>
  <c r="K57" i="84"/>
  <c r="F58" i="84"/>
  <c r="L58" i="84"/>
  <c r="G59" i="84"/>
  <c r="G57" i="84"/>
  <c r="N109" i="79"/>
  <c r="N112" i="79"/>
  <c r="N113" i="79"/>
  <c r="N101" i="79"/>
  <c r="N102" i="79"/>
  <c r="M13" i="82"/>
  <c r="F45" i="84"/>
  <c r="E46" i="84"/>
  <c r="K46" i="84"/>
  <c r="F47" i="84"/>
  <c r="E45" i="84"/>
  <c r="K45" i="84"/>
  <c r="F46" i="84"/>
  <c r="H48" i="84"/>
  <c r="P14" i="80"/>
  <c r="R17" i="80" s="1"/>
  <c r="P43" i="80"/>
  <c r="S48" i="80" s="1"/>
  <c r="P75" i="80"/>
  <c r="U86" i="80" s="1"/>
  <c r="P119" i="80"/>
  <c r="AN122" i="80" s="1"/>
  <c r="P95" i="80"/>
  <c r="AM85" i="80" s="1"/>
  <c r="N96" i="79"/>
  <c r="N98" i="79"/>
  <c r="N99" i="79"/>
  <c r="N81" i="79"/>
  <c r="N82" i="79"/>
  <c r="N87" i="79"/>
  <c r="N88" i="79"/>
  <c r="N90" i="79"/>
  <c r="F106" i="74"/>
  <c r="L106" i="74"/>
  <c r="S31" i="74"/>
  <c r="Y31" i="74"/>
  <c r="T32" i="74"/>
  <c r="Z32" i="74"/>
  <c r="U33" i="74"/>
  <c r="AA33" i="74"/>
  <c r="V34" i="74"/>
  <c r="AB34" i="74"/>
  <c r="X9" i="74"/>
  <c r="T25" i="74"/>
  <c r="Z25" i="74"/>
  <c r="H81" i="74"/>
  <c r="G81" i="74" s="1"/>
  <c r="T81" i="74"/>
  <c r="S81" i="74" s="1"/>
  <c r="V22" i="74"/>
  <c r="AB22" i="74"/>
  <c r="V23" i="74"/>
  <c r="AB23" i="74"/>
  <c r="L83" i="74"/>
  <c r="K83" i="74" s="1"/>
  <c r="V11" i="74"/>
  <c r="AB11" i="74"/>
  <c r="T12" i="74"/>
  <c r="Z12" i="74"/>
  <c r="T18" i="74"/>
  <c r="Z18" i="74"/>
  <c r="X20" i="74"/>
  <c r="X26" i="74"/>
  <c r="B81" i="74"/>
  <c r="N81" i="74"/>
  <c r="M81" i="74" s="1"/>
  <c r="Z13" i="74"/>
  <c r="V17" i="74"/>
  <c r="AB17" i="74"/>
  <c r="T19" i="74"/>
  <c r="Z19" i="74"/>
  <c r="X21" i="74"/>
  <c r="D82" i="74"/>
  <c r="C82" i="74" s="1"/>
  <c r="P82" i="74"/>
  <c r="O82" i="74" s="1"/>
  <c r="X15" i="74"/>
  <c r="F83" i="74"/>
  <c r="E83" i="74" s="1"/>
  <c r="R83" i="74"/>
  <c r="Q83" i="74" s="1"/>
  <c r="N66" i="79"/>
  <c r="N69" i="79"/>
  <c r="N72" i="79"/>
  <c r="N75" i="79"/>
  <c r="N63" i="79"/>
  <c r="F74" i="74"/>
  <c r="E74" i="74" s="1"/>
  <c r="R74" i="74"/>
  <c r="Q74" i="74" s="1"/>
  <c r="H72" i="74"/>
  <c r="G72" i="74" s="1"/>
  <c r="T72" i="74"/>
  <c r="S72" i="74" s="1"/>
  <c r="L74" i="74"/>
  <c r="K74" i="74" s="1"/>
  <c r="B72" i="74"/>
  <c r="Y72" i="74" s="1"/>
  <c r="S52" i="74" s="1"/>
  <c r="N72" i="74"/>
  <c r="M72" i="74" s="1"/>
  <c r="H93" i="74"/>
  <c r="N93" i="74"/>
  <c r="D95" i="74"/>
  <c r="J95" i="74"/>
  <c r="E96" i="74"/>
  <c r="K96" i="74"/>
  <c r="D73" i="74"/>
  <c r="C73" i="74" s="1"/>
  <c r="P73" i="74"/>
  <c r="O73" i="74" s="1"/>
  <c r="N43" i="79"/>
  <c r="N47" i="79"/>
  <c r="N53" i="79"/>
  <c r="N55" i="79"/>
  <c r="N60" i="79"/>
  <c r="N50" i="79"/>
  <c r="B80" i="72"/>
  <c r="B85" i="72" s="1"/>
  <c r="N80" i="72"/>
  <c r="M80" i="72" s="1"/>
  <c r="D81" i="72"/>
  <c r="C81" i="72" s="1"/>
  <c r="P81" i="72"/>
  <c r="O81" i="72" s="1"/>
  <c r="F83" i="72"/>
  <c r="E83" i="72" s="1"/>
  <c r="R83" i="72"/>
  <c r="Q83" i="72" s="1"/>
  <c r="G110" i="72"/>
  <c r="G115" i="72" s="1"/>
  <c r="M110" i="72"/>
  <c r="M115" i="72" s="1"/>
  <c r="I112" i="72"/>
  <c r="D113" i="72"/>
  <c r="J113" i="72"/>
  <c r="D112" i="72"/>
  <c r="J112" i="72"/>
  <c r="E113" i="72"/>
  <c r="K113" i="72"/>
  <c r="L82" i="72"/>
  <c r="K82" i="72" s="1"/>
  <c r="H79" i="72"/>
  <c r="AE79" i="72" s="1"/>
  <c r="AL18" i="79"/>
  <c r="AN21" i="79" s="1"/>
  <c r="N22" i="79"/>
  <c r="N23" i="79"/>
  <c r="N25" i="79"/>
  <c r="N27" i="79"/>
  <c r="N28" i="79"/>
  <c r="N29" i="79"/>
  <c r="N31" i="79"/>
  <c r="N33" i="79"/>
  <c r="N35" i="79"/>
  <c r="N36" i="79"/>
  <c r="N37" i="79"/>
  <c r="N39" i="79"/>
  <c r="L72" i="72"/>
  <c r="K72" i="72" s="1"/>
  <c r="N74" i="72"/>
  <c r="M74" i="72" s="1"/>
  <c r="BG3" i="72"/>
  <c r="BH3" i="72"/>
  <c r="B74" i="72"/>
  <c r="Y74" i="72" s="1"/>
  <c r="D71" i="72"/>
  <c r="C71" i="72" s="1"/>
  <c r="P71" i="72"/>
  <c r="O71" i="72" s="1"/>
  <c r="F72" i="72"/>
  <c r="E72" i="72" s="1"/>
  <c r="BH3" i="74"/>
  <c r="BG3" i="74"/>
  <c r="BF3" i="74"/>
  <c r="BH3" i="75"/>
  <c r="BL12" i="75"/>
  <c r="BG3" i="75"/>
  <c r="BF3" i="75"/>
  <c r="R72" i="72"/>
  <c r="Q72" i="72" s="1"/>
  <c r="H74" i="72"/>
  <c r="G74" i="72" s="1"/>
  <c r="T74" i="72"/>
  <c r="S74" i="72" s="1"/>
  <c r="BP21" i="75"/>
  <c r="BP25" i="75"/>
  <c r="BM24" i="75"/>
  <c r="BO23" i="75"/>
  <c r="BN25" i="75"/>
  <c r="BN26" i="75" s="1"/>
  <c r="BO22" i="75"/>
  <c r="BO21" i="75"/>
  <c r="BU38" i="75"/>
  <c r="BO25" i="75"/>
  <c r="BN23" i="75"/>
  <c r="BM23" i="75"/>
  <c r="BM22" i="75"/>
  <c r="BN22" i="75"/>
  <c r="BP23" i="75"/>
  <c r="BN21" i="75"/>
  <c r="BM25" i="75"/>
  <c r="BM26" i="75" s="1"/>
  <c r="BO24" i="75"/>
  <c r="BP24" i="75"/>
  <c r="BP22" i="75"/>
  <c r="BN24" i="75"/>
  <c r="BM21" i="75"/>
  <c r="M36" i="85"/>
  <c r="C56" i="85"/>
  <c r="M38" i="85"/>
  <c r="C70" i="84"/>
  <c r="I70" i="84"/>
  <c r="D71" i="84"/>
  <c r="J71" i="84"/>
  <c r="G67" i="84"/>
  <c r="C69" i="84"/>
  <c r="I69" i="84"/>
  <c r="D70" i="84"/>
  <c r="J70" i="84"/>
  <c r="E71" i="84"/>
  <c r="K71" i="84"/>
  <c r="M67" i="84"/>
  <c r="C68" i="84"/>
  <c r="I68" i="84"/>
  <c r="D69" i="84"/>
  <c r="J69" i="84"/>
  <c r="E70" i="84"/>
  <c r="K70" i="84"/>
  <c r="F71" i="84"/>
  <c r="L71" i="84"/>
  <c r="C67" i="84"/>
  <c r="I67" i="84"/>
  <c r="D68" i="84"/>
  <c r="J68" i="84"/>
  <c r="E69" i="84"/>
  <c r="K69" i="84"/>
  <c r="F70" i="84"/>
  <c r="L70" i="84"/>
  <c r="G71" i="84"/>
  <c r="G70" i="84"/>
  <c r="E67" i="84"/>
  <c r="K67" i="84"/>
  <c r="F68" i="84"/>
  <c r="L68" i="84"/>
  <c r="M68" i="84" s="1"/>
  <c r="G69" i="84"/>
  <c r="B70" i="84"/>
  <c r="H70" i="84"/>
  <c r="C71" i="84"/>
  <c r="I71" i="84"/>
  <c r="C41" i="85"/>
  <c r="I41" i="85"/>
  <c r="D41" i="85"/>
  <c r="J41" i="85"/>
  <c r="F42" i="85"/>
  <c r="M35" i="85"/>
  <c r="N35" i="85"/>
  <c r="L42" i="85"/>
  <c r="D24" i="85"/>
  <c r="J24" i="85"/>
  <c r="G42" i="85"/>
  <c r="H42" i="85"/>
  <c r="F24" i="85"/>
  <c r="L24" i="85"/>
  <c r="M24" i="85"/>
  <c r="C42" i="85"/>
  <c r="I42" i="85"/>
  <c r="L25" i="85"/>
  <c r="G24" i="85"/>
  <c r="M25" i="85"/>
  <c r="F41" i="85"/>
  <c r="L41" i="85"/>
  <c r="D42" i="85"/>
  <c r="J42" i="85"/>
  <c r="M23" i="85"/>
  <c r="M21" i="85"/>
  <c r="B24" i="85"/>
  <c r="H24" i="85"/>
  <c r="G41" i="85"/>
  <c r="E42" i="85"/>
  <c r="K42" i="85"/>
  <c r="M39" i="85"/>
  <c r="M28" i="82"/>
  <c r="G61" i="84"/>
  <c r="G60" i="84"/>
  <c r="B60" i="84"/>
  <c r="B61" i="84"/>
  <c r="E56" i="84"/>
  <c r="K56" i="84"/>
  <c r="F57" i="84"/>
  <c r="L57" i="84"/>
  <c r="G58" i="84"/>
  <c r="B59" i="84"/>
  <c r="H59" i="84"/>
  <c r="C61" i="84"/>
  <c r="C60" i="84"/>
  <c r="I61" i="84"/>
  <c r="I60" i="84"/>
  <c r="H61" i="84"/>
  <c r="H60" i="84"/>
  <c r="M56" i="84"/>
  <c r="B58" i="84"/>
  <c r="M58" i="84" s="1"/>
  <c r="H58" i="84"/>
  <c r="C59" i="84"/>
  <c r="I59" i="84"/>
  <c r="D60" i="84"/>
  <c r="D61" i="84"/>
  <c r="J60" i="84"/>
  <c r="J61" i="84"/>
  <c r="G56" i="84"/>
  <c r="B57" i="84"/>
  <c r="M57" i="84" s="1"/>
  <c r="H57" i="84"/>
  <c r="C58" i="84"/>
  <c r="I58" i="84"/>
  <c r="D59" i="84"/>
  <c r="J59" i="84"/>
  <c r="E60" i="84"/>
  <c r="E61" i="84"/>
  <c r="K60" i="84"/>
  <c r="K61" i="84"/>
  <c r="M59" i="84"/>
  <c r="B56" i="84"/>
  <c r="H56" i="84"/>
  <c r="C57" i="84"/>
  <c r="I57" i="84"/>
  <c r="D58" i="84"/>
  <c r="J58" i="84"/>
  <c r="E59" i="84"/>
  <c r="K59" i="84"/>
  <c r="F60" i="84"/>
  <c r="F61" i="84"/>
  <c r="L60" i="84"/>
  <c r="L61" i="84"/>
  <c r="BA38" i="79"/>
  <c r="E73" i="75"/>
  <c r="E79" i="75"/>
  <c r="AC50" i="75"/>
  <c r="AC58" i="75" s="1"/>
  <c r="E72" i="75"/>
  <c r="D76" i="75"/>
  <c r="D70" i="75"/>
  <c r="E80" i="75"/>
  <c r="M9" i="82"/>
  <c r="T40" i="82"/>
  <c r="R40" i="82"/>
  <c r="M8" i="82"/>
  <c r="T38" i="82"/>
  <c r="R38" i="82"/>
  <c r="M7" i="82"/>
  <c r="M6" i="82"/>
  <c r="M12" i="82"/>
  <c r="M11" i="82"/>
  <c r="M10" i="82"/>
  <c r="D45" i="84"/>
  <c r="J45" i="84"/>
  <c r="M8" i="84"/>
  <c r="L47" i="84"/>
  <c r="G48" i="84"/>
  <c r="B49" i="84"/>
  <c r="N10" i="84"/>
  <c r="H49" i="84"/>
  <c r="L46" i="84"/>
  <c r="M46" i="84" s="1"/>
  <c r="M7" i="84"/>
  <c r="O7" i="84" s="1"/>
  <c r="B48" i="84"/>
  <c r="N9" i="84"/>
  <c r="C49" i="84"/>
  <c r="I49" i="84"/>
  <c r="L45" i="84"/>
  <c r="M6" i="84"/>
  <c r="B47" i="84"/>
  <c r="N8" i="84"/>
  <c r="H47" i="84"/>
  <c r="C48" i="84"/>
  <c r="I48" i="84"/>
  <c r="D49" i="84"/>
  <c r="J49" i="84"/>
  <c r="G45" i="84"/>
  <c r="B46" i="84"/>
  <c r="N7" i="84"/>
  <c r="H46" i="84"/>
  <c r="C47" i="84"/>
  <c r="I47" i="84"/>
  <c r="D48" i="84"/>
  <c r="J48" i="84"/>
  <c r="E49" i="84"/>
  <c r="K49" i="84"/>
  <c r="O5" i="84"/>
  <c r="M5" i="84"/>
  <c r="N6" i="84"/>
  <c r="B45" i="84"/>
  <c r="H45" i="84"/>
  <c r="C46" i="84"/>
  <c r="I46" i="84"/>
  <c r="D47" i="84"/>
  <c r="J47" i="84"/>
  <c r="E48" i="84"/>
  <c r="K48" i="84"/>
  <c r="F49" i="84"/>
  <c r="M10" i="84"/>
  <c r="O10" i="84" s="1"/>
  <c r="L49" i="84"/>
  <c r="C45" i="84"/>
  <c r="I45" i="84"/>
  <c r="D46" i="84"/>
  <c r="J46" i="84"/>
  <c r="E47" i="84"/>
  <c r="K47" i="84"/>
  <c r="F48" i="84"/>
  <c r="L48" i="84"/>
  <c r="M9" i="84"/>
  <c r="G49" i="84"/>
  <c r="Y81" i="74"/>
  <c r="A81" i="74"/>
  <c r="X82" i="74"/>
  <c r="U82" i="74"/>
  <c r="H106" i="74"/>
  <c r="H111" i="74" s="1"/>
  <c r="N106" i="74"/>
  <c r="N111" i="74" s="1"/>
  <c r="I107" i="74"/>
  <c r="D108" i="74"/>
  <c r="J108" i="74"/>
  <c r="E109" i="74"/>
  <c r="K109" i="74"/>
  <c r="F79" i="74"/>
  <c r="L79" i="74"/>
  <c r="R79" i="74"/>
  <c r="B80" i="74"/>
  <c r="H80" i="74"/>
  <c r="G80" i="74" s="1"/>
  <c r="N80" i="74"/>
  <c r="M80" i="74" s="1"/>
  <c r="T80" i="74"/>
  <c r="S80" i="74" s="1"/>
  <c r="D81" i="74"/>
  <c r="C81" i="74" s="1"/>
  <c r="J81" i="74"/>
  <c r="I81" i="74" s="1"/>
  <c r="P81" i="74"/>
  <c r="O81" i="74" s="1"/>
  <c r="V81" i="74"/>
  <c r="F82" i="74"/>
  <c r="E82" i="74" s="1"/>
  <c r="L82" i="74"/>
  <c r="K82" i="74" s="1"/>
  <c r="R82" i="74"/>
  <c r="Q82" i="74" s="1"/>
  <c r="B83" i="74"/>
  <c r="H83" i="74"/>
  <c r="G83" i="74" s="1"/>
  <c r="N83" i="74"/>
  <c r="M83" i="74" s="1"/>
  <c r="T83" i="74"/>
  <c r="S83" i="74" s="1"/>
  <c r="I106" i="74"/>
  <c r="I111" i="74" s="1"/>
  <c r="D107" i="74"/>
  <c r="J107" i="74"/>
  <c r="E108" i="74"/>
  <c r="K108" i="74"/>
  <c r="F109" i="74"/>
  <c r="L109" i="74"/>
  <c r="BF5" i="74"/>
  <c r="D106" i="74"/>
  <c r="J106" i="74"/>
  <c r="E107" i="74"/>
  <c r="E111" i="74" s="1"/>
  <c r="K107" i="74"/>
  <c r="K111" i="74" s="1"/>
  <c r="F108" i="74"/>
  <c r="L108" i="74"/>
  <c r="G109" i="74"/>
  <c r="M109" i="74"/>
  <c r="BG5" i="74"/>
  <c r="B79" i="74"/>
  <c r="H79" i="74"/>
  <c r="N79" i="74"/>
  <c r="T79" i="74"/>
  <c r="D80" i="74"/>
  <c r="C80" i="74" s="1"/>
  <c r="J80" i="74"/>
  <c r="I80" i="74" s="1"/>
  <c r="P80" i="74"/>
  <c r="O80" i="74" s="1"/>
  <c r="V80" i="74"/>
  <c r="F81" i="74"/>
  <c r="E81" i="74" s="1"/>
  <c r="L81" i="74"/>
  <c r="K81" i="74" s="1"/>
  <c r="R81" i="74"/>
  <c r="Q81" i="74" s="1"/>
  <c r="B82" i="74"/>
  <c r="H82" i="74"/>
  <c r="G82" i="74" s="1"/>
  <c r="N82" i="74"/>
  <c r="M82" i="74" s="1"/>
  <c r="T82" i="74"/>
  <c r="S82" i="74" s="1"/>
  <c r="D83" i="74"/>
  <c r="C83" i="74" s="1"/>
  <c r="J83" i="74"/>
  <c r="I83" i="74" s="1"/>
  <c r="P83" i="74"/>
  <c r="O83" i="74" s="1"/>
  <c r="V83" i="74"/>
  <c r="F107" i="74"/>
  <c r="F111" i="74" s="1"/>
  <c r="L107" i="74"/>
  <c r="L111" i="74" s="1"/>
  <c r="G108" i="74"/>
  <c r="M108" i="74"/>
  <c r="H109" i="74"/>
  <c r="N109" i="74"/>
  <c r="BH5" i="74"/>
  <c r="G107" i="74"/>
  <c r="G111" i="74" s="1"/>
  <c r="M107" i="74"/>
  <c r="M111" i="74" s="1"/>
  <c r="H108" i="74"/>
  <c r="N108" i="74"/>
  <c r="I109" i="74"/>
  <c r="D79" i="74"/>
  <c r="J79" i="74"/>
  <c r="P79" i="74"/>
  <c r="V79" i="74"/>
  <c r="F80" i="74"/>
  <c r="E80" i="74" s="1"/>
  <c r="L80" i="74"/>
  <c r="K80" i="74" s="1"/>
  <c r="R80" i="74"/>
  <c r="Q80" i="74" s="1"/>
  <c r="X73" i="74"/>
  <c r="U73" i="74"/>
  <c r="M98" i="74"/>
  <c r="H98" i="74"/>
  <c r="F100" i="74"/>
  <c r="F87" i="74"/>
  <c r="F69" i="74"/>
  <c r="F78" i="74" s="1"/>
  <c r="U6" i="74"/>
  <c r="U30" i="74" s="1"/>
  <c r="L87" i="74"/>
  <c r="L100" i="74"/>
  <c r="R69" i="74"/>
  <c r="R78" i="74" s="1"/>
  <c r="AA6" i="74"/>
  <c r="AA30" i="74" s="1"/>
  <c r="T7" i="74"/>
  <c r="Z7" i="74"/>
  <c r="F70" i="74"/>
  <c r="L70" i="74"/>
  <c r="R70" i="74"/>
  <c r="B71" i="74"/>
  <c r="H71" i="74"/>
  <c r="G71" i="74" s="1"/>
  <c r="N71" i="74"/>
  <c r="M71" i="74" s="1"/>
  <c r="T71" i="74"/>
  <c r="S71" i="74" s="1"/>
  <c r="D72" i="74"/>
  <c r="C72" i="74" s="1"/>
  <c r="J72" i="74"/>
  <c r="I72" i="74" s="1"/>
  <c r="P72" i="74"/>
  <c r="O72" i="74" s="1"/>
  <c r="V72" i="74"/>
  <c r="F73" i="74"/>
  <c r="E73" i="74" s="1"/>
  <c r="L73" i="74"/>
  <c r="K73" i="74" s="1"/>
  <c r="R73" i="74"/>
  <c r="Q73" i="74" s="1"/>
  <c r="B74" i="74"/>
  <c r="H74" i="74"/>
  <c r="G74" i="74" s="1"/>
  <c r="N74" i="74"/>
  <c r="M74" i="74" s="1"/>
  <c r="T74" i="74"/>
  <c r="S74" i="74" s="1"/>
  <c r="I93" i="74"/>
  <c r="D94" i="74"/>
  <c r="J94" i="74"/>
  <c r="E95" i="74"/>
  <c r="K95" i="74"/>
  <c r="F96" i="74"/>
  <c r="L96" i="74"/>
  <c r="G87" i="74"/>
  <c r="G100" i="74"/>
  <c r="H69" i="74"/>
  <c r="H78" i="74" s="1"/>
  <c r="V6" i="74"/>
  <c r="V30" i="74" s="1"/>
  <c r="M87" i="74"/>
  <c r="M100" i="74"/>
  <c r="T69" i="74"/>
  <c r="T78" i="74" s="1"/>
  <c r="AB6" i="74"/>
  <c r="AB30" i="74" s="1"/>
  <c r="U7" i="74"/>
  <c r="AA7" i="74"/>
  <c r="D93" i="74"/>
  <c r="J93" i="74"/>
  <c r="E94" i="74"/>
  <c r="E98" i="74" s="1"/>
  <c r="K94" i="74"/>
  <c r="K98" i="74" s="1"/>
  <c r="F95" i="74"/>
  <c r="L95" i="74"/>
  <c r="G96" i="74"/>
  <c r="M96" i="74"/>
  <c r="E87" i="74"/>
  <c r="E100" i="74"/>
  <c r="D69" i="74"/>
  <c r="D78" i="74" s="1"/>
  <c r="T6" i="74"/>
  <c r="T30" i="74" s="1"/>
  <c r="H87" i="74"/>
  <c r="H100" i="74"/>
  <c r="J69" i="74"/>
  <c r="J78" i="74" s="1"/>
  <c r="W6" i="74"/>
  <c r="W30" i="74" s="1"/>
  <c r="N87" i="74"/>
  <c r="N100" i="74"/>
  <c r="V69" i="74"/>
  <c r="AC6" i="74"/>
  <c r="AC30" i="74" s="1"/>
  <c r="V7" i="74"/>
  <c r="AB7" i="74"/>
  <c r="B70" i="74"/>
  <c r="H70" i="74"/>
  <c r="N70" i="74"/>
  <c r="T70" i="74"/>
  <c r="D71" i="74"/>
  <c r="C71" i="74" s="1"/>
  <c r="J71" i="74"/>
  <c r="I71" i="74" s="1"/>
  <c r="P71" i="74"/>
  <c r="O71" i="74" s="1"/>
  <c r="V71" i="74"/>
  <c r="F72" i="74"/>
  <c r="E72" i="74" s="1"/>
  <c r="L72" i="74"/>
  <c r="K72" i="74" s="1"/>
  <c r="R72" i="74"/>
  <c r="Q72" i="74" s="1"/>
  <c r="B73" i="74"/>
  <c r="H73" i="74"/>
  <c r="G73" i="74" s="1"/>
  <c r="N73" i="74"/>
  <c r="M73" i="74" s="1"/>
  <c r="T73" i="74"/>
  <c r="S73" i="74" s="1"/>
  <c r="D74" i="74"/>
  <c r="C74" i="74" s="1"/>
  <c r="J74" i="74"/>
  <c r="I74" i="74" s="1"/>
  <c r="P74" i="74"/>
  <c r="O74" i="74" s="1"/>
  <c r="V74" i="74"/>
  <c r="F94" i="74"/>
  <c r="F98" i="74" s="1"/>
  <c r="L94" i="74"/>
  <c r="L98" i="74" s="1"/>
  <c r="G95" i="74"/>
  <c r="M95" i="74"/>
  <c r="H96" i="74"/>
  <c r="N96" i="74"/>
  <c r="I100" i="74"/>
  <c r="I87" i="74"/>
  <c r="L69" i="74"/>
  <c r="L78" i="74" s="1"/>
  <c r="X6" i="74"/>
  <c r="X30" i="74" s="1"/>
  <c r="W7" i="74"/>
  <c r="AC7" i="74"/>
  <c r="G94" i="74"/>
  <c r="G98" i="74" s="1"/>
  <c r="M94" i="74"/>
  <c r="H95" i="74"/>
  <c r="N95" i="74"/>
  <c r="I96" i="74"/>
  <c r="K87" i="74"/>
  <c r="K100" i="74"/>
  <c r="P69" i="74"/>
  <c r="P78" i="74" s="1"/>
  <c r="Z6" i="74"/>
  <c r="Z30" i="74" s="1"/>
  <c r="I94" i="74"/>
  <c r="D100" i="74"/>
  <c r="D87" i="74"/>
  <c r="B69" i="74"/>
  <c r="S6" i="74"/>
  <c r="S30" i="74" s="1"/>
  <c r="J87" i="74"/>
  <c r="J100" i="74"/>
  <c r="N69" i="74"/>
  <c r="N78" i="74" s="1"/>
  <c r="Y6" i="74"/>
  <c r="Y30" i="74" s="1"/>
  <c r="X7" i="74"/>
  <c r="D70" i="74"/>
  <c r="J70" i="74"/>
  <c r="P70" i="74"/>
  <c r="V70" i="74"/>
  <c r="F71" i="74"/>
  <c r="E71" i="74" s="1"/>
  <c r="L71" i="74"/>
  <c r="K71" i="74" s="1"/>
  <c r="R71" i="74"/>
  <c r="Q71" i="74" s="1"/>
  <c r="Y80" i="72"/>
  <c r="W51" i="72" s="1"/>
  <c r="Y83" i="72"/>
  <c r="S79" i="72"/>
  <c r="AK79" i="72"/>
  <c r="F82" i="72"/>
  <c r="E82" i="72" s="1"/>
  <c r="R82" i="72"/>
  <c r="Q82" i="72" s="1"/>
  <c r="H111" i="72"/>
  <c r="BG5" i="72"/>
  <c r="D79" i="72"/>
  <c r="J79" i="72"/>
  <c r="P79" i="72"/>
  <c r="V79" i="72"/>
  <c r="F80" i="72"/>
  <c r="E80" i="72" s="1"/>
  <c r="L80" i="72"/>
  <c r="K80" i="72" s="1"/>
  <c r="R80" i="72"/>
  <c r="Q80" i="72" s="1"/>
  <c r="B82" i="72"/>
  <c r="H82" i="72"/>
  <c r="G82" i="72" s="1"/>
  <c r="N82" i="72"/>
  <c r="M82" i="72" s="1"/>
  <c r="T82" i="72"/>
  <c r="S82" i="72" s="1"/>
  <c r="I110" i="72"/>
  <c r="D111" i="72"/>
  <c r="D115" i="72" s="1"/>
  <c r="J111" i="72"/>
  <c r="J115" i="72" s="1"/>
  <c r="E112" i="72"/>
  <c r="K112" i="72"/>
  <c r="F113" i="72"/>
  <c r="L113" i="72"/>
  <c r="B79" i="72"/>
  <c r="B84" i="72" s="1"/>
  <c r="J80" i="72"/>
  <c r="I80" i="72" s="1"/>
  <c r="H110" i="72"/>
  <c r="B81" i="72"/>
  <c r="B86" i="72" s="1"/>
  <c r="H81" i="72"/>
  <c r="G81" i="72" s="1"/>
  <c r="N81" i="72"/>
  <c r="M81" i="72" s="1"/>
  <c r="T81" i="72"/>
  <c r="S81" i="72" s="1"/>
  <c r="D83" i="72"/>
  <c r="C83" i="72" s="1"/>
  <c r="J83" i="72"/>
  <c r="I83" i="72" s="1"/>
  <c r="P83" i="72"/>
  <c r="O83" i="72" s="1"/>
  <c r="V83" i="72"/>
  <c r="E111" i="72"/>
  <c r="E115" i="72" s="1"/>
  <c r="K111" i="72"/>
  <c r="K115" i="72" s="1"/>
  <c r="F112" i="72"/>
  <c r="L112" i="72"/>
  <c r="G113" i="72"/>
  <c r="M113" i="72"/>
  <c r="N79" i="72"/>
  <c r="N110" i="72"/>
  <c r="BH5" i="72"/>
  <c r="F79" i="72"/>
  <c r="L79" i="72"/>
  <c r="R79" i="72"/>
  <c r="D82" i="72"/>
  <c r="C82" i="72" s="1"/>
  <c r="J82" i="72"/>
  <c r="I82" i="72" s="1"/>
  <c r="P82" i="72"/>
  <c r="O82" i="72" s="1"/>
  <c r="V82" i="72"/>
  <c r="F111" i="72"/>
  <c r="F115" i="72" s="1"/>
  <c r="L111" i="72"/>
  <c r="L115" i="72" s="1"/>
  <c r="G112" i="72"/>
  <c r="M112" i="72"/>
  <c r="H113" i="72"/>
  <c r="N113" i="72"/>
  <c r="V80" i="72"/>
  <c r="N111" i="72"/>
  <c r="BF5" i="72"/>
  <c r="L81" i="72"/>
  <c r="K81" i="72" s="1"/>
  <c r="I111" i="72"/>
  <c r="AA7" i="72"/>
  <c r="Z9" i="72"/>
  <c r="Z15" i="72"/>
  <c r="Z8" i="72"/>
  <c r="Z14" i="72"/>
  <c r="Z13" i="72"/>
  <c r="Z17" i="72"/>
  <c r="Z19" i="72"/>
  <c r="Z21" i="72"/>
  <c r="Z23" i="72"/>
  <c r="Z25" i="72"/>
  <c r="W40" i="82"/>
  <c r="M23" i="82"/>
  <c r="Y40" i="82" s="1"/>
  <c r="W38" i="82"/>
  <c r="M22" i="82"/>
  <c r="Y38" i="82" s="1"/>
  <c r="M21" i="82"/>
  <c r="M27" i="82"/>
  <c r="M26" i="82"/>
  <c r="M25" i="82"/>
  <c r="M24" i="82"/>
  <c r="N24" i="79"/>
  <c r="N26" i="79"/>
  <c r="N30" i="79"/>
  <c r="N32" i="79"/>
  <c r="N34" i="79"/>
  <c r="N38" i="79"/>
  <c r="X71" i="72"/>
  <c r="S46" i="72" s="1"/>
  <c r="U71" i="72"/>
  <c r="Q46" i="72" s="1"/>
  <c r="R46" i="72" s="1"/>
  <c r="U7" i="72"/>
  <c r="W6" i="72"/>
  <c r="W30" i="72" s="1"/>
  <c r="H89" i="72"/>
  <c r="H104" i="72" s="1"/>
  <c r="H117" i="72" s="1"/>
  <c r="J69" i="72"/>
  <c r="J78" i="72" s="1"/>
  <c r="AC6" i="72"/>
  <c r="AC30" i="72" s="1"/>
  <c r="N89" i="72"/>
  <c r="N104" i="72" s="1"/>
  <c r="N117" i="72" s="1"/>
  <c r="V69" i="72"/>
  <c r="X69" i="72" s="1"/>
  <c r="V7" i="72"/>
  <c r="AB7" i="72"/>
  <c r="V8" i="72"/>
  <c r="AB8" i="72"/>
  <c r="V9" i="72"/>
  <c r="AB9" i="72"/>
  <c r="V10" i="72"/>
  <c r="AB10" i="72"/>
  <c r="V11" i="72"/>
  <c r="AB11" i="72"/>
  <c r="V12" i="72"/>
  <c r="AB12" i="72"/>
  <c r="V13" i="72"/>
  <c r="AB13" i="72"/>
  <c r="V14" i="72"/>
  <c r="AB14" i="72"/>
  <c r="V15" i="72"/>
  <c r="AB15" i="72"/>
  <c r="V16" i="72"/>
  <c r="AB16" i="72"/>
  <c r="V17" i="72"/>
  <c r="AB17" i="72"/>
  <c r="V18" i="72"/>
  <c r="AB18" i="72"/>
  <c r="V19" i="72"/>
  <c r="AB19" i="72"/>
  <c r="V20" i="72"/>
  <c r="AB20" i="72"/>
  <c r="V21" i="72"/>
  <c r="AB21" i="72"/>
  <c r="V22" i="72"/>
  <c r="AB22" i="72"/>
  <c r="V23" i="72"/>
  <c r="AB23" i="72"/>
  <c r="V24" i="72"/>
  <c r="AB24" i="72"/>
  <c r="V25" i="72"/>
  <c r="AB25" i="72"/>
  <c r="V26" i="72"/>
  <c r="AB26" i="72"/>
  <c r="D70" i="72"/>
  <c r="J70" i="72"/>
  <c r="P70" i="72"/>
  <c r="V70" i="72"/>
  <c r="F71" i="72"/>
  <c r="E71" i="72" s="1"/>
  <c r="L71" i="72"/>
  <c r="K71" i="72" s="1"/>
  <c r="R71" i="72"/>
  <c r="Q71" i="72" s="1"/>
  <c r="B73" i="72"/>
  <c r="H73" i="72"/>
  <c r="G73" i="72" s="1"/>
  <c r="N73" i="72"/>
  <c r="M73" i="72" s="1"/>
  <c r="T73" i="72"/>
  <c r="S73" i="72" s="1"/>
  <c r="E95" i="72"/>
  <c r="E100" i="72" s="1"/>
  <c r="K95" i="72"/>
  <c r="K100" i="72" s="1"/>
  <c r="F96" i="72"/>
  <c r="L96" i="72"/>
  <c r="G97" i="72"/>
  <c r="M97" i="72"/>
  <c r="H98" i="72"/>
  <c r="N98" i="72"/>
  <c r="B352" i="76"/>
  <c r="C352" i="76" s="1"/>
  <c r="B272" i="76"/>
  <c r="C272" i="76" s="1"/>
  <c r="B192" i="76"/>
  <c r="C192" i="76" s="1"/>
  <c r="B92" i="76"/>
  <c r="C92" i="76" s="1"/>
  <c r="B432" i="76"/>
  <c r="C432" i="76" s="1"/>
  <c r="B52" i="76"/>
  <c r="C52" i="76" s="1"/>
  <c r="B412" i="76"/>
  <c r="C412" i="76" s="1"/>
  <c r="B332" i="76"/>
  <c r="C332" i="76" s="1"/>
  <c r="B252" i="76"/>
  <c r="C252" i="76" s="1"/>
  <c r="B392" i="76"/>
  <c r="C392" i="76" s="1"/>
  <c r="B312" i="76"/>
  <c r="C312" i="76" s="1"/>
  <c r="B172" i="76"/>
  <c r="C172" i="76" s="1"/>
  <c r="B112" i="76"/>
  <c r="C112" i="76" s="1"/>
  <c r="B232" i="76"/>
  <c r="C232" i="76" s="1"/>
  <c r="B372" i="76"/>
  <c r="C372" i="76" s="1"/>
  <c r="B292" i="76"/>
  <c r="C292" i="76" s="1"/>
  <c r="B212" i="76"/>
  <c r="C212" i="76" s="1"/>
  <c r="B132" i="76"/>
  <c r="C132" i="76" s="1"/>
  <c r="B404" i="76"/>
  <c r="C404" i="76" s="1"/>
  <c r="B324" i="76"/>
  <c r="C324" i="76" s="1"/>
  <c r="B84" i="76"/>
  <c r="C84" i="76" s="1"/>
  <c r="B244" i="76"/>
  <c r="C244" i="76" s="1"/>
  <c r="B224" i="76"/>
  <c r="C224" i="76" s="1"/>
  <c r="B164" i="76"/>
  <c r="C164" i="76" s="1"/>
  <c r="B144" i="76"/>
  <c r="C144" i="76" s="1"/>
  <c r="B384" i="76"/>
  <c r="C384" i="76" s="1"/>
  <c r="B304" i="76"/>
  <c r="C304" i="76" s="1"/>
  <c r="B104" i="76"/>
  <c r="C104" i="76" s="1"/>
  <c r="B444" i="76"/>
  <c r="C444" i="76" s="1"/>
  <c r="B364" i="76"/>
  <c r="C364" i="76" s="1"/>
  <c r="B284" i="76"/>
  <c r="C284" i="76" s="1"/>
  <c r="B204" i="76"/>
  <c r="C204" i="76" s="1"/>
  <c r="B64" i="76"/>
  <c r="C64" i="76" s="1"/>
  <c r="B424" i="76"/>
  <c r="C424" i="76" s="1"/>
  <c r="B344" i="76"/>
  <c r="C344" i="76" s="1"/>
  <c r="B264" i="76"/>
  <c r="C264" i="76" s="1"/>
  <c r="B184" i="76"/>
  <c r="C184" i="76" s="1"/>
  <c r="L69" i="72"/>
  <c r="L78" i="72" s="1"/>
  <c r="I89" i="72"/>
  <c r="I104" i="72" s="1"/>
  <c r="I117" i="72" s="1"/>
  <c r="X6" i="72"/>
  <c r="X30" i="72" s="1"/>
  <c r="W7" i="72"/>
  <c r="AC7" i="72"/>
  <c r="W8" i="72"/>
  <c r="AC8" i="72"/>
  <c r="W9" i="72"/>
  <c r="AC9" i="72"/>
  <c r="W10" i="72"/>
  <c r="AC10" i="72"/>
  <c r="W11" i="72"/>
  <c r="AC11" i="72"/>
  <c r="W12" i="72"/>
  <c r="AC12" i="72"/>
  <c r="W13" i="72"/>
  <c r="AC13" i="72"/>
  <c r="W14" i="72"/>
  <c r="AC14" i="72"/>
  <c r="W15" i="72"/>
  <c r="AC15" i="72"/>
  <c r="W16" i="72"/>
  <c r="AC16" i="72"/>
  <c r="W17" i="72"/>
  <c r="AC17" i="72"/>
  <c r="W18" i="72"/>
  <c r="AC18" i="72"/>
  <c r="W19" i="72"/>
  <c r="AC19" i="72"/>
  <c r="W20" i="72"/>
  <c r="AC20" i="72"/>
  <c r="W21" i="72"/>
  <c r="AC21" i="72"/>
  <c r="W22" i="72"/>
  <c r="AC22" i="72"/>
  <c r="W23" i="72"/>
  <c r="AC23" i="72"/>
  <c r="W24" i="72"/>
  <c r="AC24" i="72"/>
  <c r="W25" i="72"/>
  <c r="AC25" i="72"/>
  <c r="W26" i="72"/>
  <c r="AC26" i="72"/>
  <c r="B72" i="72"/>
  <c r="B77" i="72" s="1"/>
  <c r="H72" i="72"/>
  <c r="G72" i="72" s="1"/>
  <c r="N72" i="72"/>
  <c r="M72" i="72" s="1"/>
  <c r="T72" i="72"/>
  <c r="S72" i="72" s="1"/>
  <c r="D74" i="72"/>
  <c r="C74" i="72" s="1"/>
  <c r="J74" i="72"/>
  <c r="I74" i="72" s="1"/>
  <c r="P74" i="72"/>
  <c r="O74" i="72" s="1"/>
  <c r="V74" i="72"/>
  <c r="F95" i="72"/>
  <c r="L95" i="72"/>
  <c r="G96" i="72"/>
  <c r="M96" i="72"/>
  <c r="H97" i="72"/>
  <c r="N97" i="72"/>
  <c r="I98" i="72"/>
  <c r="B350" i="76"/>
  <c r="C350" i="76" s="1"/>
  <c r="B270" i="76"/>
  <c r="C270" i="76" s="1"/>
  <c r="B190" i="76"/>
  <c r="C190" i="76" s="1"/>
  <c r="B90" i="76"/>
  <c r="C90" i="76" s="1"/>
  <c r="B430" i="76"/>
  <c r="C430" i="76" s="1"/>
  <c r="B50" i="76"/>
  <c r="C50" i="76" s="1"/>
  <c r="B410" i="76"/>
  <c r="C410" i="76" s="1"/>
  <c r="B330" i="76"/>
  <c r="C330" i="76" s="1"/>
  <c r="B250" i="76"/>
  <c r="C250" i="76" s="1"/>
  <c r="B390" i="76"/>
  <c r="C390" i="76" s="1"/>
  <c r="B310" i="76"/>
  <c r="C310" i="76" s="1"/>
  <c r="B170" i="76"/>
  <c r="C170" i="76" s="1"/>
  <c r="B110" i="76"/>
  <c r="C110" i="76" s="1"/>
  <c r="B230" i="76"/>
  <c r="C230" i="76" s="1"/>
  <c r="B370" i="76"/>
  <c r="C370" i="76" s="1"/>
  <c r="B290" i="76"/>
  <c r="C290" i="76" s="1"/>
  <c r="B210" i="76"/>
  <c r="C210" i="76" s="1"/>
  <c r="B130" i="76"/>
  <c r="C130" i="76" s="1"/>
  <c r="B122" i="76"/>
  <c r="C122" i="76" s="1"/>
  <c r="B422" i="76"/>
  <c r="C422" i="76" s="1"/>
  <c r="B342" i="76"/>
  <c r="C342" i="76" s="1"/>
  <c r="B262" i="76"/>
  <c r="C262" i="76" s="1"/>
  <c r="B182" i="76"/>
  <c r="C182" i="76" s="1"/>
  <c r="B42" i="76"/>
  <c r="C42" i="76" s="1"/>
  <c r="B402" i="76"/>
  <c r="C402" i="76" s="1"/>
  <c r="B322" i="76"/>
  <c r="C322" i="76" s="1"/>
  <c r="B82" i="76"/>
  <c r="C82" i="76" s="1"/>
  <c r="B242" i="76"/>
  <c r="C242" i="76" s="1"/>
  <c r="B222" i="76"/>
  <c r="C222" i="76" s="1"/>
  <c r="B162" i="76"/>
  <c r="C162" i="76" s="1"/>
  <c r="B142" i="76"/>
  <c r="C142" i="76" s="1"/>
  <c r="B382" i="76"/>
  <c r="C382" i="76" s="1"/>
  <c r="B302" i="76"/>
  <c r="C302" i="76" s="1"/>
  <c r="B442" i="76"/>
  <c r="C442" i="76" s="1"/>
  <c r="B362" i="76"/>
  <c r="C362" i="76" s="1"/>
  <c r="B282" i="76"/>
  <c r="C282" i="76" s="1"/>
  <c r="B202" i="76"/>
  <c r="C202" i="76" s="1"/>
  <c r="B69" i="72"/>
  <c r="Y69" i="72" s="1"/>
  <c r="D89" i="72"/>
  <c r="S6" i="72"/>
  <c r="S30" i="72" s="1"/>
  <c r="N69" i="72"/>
  <c r="N78" i="72" s="1"/>
  <c r="J89" i="72"/>
  <c r="J104" i="72" s="1"/>
  <c r="J117" i="72" s="1"/>
  <c r="Y6" i="72"/>
  <c r="Y30" i="72" s="1"/>
  <c r="X7" i="72"/>
  <c r="X8" i="72"/>
  <c r="X9" i="72"/>
  <c r="X10" i="72"/>
  <c r="X11" i="72"/>
  <c r="X12" i="72"/>
  <c r="X13" i="72"/>
  <c r="X14" i="72"/>
  <c r="X15" i="72"/>
  <c r="X16" i="72"/>
  <c r="X17" i="72"/>
  <c r="X18" i="72"/>
  <c r="X19" i="72"/>
  <c r="X20" i="72"/>
  <c r="X21" i="72"/>
  <c r="X22" i="72"/>
  <c r="X23" i="72"/>
  <c r="X24" i="72"/>
  <c r="X25" i="72"/>
  <c r="X26" i="72"/>
  <c r="F70" i="72"/>
  <c r="L70" i="72"/>
  <c r="R70" i="72"/>
  <c r="H71" i="72"/>
  <c r="G71" i="72" s="1"/>
  <c r="N71" i="72"/>
  <c r="M71" i="72" s="1"/>
  <c r="T71" i="72"/>
  <c r="S71" i="72" s="1"/>
  <c r="D73" i="72"/>
  <c r="C73" i="72" s="1"/>
  <c r="J73" i="72"/>
  <c r="I73" i="72" s="1"/>
  <c r="P73" i="72"/>
  <c r="O73" i="72" s="1"/>
  <c r="V73" i="72"/>
  <c r="X73" i="72" s="1"/>
  <c r="G95" i="72"/>
  <c r="M95" i="72"/>
  <c r="M100" i="72" s="1"/>
  <c r="H96" i="72"/>
  <c r="N96" i="72"/>
  <c r="I97" i="72"/>
  <c r="D98" i="72"/>
  <c r="J98" i="72"/>
  <c r="B288" i="76"/>
  <c r="C288" i="76" s="1"/>
  <c r="B208" i="76"/>
  <c r="C208" i="76" s="1"/>
  <c r="B368" i="76"/>
  <c r="C368" i="76" s="1"/>
  <c r="B128" i="76"/>
  <c r="C128" i="76" s="1"/>
  <c r="B428" i="76"/>
  <c r="C428" i="76" s="1"/>
  <c r="B348" i="76"/>
  <c r="C348" i="76" s="1"/>
  <c r="B268" i="76"/>
  <c r="C268" i="76" s="1"/>
  <c r="B188" i="76"/>
  <c r="C188" i="76" s="1"/>
  <c r="B88" i="76"/>
  <c r="C88" i="76" s="1"/>
  <c r="B408" i="76"/>
  <c r="C408" i="76" s="1"/>
  <c r="B328" i="76"/>
  <c r="C328" i="76" s="1"/>
  <c r="B48" i="76"/>
  <c r="C48" i="76" s="1"/>
  <c r="B388" i="76"/>
  <c r="C388" i="76" s="1"/>
  <c r="B308" i="76"/>
  <c r="C308" i="76" s="1"/>
  <c r="B248" i="76"/>
  <c r="C248" i="76" s="1"/>
  <c r="B228" i="76"/>
  <c r="C228" i="76" s="1"/>
  <c r="B168" i="76"/>
  <c r="C168" i="76" s="1"/>
  <c r="B148" i="76"/>
  <c r="C148" i="76" s="1"/>
  <c r="B108" i="76"/>
  <c r="C108" i="76" s="1"/>
  <c r="B68" i="76"/>
  <c r="C68" i="76" s="1"/>
  <c r="B440" i="76"/>
  <c r="C440" i="76" s="1"/>
  <c r="B360" i="76"/>
  <c r="C360" i="76" s="1"/>
  <c r="B280" i="76"/>
  <c r="C280" i="76" s="1"/>
  <c r="B200" i="76"/>
  <c r="C200" i="76" s="1"/>
  <c r="B60" i="76"/>
  <c r="C60" i="76" s="1"/>
  <c r="B120" i="76"/>
  <c r="C120" i="76" s="1"/>
  <c r="B420" i="76"/>
  <c r="C420" i="76" s="1"/>
  <c r="B340" i="76"/>
  <c r="C340" i="76" s="1"/>
  <c r="B260" i="76"/>
  <c r="C260" i="76" s="1"/>
  <c r="B180" i="76"/>
  <c r="C180" i="76" s="1"/>
  <c r="B400" i="76"/>
  <c r="C400" i="76" s="1"/>
  <c r="B320" i="76"/>
  <c r="C320" i="76" s="1"/>
  <c r="B80" i="76"/>
  <c r="C80" i="76" s="1"/>
  <c r="B240" i="76"/>
  <c r="C240" i="76" s="1"/>
  <c r="B220" i="76"/>
  <c r="C220" i="76" s="1"/>
  <c r="B380" i="76"/>
  <c r="C380" i="76" s="1"/>
  <c r="B300" i="76"/>
  <c r="C300" i="76" s="1"/>
  <c r="B100" i="76"/>
  <c r="C100" i="76" s="1"/>
  <c r="K89" i="72"/>
  <c r="K104" i="72" s="1"/>
  <c r="K117" i="72" s="1"/>
  <c r="P69" i="72"/>
  <c r="P78" i="72" s="1"/>
  <c r="Z6" i="72"/>
  <c r="Z30" i="72" s="1"/>
  <c r="S7" i="72"/>
  <c r="S16" i="72"/>
  <c r="Y16" i="72"/>
  <c r="S17" i="72"/>
  <c r="Y17" i="72"/>
  <c r="S18" i="72"/>
  <c r="Y18" i="72"/>
  <c r="S19" i="72"/>
  <c r="Y19" i="72"/>
  <c r="S20" i="72"/>
  <c r="Y20" i="72"/>
  <c r="S21" i="72"/>
  <c r="Y21" i="72"/>
  <c r="S22" i="72"/>
  <c r="Y22" i="72"/>
  <c r="S23" i="72"/>
  <c r="Y23" i="72"/>
  <c r="S24" i="72"/>
  <c r="Y24" i="72"/>
  <c r="S25" i="72"/>
  <c r="Y25" i="72"/>
  <c r="S26" i="72"/>
  <c r="Y26" i="72"/>
  <c r="D72" i="72"/>
  <c r="C72" i="72" s="1"/>
  <c r="J72" i="72"/>
  <c r="I72" i="72" s="1"/>
  <c r="P72" i="72"/>
  <c r="O72" i="72" s="1"/>
  <c r="V72" i="72"/>
  <c r="F74" i="72"/>
  <c r="E74" i="72" s="1"/>
  <c r="L74" i="72"/>
  <c r="K74" i="72" s="1"/>
  <c r="R74" i="72"/>
  <c r="Q74" i="72" s="1"/>
  <c r="N95" i="72"/>
  <c r="I96" i="72"/>
  <c r="I100" i="72" s="1"/>
  <c r="D97" i="72"/>
  <c r="J97" i="72"/>
  <c r="E98" i="72"/>
  <c r="K98" i="72"/>
  <c r="B386" i="76"/>
  <c r="C386" i="76" s="1"/>
  <c r="B306" i="76"/>
  <c r="C306" i="76" s="1"/>
  <c r="B106" i="76"/>
  <c r="C106" i="76" s="1"/>
  <c r="B366" i="76"/>
  <c r="C366" i="76" s="1"/>
  <c r="B286" i="76"/>
  <c r="C286" i="76" s="1"/>
  <c r="B206" i="76"/>
  <c r="C206" i="76" s="1"/>
  <c r="B66" i="76"/>
  <c r="C66" i="76" s="1"/>
  <c r="B126" i="76"/>
  <c r="C126" i="76" s="1"/>
  <c r="B426" i="76"/>
  <c r="C426" i="76" s="1"/>
  <c r="B346" i="76"/>
  <c r="C346" i="76" s="1"/>
  <c r="B266" i="76"/>
  <c r="C266" i="76" s="1"/>
  <c r="B186" i="76"/>
  <c r="C186" i="76" s="1"/>
  <c r="B46" i="76"/>
  <c r="C46" i="76" s="1"/>
  <c r="B406" i="76"/>
  <c r="C406" i="76" s="1"/>
  <c r="B326" i="76"/>
  <c r="C326" i="76" s="1"/>
  <c r="B246" i="76"/>
  <c r="C246" i="76" s="1"/>
  <c r="B226" i="76"/>
  <c r="C226" i="76" s="1"/>
  <c r="B166" i="76"/>
  <c r="C166" i="76" s="1"/>
  <c r="B146" i="76"/>
  <c r="C146" i="76" s="1"/>
  <c r="B238" i="76"/>
  <c r="C238" i="76" s="1"/>
  <c r="B218" i="76"/>
  <c r="C218" i="76" s="1"/>
  <c r="B158" i="76"/>
  <c r="C158" i="76" s="1"/>
  <c r="B138" i="76"/>
  <c r="C138" i="76" s="1"/>
  <c r="B378" i="76"/>
  <c r="C378" i="76" s="1"/>
  <c r="B298" i="76"/>
  <c r="C298" i="76" s="1"/>
  <c r="B98" i="76"/>
  <c r="C98" i="76" s="1"/>
  <c r="B438" i="76"/>
  <c r="C438" i="76" s="1"/>
  <c r="B358" i="76"/>
  <c r="C358" i="76" s="1"/>
  <c r="B278" i="76"/>
  <c r="C278" i="76" s="1"/>
  <c r="B198" i="76"/>
  <c r="C198" i="76" s="1"/>
  <c r="B118" i="76"/>
  <c r="C118" i="76" s="1"/>
  <c r="B418" i="76"/>
  <c r="C418" i="76" s="1"/>
  <c r="B338" i="76"/>
  <c r="C338" i="76" s="1"/>
  <c r="B258" i="76"/>
  <c r="C258" i="76" s="1"/>
  <c r="B178" i="76"/>
  <c r="C178" i="76" s="1"/>
  <c r="B398" i="76"/>
  <c r="C398" i="76" s="1"/>
  <c r="B318" i="76"/>
  <c r="C318" i="76" s="1"/>
  <c r="B78" i="76"/>
  <c r="C78" i="76" s="1"/>
  <c r="BH4" i="72"/>
  <c r="AB6" i="72"/>
  <c r="AB30" i="72" s="1"/>
  <c r="M89" i="72"/>
  <c r="M104" i="72" s="1"/>
  <c r="M117" i="72" s="1"/>
  <c r="T69" i="72"/>
  <c r="T78" i="72" s="1"/>
  <c r="T6" i="72"/>
  <c r="T30" i="72" s="1"/>
  <c r="E89" i="72"/>
  <c r="E104" i="72" s="1"/>
  <c r="E117" i="72" s="1"/>
  <c r="D69" i="72"/>
  <c r="D78" i="72" s="1"/>
  <c r="Y7" i="72"/>
  <c r="BF4" i="72"/>
  <c r="U6" i="72"/>
  <c r="U30" i="72" s="1"/>
  <c r="F89" i="72"/>
  <c r="F104" i="72" s="1"/>
  <c r="F117" i="72" s="1"/>
  <c r="F69" i="72"/>
  <c r="F78" i="72" s="1"/>
  <c r="AA6" i="72"/>
  <c r="AA30" i="72" s="1"/>
  <c r="R69" i="72"/>
  <c r="R78" i="72" s="1"/>
  <c r="L89" i="72"/>
  <c r="L104" i="72" s="1"/>
  <c r="L117" i="72" s="1"/>
  <c r="T7" i="72"/>
  <c r="T8" i="72"/>
  <c r="T9" i="72"/>
  <c r="T10" i="72"/>
  <c r="T11" i="72"/>
  <c r="T12" i="72"/>
  <c r="T13" i="72"/>
  <c r="T14" i="72"/>
  <c r="T15" i="72"/>
  <c r="T16" i="72"/>
  <c r="T17" i="72"/>
  <c r="T18" i="72"/>
  <c r="T19" i="72"/>
  <c r="T20" i="72"/>
  <c r="T21" i="72"/>
  <c r="T22" i="72"/>
  <c r="T23" i="72"/>
  <c r="T24" i="72"/>
  <c r="T25" i="72"/>
  <c r="T26" i="72"/>
  <c r="B70" i="72"/>
  <c r="H70" i="72"/>
  <c r="N70" i="72"/>
  <c r="T70" i="72"/>
  <c r="F73" i="72"/>
  <c r="E73" i="72" s="1"/>
  <c r="L73" i="72"/>
  <c r="K73" i="72" s="1"/>
  <c r="R73" i="72"/>
  <c r="Q73" i="72" s="1"/>
  <c r="D96" i="72"/>
  <c r="J96" i="72"/>
  <c r="J100" i="72" s="1"/>
  <c r="E97" i="72"/>
  <c r="K97" i="72"/>
  <c r="F98" i="72"/>
  <c r="L98" i="72"/>
  <c r="B86" i="76"/>
  <c r="C86" i="76" s="1"/>
  <c r="B416" i="76"/>
  <c r="C416" i="76" s="1"/>
  <c r="B336" i="76"/>
  <c r="C336" i="76" s="1"/>
  <c r="B256" i="76"/>
  <c r="C256" i="76" s="1"/>
  <c r="B176" i="76"/>
  <c r="C176" i="76" s="1"/>
  <c r="B396" i="76"/>
  <c r="C396" i="76" s="1"/>
  <c r="B316" i="76"/>
  <c r="C316" i="76" s="1"/>
  <c r="B76" i="76"/>
  <c r="C76" i="76" s="1"/>
  <c r="B236" i="76"/>
  <c r="C236" i="76" s="1"/>
  <c r="B216" i="76"/>
  <c r="C216" i="76" s="1"/>
  <c r="B156" i="76"/>
  <c r="C156" i="76" s="1"/>
  <c r="B136" i="76"/>
  <c r="C136" i="76" s="1"/>
  <c r="B376" i="76"/>
  <c r="C376" i="76" s="1"/>
  <c r="B296" i="76"/>
  <c r="C296" i="76" s="1"/>
  <c r="B96" i="76"/>
  <c r="C96" i="76" s="1"/>
  <c r="B436" i="76"/>
  <c r="C436" i="76" s="1"/>
  <c r="B356" i="76"/>
  <c r="C356" i="76" s="1"/>
  <c r="B276" i="76"/>
  <c r="C276" i="76" s="1"/>
  <c r="B196" i="76"/>
  <c r="C196" i="76" s="1"/>
  <c r="B116" i="76"/>
  <c r="C116" i="76" s="1"/>
  <c r="V6" i="72"/>
  <c r="V30" i="72" s="1"/>
  <c r="G89" i="72"/>
  <c r="G104" i="72" s="1"/>
  <c r="G117" i="72" s="1"/>
  <c r="H69" i="72"/>
  <c r="H78" i="72" s="1"/>
  <c r="A23" i="68"/>
  <c r="BG4" i="75"/>
  <c r="BH4" i="75"/>
  <c r="C33" i="88"/>
  <c r="C69" i="88"/>
  <c r="C36" i="88"/>
  <c r="C60" i="88"/>
  <c r="C39" i="88"/>
  <c r="C48" i="88"/>
  <c r="C57" i="88"/>
  <c r="C18" i="88"/>
  <c r="C27" i="88"/>
  <c r="C12" i="88"/>
  <c r="C63" i="88"/>
  <c r="C42" i="88"/>
  <c r="C51" i="88"/>
  <c r="C21" i="88"/>
  <c r="C30" i="88"/>
  <c r="C15" i="88"/>
  <c r="C6" i="88"/>
  <c r="C66" i="88"/>
  <c r="C45" i="88"/>
  <c r="C54" i="88"/>
  <c r="C24" i="88"/>
  <c r="C9" i="88"/>
  <c r="C67" i="88"/>
  <c r="C46" i="88"/>
  <c r="C55" i="88"/>
  <c r="C25" i="88"/>
  <c r="C10" i="88"/>
  <c r="C37" i="88"/>
  <c r="C61" i="88"/>
  <c r="C40" i="88"/>
  <c r="C49" i="88"/>
  <c r="C58" i="88"/>
  <c r="C19" i="88"/>
  <c r="C28" i="88"/>
  <c r="C13" i="88"/>
  <c r="C7" i="88"/>
  <c r="C64" i="88"/>
  <c r="C43" i="88"/>
  <c r="C52" i="88"/>
  <c r="C22" i="88"/>
  <c r="C31" i="88"/>
  <c r="C16" i="88"/>
  <c r="C70" i="88"/>
  <c r="C34" i="88"/>
  <c r="C59" i="88"/>
  <c r="C56" i="88"/>
  <c r="C38" i="88"/>
  <c r="C20" i="88"/>
  <c r="C53" i="88"/>
  <c r="C35" i="88"/>
  <c r="C17" i="88"/>
  <c r="C68" i="88"/>
  <c r="C50" i="88"/>
  <c r="C32" i="88"/>
  <c r="C14" i="88"/>
  <c r="C65" i="88"/>
  <c r="C47" i="88"/>
  <c r="C29" i="88"/>
  <c r="C11" i="88"/>
  <c r="C62" i="88"/>
  <c r="C44" i="88"/>
  <c r="C26" i="88"/>
  <c r="C8" i="88"/>
  <c r="C41" i="88"/>
  <c r="C23" i="88"/>
  <c r="C5" i="88"/>
  <c r="BF4" i="75"/>
  <c r="AE52" i="75"/>
  <c r="BH5" i="75"/>
  <c r="AE61" i="75"/>
  <c r="R32" i="72"/>
  <c r="R33" i="72"/>
  <c r="R34" i="72"/>
  <c r="R31" i="72"/>
  <c r="O18" i="84"/>
  <c r="C72" i="84"/>
  <c r="I72" i="84"/>
  <c r="C51" i="84"/>
  <c r="B51" i="84"/>
  <c r="H51" i="84"/>
  <c r="O17" i="84"/>
  <c r="D72" i="84"/>
  <c r="J72" i="84"/>
  <c r="I51" i="84"/>
  <c r="N16" i="84"/>
  <c r="O16" i="84"/>
  <c r="E72" i="84"/>
  <c r="K72" i="84"/>
  <c r="D51" i="84"/>
  <c r="J51" i="84"/>
  <c r="F72" i="84"/>
  <c r="L72" i="84"/>
  <c r="M72" i="84" s="1"/>
  <c r="F51" i="84"/>
  <c r="L51" i="84"/>
  <c r="E51" i="84"/>
  <c r="K51" i="84"/>
  <c r="M61" i="84"/>
  <c r="N20" i="84"/>
  <c r="O20" i="84"/>
  <c r="G72" i="84"/>
  <c r="G51" i="84"/>
  <c r="O19" i="84"/>
  <c r="B72" i="84"/>
  <c r="H72" i="84"/>
  <c r="AD23" i="79"/>
  <c r="AE23" i="79" s="1"/>
  <c r="AB38" i="79" s="1"/>
  <c r="BA20" i="79"/>
  <c r="BA21" i="79"/>
  <c r="BA23" i="79"/>
  <c r="BA25" i="79"/>
  <c r="BA27" i="79"/>
  <c r="BA29" i="79"/>
  <c r="BA31" i="79"/>
  <c r="BA33" i="79"/>
  <c r="BA35" i="79"/>
  <c r="BA37" i="79"/>
  <c r="BI2" i="79"/>
  <c r="BB20" i="79"/>
  <c r="BB21" i="79"/>
  <c r="BB23" i="79"/>
  <c r="BB25" i="79"/>
  <c r="BB27" i="79"/>
  <c r="BB29" i="79"/>
  <c r="BB31" i="79"/>
  <c r="BB33" i="79"/>
  <c r="BB35" i="79"/>
  <c r="BB37" i="79"/>
  <c r="BA22" i="79"/>
  <c r="BA24" i="79"/>
  <c r="BA26" i="79"/>
  <c r="BA28" i="79"/>
  <c r="BA30" i="79"/>
  <c r="BA32" i="79"/>
  <c r="BA34" i="79"/>
  <c r="BA36" i="79"/>
  <c r="BB22" i="79"/>
  <c r="BB24" i="79"/>
  <c r="BB26" i="79"/>
  <c r="BB28" i="79"/>
  <c r="BB30" i="79"/>
  <c r="BB32" i="79"/>
  <c r="BB34" i="79"/>
  <c r="BB36" i="79"/>
  <c r="BB38" i="79"/>
  <c r="AT27" i="79"/>
  <c r="Z22" i="79"/>
  <c r="T63" i="79"/>
  <c r="AW4" i="79"/>
  <c r="W23" i="79"/>
  <c r="W22" i="79"/>
  <c r="Y22" i="79"/>
  <c r="U23" i="79"/>
  <c r="AB29" i="79"/>
  <c r="U102" i="79"/>
  <c r="AA103" i="79"/>
  <c r="AD63" i="79"/>
  <c r="V102" i="79"/>
  <c r="AB109" i="79"/>
  <c r="BI4" i="79"/>
  <c r="AC22" i="79"/>
  <c r="X23" i="79"/>
  <c r="T62" i="79"/>
  <c r="AA102" i="79"/>
  <c r="U103" i="79"/>
  <c r="AA23" i="79"/>
  <c r="Z62" i="79"/>
  <c r="AB102" i="79"/>
  <c r="AC23" i="79"/>
  <c r="BF5" i="75"/>
  <c r="BG5" i="75"/>
  <c r="T59" i="75"/>
  <c r="Z59" i="75"/>
  <c r="V61" i="75"/>
  <c r="AB61" i="75"/>
  <c r="AC53" i="75"/>
  <c r="AE53" i="75" s="1"/>
  <c r="V59" i="75"/>
  <c r="AB59" i="75"/>
  <c r="AC60" i="75"/>
  <c r="AE60" i="75" s="1"/>
  <c r="X61" i="75"/>
  <c r="S62" i="75"/>
  <c r="AE62" i="75" s="1"/>
  <c r="Y62" i="75"/>
  <c r="AE54" i="75"/>
  <c r="AE59" i="75"/>
  <c r="AE51" i="75"/>
  <c r="B11" i="76"/>
  <c r="C11" i="76" s="1"/>
  <c r="B71" i="76"/>
  <c r="C71" i="76" s="1"/>
  <c r="B131" i="76"/>
  <c r="C131" i="76" s="1"/>
  <c r="B191" i="76"/>
  <c r="C191" i="76" s="1"/>
  <c r="B251" i="76"/>
  <c r="C251" i="76" s="1"/>
  <c r="B311" i="76"/>
  <c r="C311" i="76" s="1"/>
  <c r="B371" i="76"/>
  <c r="C371" i="76" s="1"/>
  <c r="B431" i="76"/>
  <c r="C431" i="76" s="1"/>
  <c r="B31" i="76"/>
  <c r="C31" i="76" s="1"/>
  <c r="B91" i="76"/>
  <c r="C91" i="76" s="1"/>
  <c r="B151" i="76"/>
  <c r="C151" i="76" s="1"/>
  <c r="B211" i="76"/>
  <c r="C211" i="76" s="1"/>
  <c r="B271" i="76"/>
  <c r="C271" i="76" s="1"/>
  <c r="B331" i="76"/>
  <c r="C331" i="76" s="1"/>
  <c r="B391" i="76"/>
  <c r="C391" i="76" s="1"/>
  <c r="B51" i="76"/>
  <c r="C51" i="76" s="1"/>
  <c r="B111" i="76"/>
  <c r="C111" i="76" s="1"/>
  <c r="B171" i="76"/>
  <c r="C171" i="76" s="1"/>
  <c r="B231" i="76"/>
  <c r="C231" i="76" s="1"/>
  <c r="B291" i="76"/>
  <c r="C291" i="76" s="1"/>
  <c r="B351" i="76"/>
  <c r="C351" i="76" s="1"/>
  <c r="AT20" i="79"/>
  <c r="AT21" i="79"/>
  <c r="AU23" i="79"/>
  <c r="AU25" i="79"/>
  <c r="AU27" i="79"/>
  <c r="AT29" i="79"/>
  <c r="AT31" i="79"/>
  <c r="AT33" i="79"/>
  <c r="AT35" i="79"/>
  <c r="AT37" i="79"/>
  <c r="AU20" i="79"/>
  <c r="AU21" i="79"/>
  <c r="AU29" i="79"/>
  <c r="AU31" i="79"/>
  <c r="AU33" i="79"/>
  <c r="AU35" i="79"/>
  <c r="AU37" i="79"/>
  <c r="AT22" i="79"/>
  <c r="AT24" i="79"/>
  <c r="AT26" i="79"/>
  <c r="AT28" i="79"/>
  <c r="AU22" i="79"/>
  <c r="AU24" i="79"/>
  <c r="AU26" i="79"/>
  <c r="AU28" i="79"/>
  <c r="AT30" i="79"/>
  <c r="AT32" i="79"/>
  <c r="AT34" i="79"/>
  <c r="AT36" i="79"/>
  <c r="AT38" i="79"/>
  <c r="AW2" i="79"/>
  <c r="AU30" i="79"/>
  <c r="AU32" i="79"/>
  <c r="AU34" i="79"/>
  <c r="AU36" i="79"/>
  <c r="AU38" i="79"/>
  <c r="AT23" i="79"/>
  <c r="AT25" i="79"/>
  <c r="T162" i="80"/>
  <c r="Y164" i="80"/>
  <c r="R150" i="80"/>
  <c r="T151" i="80"/>
  <c r="S153" i="80"/>
  <c r="U156" i="80"/>
  <c r="U157" i="80"/>
  <c r="U161" i="80"/>
  <c r="T148" i="80"/>
  <c r="U162" i="80"/>
  <c r="AN33" i="79"/>
  <c r="AN22" i="79"/>
  <c r="AM34" i="79"/>
  <c r="AN36" i="79"/>
  <c r="AM20" i="79"/>
  <c r="AM31" i="79"/>
  <c r="Y62" i="79"/>
  <c r="Y63" i="79"/>
  <c r="V103" i="79"/>
  <c r="AB103" i="79"/>
  <c r="U22" i="79"/>
  <c r="AA22" i="79"/>
  <c r="Y23" i="79"/>
  <c r="U62" i="79"/>
  <c r="AA62" i="79"/>
  <c r="U63" i="79"/>
  <c r="AA63" i="79"/>
  <c r="AB69" i="79"/>
  <c r="W102" i="79"/>
  <c r="AC102" i="79"/>
  <c r="W103" i="79"/>
  <c r="AC103" i="79"/>
  <c r="V22" i="79"/>
  <c r="AB22" i="79"/>
  <c r="T23" i="79"/>
  <c r="Z23" i="79"/>
  <c r="V62" i="79"/>
  <c r="AB62" i="79"/>
  <c r="V63" i="79"/>
  <c r="AB63" i="79"/>
  <c r="X102" i="79"/>
  <c r="AD102" i="79"/>
  <c r="AE102" i="79" s="1"/>
  <c r="X103" i="79"/>
  <c r="AD103" i="79"/>
  <c r="AE103" i="79" s="1"/>
  <c r="W62" i="79"/>
  <c r="AC62" i="79"/>
  <c r="W63" i="79"/>
  <c r="AC63" i="79"/>
  <c r="Y102" i="79"/>
  <c r="Y103" i="79"/>
  <c r="AJ5" i="79"/>
  <c r="X22" i="79"/>
  <c r="AD22" i="79"/>
  <c r="AG25" i="79" s="1"/>
  <c r="AB33" i="79" s="1"/>
  <c r="V23" i="79"/>
  <c r="AB23" i="79"/>
  <c r="X62" i="79"/>
  <c r="AD62" i="79"/>
  <c r="X63" i="79"/>
  <c r="T102" i="79"/>
  <c r="Z102" i="79"/>
  <c r="T103" i="79"/>
  <c r="R51" i="80"/>
  <c r="S46" i="80"/>
  <c r="R49" i="80"/>
  <c r="S53" i="80"/>
  <c r="U148" i="80"/>
  <c r="S150" i="80"/>
  <c r="U151" i="80"/>
  <c r="T153" i="80"/>
  <c r="V156" i="80"/>
  <c r="V157" i="80"/>
  <c r="V161" i="80"/>
  <c r="V162" i="80"/>
  <c r="R149" i="80"/>
  <c r="T150" i="80"/>
  <c r="R152" i="80"/>
  <c r="U153" i="80"/>
  <c r="W156" i="80"/>
  <c r="W157" i="80"/>
  <c r="W161" i="80"/>
  <c r="W162" i="80"/>
  <c r="S45" i="80"/>
  <c r="S47" i="80"/>
  <c r="S49" i="80"/>
  <c r="S51" i="80"/>
  <c r="S149" i="80"/>
  <c r="U150" i="80"/>
  <c r="S152" i="80"/>
  <c r="R156" i="80"/>
  <c r="R157" i="80"/>
  <c r="R161" i="80"/>
  <c r="R162" i="80"/>
  <c r="R148" i="80"/>
  <c r="T149" i="80"/>
  <c r="R151" i="80"/>
  <c r="T152" i="80"/>
  <c r="S156" i="80"/>
  <c r="S157" i="80"/>
  <c r="S161" i="80"/>
  <c r="S162" i="80"/>
  <c r="R46" i="80"/>
  <c r="R48" i="80"/>
  <c r="R50" i="80"/>
  <c r="S148" i="80"/>
  <c r="U149" i="80"/>
  <c r="S151" i="80"/>
  <c r="U152" i="80"/>
  <c r="R153" i="80"/>
  <c r="T156" i="80"/>
  <c r="T157" i="80"/>
  <c r="T161" i="80"/>
  <c r="R47" i="80" l="1"/>
  <c r="S52" i="80"/>
  <c r="S50" i="80"/>
  <c r="R53" i="80"/>
  <c r="T53" i="80" s="1"/>
  <c r="W108" i="80"/>
  <c r="R20" i="80"/>
  <c r="S22" i="80"/>
  <c r="S23" i="80"/>
  <c r="R18" i="80"/>
  <c r="S21" i="80"/>
  <c r="R16" i="80"/>
  <c r="X81" i="72"/>
  <c r="W47" i="72" s="1"/>
  <c r="A80" i="72"/>
  <c r="U51" i="72" s="1"/>
  <c r="V51" i="72" s="1"/>
  <c r="A74" i="72"/>
  <c r="Z74" i="72" s="1"/>
  <c r="G79" i="72"/>
  <c r="H100" i="72"/>
  <c r="L100" i="72"/>
  <c r="D104" i="72"/>
  <c r="D117" i="72" s="1"/>
  <c r="R91" i="72"/>
  <c r="S125" i="80"/>
  <c r="R125" i="80"/>
  <c r="Y132" i="80"/>
  <c r="R22" i="80"/>
  <c r="S18" i="80"/>
  <c r="R19" i="80"/>
  <c r="S17" i="80"/>
  <c r="T17" i="80" s="1"/>
  <c r="R23" i="80"/>
  <c r="S77" i="80"/>
  <c r="R78" i="80"/>
  <c r="R80" i="80"/>
  <c r="R81" i="80"/>
  <c r="S80" i="80"/>
  <c r="T102" i="80"/>
  <c r="Y108" i="80"/>
  <c r="X153" i="80"/>
  <c r="Y166" i="80" s="1"/>
  <c r="W102" i="80"/>
  <c r="X103" i="80"/>
  <c r="Z103" i="80" s="1"/>
  <c r="X104" i="80"/>
  <c r="Z104" i="80" s="1"/>
  <c r="S104" i="80"/>
  <c r="R114" i="80" s="1"/>
  <c r="V101" i="80"/>
  <c r="X107" i="80"/>
  <c r="W98" i="80"/>
  <c r="U107" i="80"/>
  <c r="W107" i="80"/>
  <c r="U132" i="80"/>
  <c r="S100" i="80"/>
  <c r="U133" i="80"/>
  <c r="V99" i="80"/>
  <c r="U123" i="80"/>
  <c r="T100" i="80"/>
  <c r="T124" i="80"/>
  <c r="S98" i="80"/>
  <c r="W126" i="80"/>
  <c r="AA126" i="80" s="1"/>
  <c r="Z133" i="80"/>
  <c r="R108" i="80"/>
  <c r="U102" i="80"/>
  <c r="Y107" i="80"/>
  <c r="Z132" i="80"/>
  <c r="W104" i="80"/>
  <c r="V126" i="80"/>
  <c r="S107" i="80"/>
  <c r="T99" i="80"/>
  <c r="S103" i="80"/>
  <c r="X97" i="80"/>
  <c r="W101" i="80"/>
  <c r="V104" i="80"/>
  <c r="V98" i="80"/>
  <c r="X100" i="80"/>
  <c r="Z100" i="80" s="1"/>
  <c r="U103" i="80"/>
  <c r="AA103" i="80" s="1"/>
  <c r="X102" i="80"/>
  <c r="Z102" i="80" s="1"/>
  <c r="U99" i="80"/>
  <c r="X101" i="80"/>
  <c r="Z101" i="80" s="1"/>
  <c r="W97" i="80"/>
  <c r="T104" i="80"/>
  <c r="R115" i="80" s="1"/>
  <c r="T98" i="80"/>
  <c r="S102" i="80"/>
  <c r="T108" i="80"/>
  <c r="W100" i="80"/>
  <c r="V103" i="80"/>
  <c r="U97" i="80"/>
  <c r="T97" i="80"/>
  <c r="U100" i="80"/>
  <c r="X99" i="80"/>
  <c r="Z99" i="80" s="1"/>
  <c r="S20" i="80"/>
  <c r="T20" i="80" s="1"/>
  <c r="X98" i="80"/>
  <c r="Z98" i="80" s="1"/>
  <c r="X108" i="80"/>
  <c r="T103" i="80"/>
  <c r="S97" i="80"/>
  <c r="V108" i="80"/>
  <c r="S101" i="80"/>
  <c r="V107" i="80"/>
  <c r="W99" i="80"/>
  <c r="V102" i="80"/>
  <c r="AB102" i="80" s="1"/>
  <c r="R21" i="80"/>
  <c r="T21" i="80" s="1"/>
  <c r="S16" i="80"/>
  <c r="T16" i="80" s="1"/>
  <c r="S19" i="80"/>
  <c r="X2" i="80"/>
  <c r="T101" i="80"/>
  <c r="R107" i="80"/>
  <c r="S99" i="80"/>
  <c r="W103" i="80"/>
  <c r="V97" i="80"/>
  <c r="S108" i="80"/>
  <c r="V100" i="80"/>
  <c r="AB100" i="80" s="1"/>
  <c r="U108" i="80"/>
  <c r="T107" i="80"/>
  <c r="U98" i="80"/>
  <c r="U104" i="80"/>
  <c r="U101" i="80"/>
  <c r="R79" i="80"/>
  <c r="S78" i="80"/>
  <c r="S79" i="80"/>
  <c r="R77" i="80"/>
  <c r="S81" i="80"/>
  <c r="R52" i="80"/>
  <c r="T52" i="80" s="1"/>
  <c r="R45" i="80"/>
  <c r="T45" i="80" s="1"/>
  <c r="P45" i="80" s="1"/>
  <c r="S82" i="80"/>
  <c r="R82" i="80"/>
  <c r="T129" i="80"/>
  <c r="T123" i="80"/>
  <c r="T132" i="80"/>
  <c r="S124" i="80"/>
  <c r="S132" i="80"/>
  <c r="R124" i="80"/>
  <c r="X132" i="80"/>
  <c r="W125" i="80"/>
  <c r="AA125" i="80" s="1"/>
  <c r="T133" i="80"/>
  <c r="V125" i="80"/>
  <c r="S129" i="80"/>
  <c r="R137" i="80" s="1"/>
  <c r="S123" i="80"/>
  <c r="R129" i="80"/>
  <c r="R136" i="80" s="1"/>
  <c r="R123" i="80"/>
  <c r="R132" i="80"/>
  <c r="W124" i="80"/>
  <c r="AA124" i="80" s="1"/>
  <c r="W132" i="80"/>
  <c r="V124" i="80"/>
  <c r="Y133" i="80"/>
  <c r="U128" i="80"/>
  <c r="U127" i="80"/>
  <c r="R121" i="80"/>
  <c r="T122" i="80"/>
  <c r="T121" i="80"/>
  <c r="S128" i="80"/>
  <c r="S122" i="80"/>
  <c r="R128" i="80"/>
  <c r="R122" i="80"/>
  <c r="W129" i="80"/>
  <c r="AA129" i="80" s="1"/>
  <c r="W123" i="80"/>
  <c r="AA123" i="80" s="1"/>
  <c r="V129" i="80"/>
  <c r="V123" i="80"/>
  <c r="U125" i="80"/>
  <c r="U122" i="80"/>
  <c r="U121" i="80"/>
  <c r="X133" i="80"/>
  <c r="T128" i="80"/>
  <c r="T127" i="80"/>
  <c r="T126" i="80"/>
  <c r="S127" i="80"/>
  <c r="S121" i="80"/>
  <c r="R127" i="80"/>
  <c r="W128" i="80"/>
  <c r="AA128" i="80" s="1"/>
  <c r="W122" i="80"/>
  <c r="AA122" i="80" s="1"/>
  <c r="V128" i="80"/>
  <c r="V122" i="80"/>
  <c r="S133" i="80"/>
  <c r="V132" i="80"/>
  <c r="R133" i="80"/>
  <c r="T125" i="80"/>
  <c r="W133" i="80"/>
  <c r="S126" i="80"/>
  <c r="V133" i="80"/>
  <c r="R126" i="80"/>
  <c r="W127" i="80"/>
  <c r="AA127" i="80" s="1"/>
  <c r="W121" i="80"/>
  <c r="AA121" i="80" s="1"/>
  <c r="V127" i="80"/>
  <c r="V121" i="80"/>
  <c r="U126" i="80"/>
  <c r="U124" i="80"/>
  <c r="U129" i="80"/>
  <c r="AM35" i="79"/>
  <c r="AN23" i="79"/>
  <c r="AJ3" i="79"/>
  <c r="AM38" i="79"/>
  <c r="AO34" i="79" s="1"/>
  <c r="AN26" i="79"/>
  <c r="AM22" i="79"/>
  <c r="AM33" i="79"/>
  <c r="AM21" i="79"/>
  <c r="AN38" i="79"/>
  <c r="AM36" i="79"/>
  <c r="AN24" i="79"/>
  <c r="AN35" i="79"/>
  <c r="AP35" i="79" s="1"/>
  <c r="AM29" i="79"/>
  <c r="AM27" i="79"/>
  <c r="AN34" i="79"/>
  <c r="AM32" i="79"/>
  <c r="AO32" i="79" s="1"/>
  <c r="AM28" i="79"/>
  <c r="AN31" i="79"/>
  <c r="AN37" i="79"/>
  <c r="AM37" i="79"/>
  <c r="AN27" i="79"/>
  <c r="AM25" i="79"/>
  <c r="AQ26" i="79" s="1"/>
  <c r="AN32" i="79"/>
  <c r="AM30" i="79"/>
  <c r="AM26" i="79"/>
  <c r="AN29" i="79"/>
  <c r="AN20" i="79"/>
  <c r="AN25" i="79"/>
  <c r="AR23" i="79" s="1"/>
  <c r="AM23" i="79"/>
  <c r="AN30" i="79"/>
  <c r="AP30" i="79" s="1"/>
  <c r="AN28" i="79"/>
  <c r="AM24" i="79"/>
  <c r="BQ23" i="75"/>
  <c r="BR22" i="75"/>
  <c r="BQ24" i="75"/>
  <c r="BR23" i="75"/>
  <c r="BR25" i="75"/>
  <c r="BU51" i="75" s="1"/>
  <c r="BV51" i="75" s="1"/>
  <c r="BR21" i="75"/>
  <c r="BQ21" i="75"/>
  <c r="W58" i="80"/>
  <c r="W52" i="74"/>
  <c r="A72" i="74"/>
  <c r="G100" i="72"/>
  <c r="F100" i="72"/>
  <c r="BQ25" i="75"/>
  <c r="BU40" i="75" s="1"/>
  <c r="BV40" i="75" s="1"/>
  <c r="BR24" i="75"/>
  <c r="BQ22" i="75"/>
  <c r="Y150" i="80"/>
  <c r="Y152" i="80"/>
  <c r="Y151" i="80"/>
  <c r="AH23" i="79"/>
  <c r="AI23" i="79" s="1"/>
  <c r="AB42" i="79" s="1"/>
  <c r="M70" i="84"/>
  <c r="M71" i="84"/>
  <c r="U82" i="84"/>
  <c r="V82" i="84" s="1"/>
  <c r="V83" i="84" s="1"/>
  <c r="X149" i="80"/>
  <c r="W151" i="80"/>
  <c r="Y153" i="80"/>
  <c r="AD166" i="80" s="1"/>
  <c r="V151" i="80"/>
  <c r="X151" i="80"/>
  <c r="Y149" i="80"/>
  <c r="X152" i="80"/>
  <c r="X148" i="80"/>
  <c r="Y148" i="80"/>
  <c r="X150" i="80"/>
  <c r="D57" i="85"/>
  <c r="D58" i="85"/>
  <c r="G58" i="85"/>
  <c r="G57" i="85"/>
  <c r="U66" i="84"/>
  <c r="V66" i="84" s="1"/>
  <c r="V67" i="84" s="1"/>
  <c r="M60" i="84"/>
  <c r="R33" i="82"/>
  <c r="R34" i="82"/>
  <c r="U51" i="84"/>
  <c r="M49" i="84"/>
  <c r="M47" i="84"/>
  <c r="T47" i="84"/>
  <c r="V47" i="84" s="1"/>
  <c r="M45" i="84"/>
  <c r="U47" i="84"/>
  <c r="O8" i="84"/>
  <c r="O9" i="84"/>
  <c r="M48" i="84"/>
  <c r="D85" i="74"/>
  <c r="D86" i="74" s="1"/>
  <c r="C79" i="74"/>
  <c r="X80" i="74"/>
  <c r="W46" i="74" s="1"/>
  <c r="U80" i="74"/>
  <c r="U46" i="74" s="1"/>
  <c r="V46" i="74" s="1"/>
  <c r="X83" i="74"/>
  <c r="U83" i="74"/>
  <c r="Y79" i="74"/>
  <c r="W50" i="74" s="1"/>
  <c r="B85" i="74"/>
  <c r="B86" i="74" s="1"/>
  <c r="A79" i="74"/>
  <c r="H85" i="74"/>
  <c r="H86" i="74" s="1"/>
  <c r="G79" i="74"/>
  <c r="F85" i="74"/>
  <c r="F86" i="74" s="1"/>
  <c r="E79" i="74"/>
  <c r="Y82" i="74"/>
  <c r="A82" i="74"/>
  <c r="Z82" i="74" s="1"/>
  <c r="X81" i="74"/>
  <c r="W47" i="74" s="1"/>
  <c r="U81" i="74"/>
  <c r="U47" i="74" s="1"/>
  <c r="V47" i="74" s="1"/>
  <c r="Z81" i="74"/>
  <c r="U52" i="74"/>
  <c r="V52" i="74" s="1"/>
  <c r="X79" i="74"/>
  <c r="W45" i="74" s="1"/>
  <c r="V85" i="74"/>
  <c r="V86" i="74" s="1"/>
  <c r="U79" i="74"/>
  <c r="U45" i="74" s="1"/>
  <c r="V45" i="74" s="1"/>
  <c r="J111" i="74"/>
  <c r="Y80" i="74"/>
  <c r="W51" i="74" s="1"/>
  <c r="A80" i="74"/>
  <c r="P85" i="74"/>
  <c r="P86" i="74" s="1"/>
  <c r="O79" i="74"/>
  <c r="T85" i="74"/>
  <c r="T86" i="74" s="1"/>
  <c r="S79" i="74"/>
  <c r="Y96" i="74"/>
  <c r="D111" i="74"/>
  <c r="Y83" i="74"/>
  <c r="A83" i="74"/>
  <c r="Z83" i="74" s="1"/>
  <c r="R85" i="74"/>
  <c r="R86" i="74" s="1"/>
  <c r="Q79" i="74"/>
  <c r="J85" i="74"/>
  <c r="J86" i="74" s="1"/>
  <c r="I79" i="74"/>
  <c r="N85" i="74"/>
  <c r="N86" i="74" s="1"/>
  <c r="M79" i="74"/>
  <c r="Y99" i="74"/>
  <c r="L85" i="74"/>
  <c r="L86" i="74" s="1"/>
  <c r="K79" i="74"/>
  <c r="J98" i="74"/>
  <c r="N76" i="74"/>
  <c r="N77" i="74" s="1"/>
  <c r="M70" i="74"/>
  <c r="U44" i="74"/>
  <c r="V78" i="74"/>
  <c r="R44" i="74"/>
  <c r="R96" i="74"/>
  <c r="I98" i="74"/>
  <c r="F76" i="74"/>
  <c r="F77" i="74" s="1"/>
  <c r="E70" i="74"/>
  <c r="X70" i="74"/>
  <c r="S45" i="74" s="1"/>
  <c r="V76" i="74"/>
  <c r="V77" i="74" s="1"/>
  <c r="U70" i="74"/>
  <c r="Q45" i="74" s="1"/>
  <c r="R45" i="74" s="1"/>
  <c r="U49" i="74"/>
  <c r="B78" i="74"/>
  <c r="R49" i="74"/>
  <c r="X71" i="74"/>
  <c r="S46" i="74" s="1"/>
  <c r="U71" i="74"/>
  <c r="Q46" i="74" s="1"/>
  <c r="R46" i="74" s="1"/>
  <c r="H76" i="74"/>
  <c r="H77" i="74" s="1"/>
  <c r="G70" i="74"/>
  <c r="T76" i="74"/>
  <c r="T77" i="74" s="1"/>
  <c r="S70" i="74"/>
  <c r="P76" i="74"/>
  <c r="P77" i="74" s="1"/>
  <c r="O70" i="74"/>
  <c r="X74" i="74"/>
  <c r="U74" i="74"/>
  <c r="Y70" i="74"/>
  <c r="S50" i="74" s="1"/>
  <c r="B76" i="74"/>
  <c r="B77" i="74" s="1"/>
  <c r="A70" i="74"/>
  <c r="X72" i="74"/>
  <c r="S47" i="74" s="1"/>
  <c r="U72" i="74"/>
  <c r="Q47" i="74" s="1"/>
  <c r="R47" i="74" s="1"/>
  <c r="Z72" i="74"/>
  <c r="Q52" i="74"/>
  <c r="R52" i="74" s="1"/>
  <c r="R99" i="74"/>
  <c r="J76" i="74"/>
  <c r="J77" i="74" s="1"/>
  <c r="I70" i="74"/>
  <c r="Y73" i="74"/>
  <c r="A73" i="74"/>
  <c r="Z73" i="74" s="1"/>
  <c r="Y71" i="74"/>
  <c r="S51" i="74" s="1"/>
  <c r="A71" i="74"/>
  <c r="L76" i="74"/>
  <c r="L77" i="74" s="1"/>
  <c r="K70" i="74"/>
  <c r="D76" i="74"/>
  <c r="D77" i="74" s="1"/>
  <c r="C70" i="74"/>
  <c r="Y74" i="74"/>
  <c r="B75" i="74"/>
  <c r="A74" i="74"/>
  <c r="Z74" i="74" s="1"/>
  <c r="R76" i="74"/>
  <c r="R77" i="74" s="1"/>
  <c r="Q70" i="74"/>
  <c r="N115" i="72"/>
  <c r="H115" i="72"/>
  <c r="M79" i="72"/>
  <c r="AH79" i="72"/>
  <c r="I115" i="72"/>
  <c r="AJ79" i="72"/>
  <c r="Q79" i="72"/>
  <c r="X83" i="72"/>
  <c r="U83" i="72"/>
  <c r="U80" i="72"/>
  <c r="U46" i="72" s="1"/>
  <c r="V46" i="72" s="1"/>
  <c r="X80" i="72"/>
  <c r="W46" i="72" s="1"/>
  <c r="AG79" i="72"/>
  <c r="K79" i="72"/>
  <c r="Y81" i="72"/>
  <c r="W52" i="72" s="1"/>
  <c r="A81" i="72"/>
  <c r="U79" i="72"/>
  <c r="U45" i="72" s="1"/>
  <c r="V45" i="72" s="1"/>
  <c r="X79" i="72"/>
  <c r="W45" i="72" s="1"/>
  <c r="AL79" i="72"/>
  <c r="Z80" i="72"/>
  <c r="X82" i="72"/>
  <c r="U82" i="72"/>
  <c r="E79" i="72"/>
  <c r="AD79" i="72"/>
  <c r="AI79" i="72"/>
  <c r="O79" i="72"/>
  <c r="Y82" i="72"/>
  <c r="A82" i="72"/>
  <c r="Z82" i="72" s="1"/>
  <c r="AF79" i="72"/>
  <c r="I79" i="72"/>
  <c r="X96" i="72"/>
  <c r="Y96" i="72" s="1"/>
  <c r="O115" i="72"/>
  <c r="Y79" i="72"/>
  <c r="W50" i="72" s="1"/>
  <c r="A79" i="72"/>
  <c r="AB79" i="72"/>
  <c r="X99" i="72"/>
  <c r="Y99" i="72" s="1"/>
  <c r="X98" i="72"/>
  <c r="Y98" i="72" s="1"/>
  <c r="AC79" i="72"/>
  <c r="C79" i="72"/>
  <c r="X95" i="72"/>
  <c r="Y95" i="72" s="1"/>
  <c r="AV27" i="79"/>
  <c r="AP20" i="79"/>
  <c r="I79" i="75"/>
  <c r="J79" i="75" s="1"/>
  <c r="M79" i="75"/>
  <c r="G79" i="75"/>
  <c r="H79" i="75" s="1"/>
  <c r="L79" i="75"/>
  <c r="L72" i="75"/>
  <c r="M72" i="75"/>
  <c r="I72" i="75"/>
  <c r="J72" i="75" s="1"/>
  <c r="G72" i="75"/>
  <c r="H72" i="75" s="1"/>
  <c r="W34" i="82"/>
  <c r="W33" i="82"/>
  <c r="R99" i="72"/>
  <c r="S99" i="72" s="1"/>
  <c r="R98" i="72"/>
  <c r="S98" i="72" s="1"/>
  <c r="N100" i="72"/>
  <c r="O70" i="72"/>
  <c r="AI70" i="72"/>
  <c r="R96" i="72"/>
  <c r="S96" i="72" s="1"/>
  <c r="U73" i="72"/>
  <c r="B78" i="72"/>
  <c r="Y78" i="72" s="1"/>
  <c r="U49" i="72"/>
  <c r="W49" i="72" s="1"/>
  <c r="R49" i="72"/>
  <c r="Y73" i="72"/>
  <c r="B67" i="72"/>
  <c r="A73" i="72"/>
  <c r="Z73" i="72" s="1"/>
  <c r="I70" i="72"/>
  <c r="AF70" i="72"/>
  <c r="R44" i="72"/>
  <c r="V78" i="72"/>
  <c r="X78" i="72" s="1"/>
  <c r="U44" i="72"/>
  <c r="R95" i="72"/>
  <c r="S95" i="72" s="1"/>
  <c r="AE70" i="72"/>
  <c r="G70" i="72"/>
  <c r="AK70" i="72"/>
  <c r="S70" i="72"/>
  <c r="Y71" i="72"/>
  <c r="S51" i="72" s="1"/>
  <c r="A71" i="72"/>
  <c r="C70" i="72"/>
  <c r="AC70" i="72"/>
  <c r="M70" i="72"/>
  <c r="AH70" i="72"/>
  <c r="AJ70" i="72"/>
  <c r="Q70" i="72"/>
  <c r="X72" i="72"/>
  <c r="S47" i="72" s="1"/>
  <c r="U72" i="72"/>
  <c r="Q47" i="72" s="1"/>
  <c r="R47" i="72" s="1"/>
  <c r="AG70" i="72"/>
  <c r="K70" i="72"/>
  <c r="X74" i="72"/>
  <c r="U74" i="72"/>
  <c r="B434" i="76"/>
  <c r="C434" i="76" s="1"/>
  <c r="B54" i="76"/>
  <c r="C54" i="76" s="1"/>
  <c r="B414" i="76"/>
  <c r="C414" i="76" s="1"/>
  <c r="B334" i="76"/>
  <c r="C334" i="76" s="1"/>
  <c r="B254" i="76"/>
  <c r="C254" i="76" s="1"/>
  <c r="B114" i="76"/>
  <c r="C114" i="76" s="1"/>
  <c r="B34" i="76"/>
  <c r="C34" i="76" s="1"/>
  <c r="B394" i="76"/>
  <c r="C394" i="76" s="1"/>
  <c r="B314" i="76"/>
  <c r="C314" i="76" s="1"/>
  <c r="B174" i="76"/>
  <c r="C174" i="76" s="1"/>
  <c r="B234" i="76"/>
  <c r="C234" i="76" s="1"/>
  <c r="B154" i="76"/>
  <c r="C154" i="76" s="1"/>
  <c r="B74" i="76"/>
  <c r="C74" i="76" s="1"/>
  <c r="B374" i="76"/>
  <c r="C374" i="76" s="1"/>
  <c r="B294" i="76"/>
  <c r="C294" i="76" s="1"/>
  <c r="B214" i="76"/>
  <c r="C214" i="76" s="1"/>
  <c r="B354" i="76"/>
  <c r="C354" i="76" s="1"/>
  <c r="B274" i="76"/>
  <c r="C274" i="76" s="1"/>
  <c r="B194" i="76"/>
  <c r="C194" i="76" s="1"/>
  <c r="B94" i="76"/>
  <c r="C94" i="76" s="1"/>
  <c r="B134" i="76"/>
  <c r="C134" i="76" s="1"/>
  <c r="B14" i="76"/>
  <c r="C14" i="76" s="1"/>
  <c r="Y70" i="72"/>
  <c r="S50" i="72" s="1"/>
  <c r="B75" i="72"/>
  <c r="A70" i="72"/>
  <c r="AB70" i="72"/>
  <c r="AD70" i="72"/>
  <c r="E70" i="72"/>
  <c r="Y72" i="72"/>
  <c r="A72" i="72"/>
  <c r="U70" i="72"/>
  <c r="Q45" i="72" s="1"/>
  <c r="R45" i="72" s="1"/>
  <c r="X70" i="72"/>
  <c r="S45" i="72" s="1"/>
  <c r="AL70" i="72"/>
  <c r="D100" i="72"/>
  <c r="AF23" i="79"/>
  <c r="O6" i="84"/>
  <c r="N13" i="84"/>
  <c r="AH63" i="79"/>
  <c r="AJ63" i="79" s="1"/>
  <c r="AB83" i="79" s="1"/>
  <c r="Z32" i="72"/>
  <c r="T32" i="72"/>
  <c r="Y32" i="72"/>
  <c r="S32" i="72"/>
  <c r="X32" i="72"/>
  <c r="AC32" i="72"/>
  <c r="W32" i="72"/>
  <c r="AB32" i="72"/>
  <c r="V32" i="72"/>
  <c r="AA32" i="72"/>
  <c r="U32" i="72"/>
  <c r="Z34" i="72"/>
  <c r="T34" i="72"/>
  <c r="Y34" i="72"/>
  <c r="S34" i="72"/>
  <c r="X34" i="72"/>
  <c r="AC34" i="72"/>
  <c r="W34" i="72"/>
  <c r="AB34" i="72"/>
  <c r="V34" i="72"/>
  <c r="AA34" i="72"/>
  <c r="U34" i="72"/>
  <c r="Z33" i="72"/>
  <c r="T33" i="72"/>
  <c r="Y33" i="72"/>
  <c r="S33" i="72"/>
  <c r="X33" i="72"/>
  <c r="AC33" i="72"/>
  <c r="W33" i="72"/>
  <c r="AB33" i="72"/>
  <c r="V33" i="72"/>
  <c r="AA33" i="72"/>
  <c r="U33" i="72"/>
  <c r="Z31" i="72"/>
  <c r="T31" i="72"/>
  <c r="Y31" i="72"/>
  <c r="S31" i="72"/>
  <c r="X31" i="72"/>
  <c r="AC31" i="72"/>
  <c r="W31" i="72"/>
  <c r="AB31" i="72"/>
  <c r="V31" i="72"/>
  <c r="AA31" i="72"/>
  <c r="U31" i="72"/>
  <c r="AG66" i="79"/>
  <c r="AB80" i="79" s="1"/>
  <c r="AA167" i="80"/>
  <c r="AB167" i="80" s="1"/>
  <c r="AA170" i="80"/>
  <c r="AB170" i="80" s="1"/>
  <c r="AF170" i="80"/>
  <c r="AG170" i="80" s="1"/>
  <c r="AF167" i="80"/>
  <c r="AG167" i="80" s="1"/>
  <c r="Y168" i="80"/>
  <c r="Z168" i="80" s="1"/>
  <c r="Y172" i="80"/>
  <c r="Z172" i="80" s="1"/>
  <c r="AD172" i="80"/>
  <c r="AE172" i="80" s="1"/>
  <c r="AD168" i="80"/>
  <c r="AE168" i="80" s="1"/>
  <c r="BH32" i="79"/>
  <c r="BF32" i="79"/>
  <c r="BD32" i="79"/>
  <c r="BG26" i="79"/>
  <c r="BE26" i="79"/>
  <c r="BC26" i="79"/>
  <c r="BD31" i="79"/>
  <c r="BH31" i="79"/>
  <c r="BF31" i="79"/>
  <c r="BD20" i="79"/>
  <c r="BH20" i="79"/>
  <c r="BF20" i="79"/>
  <c r="BE29" i="79"/>
  <c r="BC29" i="79"/>
  <c r="BG29" i="79"/>
  <c r="BH30" i="79"/>
  <c r="BF30" i="79"/>
  <c r="BH16" i="79" s="1"/>
  <c r="BD30" i="79"/>
  <c r="BG36" i="79"/>
  <c r="BE36" i="79"/>
  <c r="BC36" i="79"/>
  <c r="BG24" i="79"/>
  <c r="BE24" i="79"/>
  <c r="BC24" i="79"/>
  <c r="BD29" i="79"/>
  <c r="BH29" i="79"/>
  <c r="BF29" i="79"/>
  <c r="BE27" i="79"/>
  <c r="BC27" i="79"/>
  <c r="BG27" i="79"/>
  <c r="BH28" i="79"/>
  <c r="BF28" i="79"/>
  <c r="BD28" i="79"/>
  <c r="BG34" i="79"/>
  <c r="BE34" i="79"/>
  <c r="BC34" i="79"/>
  <c r="BG22" i="79"/>
  <c r="BE22" i="79"/>
  <c r="BC22" i="79"/>
  <c r="BD27" i="79"/>
  <c r="BH27" i="79"/>
  <c r="BF27" i="79"/>
  <c r="BE37" i="79"/>
  <c r="BC37" i="79"/>
  <c r="BG37" i="79"/>
  <c r="BE25" i="79"/>
  <c r="BC25" i="79"/>
  <c r="BG25" i="79"/>
  <c r="BH26" i="79"/>
  <c r="BF26" i="79"/>
  <c r="BD26" i="79"/>
  <c r="BG32" i="79"/>
  <c r="BE32" i="79"/>
  <c r="BC32" i="79"/>
  <c r="BD37" i="79"/>
  <c r="BH37" i="79"/>
  <c r="BF37" i="79"/>
  <c r="BD25" i="79"/>
  <c r="BH25" i="79"/>
  <c r="BF25" i="79"/>
  <c r="BE35" i="79"/>
  <c r="BC35" i="79"/>
  <c r="BG35" i="79"/>
  <c r="BE23" i="79"/>
  <c r="BC23" i="79"/>
  <c r="BG23" i="79"/>
  <c r="BH36" i="79"/>
  <c r="BF36" i="79"/>
  <c r="BD36" i="79"/>
  <c r="BH24" i="79"/>
  <c r="BF24" i="79"/>
  <c r="BD24" i="79"/>
  <c r="BG30" i="79"/>
  <c r="BE30" i="79"/>
  <c r="BC30" i="79"/>
  <c r="BD35" i="79"/>
  <c r="BH35" i="79"/>
  <c r="BF35" i="79"/>
  <c r="BD23" i="79"/>
  <c r="BH23" i="79"/>
  <c r="BF23" i="79"/>
  <c r="BE33" i="79"/>
  <c r="BC33" i="79"/>
  <c r="BG33" i="79"/>
  <c r="BE21" i="79"/>
  <c r="BC21" i="79"/>
  <c r="BG21" i="79"/>
  <c r="BH34" i="79"/>
  <c r="BF34" i="79"/>
  <c r="BD34" i="79"/>
  <c r="BH22" i="79"/>
  <c r="BF22" i="79"/>
  <c r="BD22" i="79"/>
  <c r="BG28" i="79"/>
  <c r="BE28" i="79"/>
  <c r="BC28" i="79"/>
  <c r="BD33" i="79"/>
  <c r="BH33" i="79"/>
  <c r="BF33" i="79"/>
  <c r="BD21" i="79"/>
  <c r="BH21" i="79"/>
  <c r="BF21" i="79"/>
  <c r="BE31" i="79"/>
  <c r="BC31" i="79"/>
  <c r="BG31" i="79"/>
  <c r="BE20" i="79"/>
  <c r="BC20" i="79"/>
  <c r="BG20" i="79"/>
  <c r="AG63" i="79"/>
  <c r="AF63" i="79"/>
  <c r="AE63" i="79"/>
  <c r="AB78" i="79" s="1"/>
  <c r="J73" i="75"/>
  <c r="G73" i="75"/>
  <c r="H73" i="75" s="1"/>
  <c r="AY34" i="79"/>
  <c r="AW34" i="79"/>
  <c r="AV34" i="79"/>
  <c r="AX34" i="79"/>
  <c r="AW22" i="79"/>
  <c r="AY22" i="79"/>
  <c r="AY35" i="79"/>
  <c r="AW35" i="79"/>
  <c r="AX37" i="79"/>
  <c r="AV37" i="79"/>
  <c r="AY25" i="79"/>
  <c r="AW25" i="79"/>
  <c r="AY32" i="79"/>
  <c r="AW32" i="79"/>
  <c r="AV32" i="79"/>
  <c r="AX32" i="79"/>
  <c r="AV28" i="79"/>
  <c r="AX28" i="79"/>
  <c r="AY33" i="79"/>
  <c r="AW33" i="79"/>
  <c r="AX35" i="79"/>
  <c r="AV35" i="79"/>
  <c r="AY23" i="79"/>
  <c r="AW23" i="79"/>
  <c r="AY30" i="79"/>
  <c r="AW30" i="79"/>
  <c r="AV14" i="79" s="1"/>
  <c r="AW14" i="79" s="1"/>
  <c r="AV30" i="79"/>
  <c r="AX30" i="79"/>
  <c r="AV10" i="79" s="1"/>
  <c r="AV26" i="79"/>
  <c r="AX26" i="79"/>
  <c r="AY31" i="79"/>
  <c r="AW31" i="79"/>
  <c r="AX33" i="79"/>
  <c r="AV33" i="79"/>
  <c r="AX21" i="79"/>
  <c r="AV21" i="79"/>
  <c r="AX25" i="79"/>
  <c r="AV25" i="79"/>
  <c r="AX23" i="79"/>
  <c r="AV23" i="79"/>
  <c r="AW28" i="79"/>
  <c r="AY28" i="79"/>
  <c r="AV24" i="79"/>
  <c r="AX24" i="79"/>
  <c r="AY29" i="79"/>
  <c r="AW29" i="79"/>
  <c r="AX31" i="79"/>
  <c r="AV31" i="79"/>
  <c r="AX20" i="79"/>
  <c r="AV20" i="79"/>
  <c r="AW26" i="79"/>
  <c r="AY26" i="79"/>
  <c r="AV22" i="79"/>
  <c r="AX22" i="79"/>
  <c r="AY21" i="79"/>
  <c r="AW21" i="79"/>
  <c r="AX29" i="79"/>
  <c r="AV29" i="79"/>
  <c r="AY36" i="79"/>
  <c r="AW36" i="79"/>
  <c r="AV36" i="79"/>
  <c r="AX36" i="79"/>
  <c r="AW24" i="79"/>
  <c r="AY24" i="79"/>
  <c r="AY37" i="79"/>
  <c r="AW37" i="79"/>
  <c r="AY20" i="79"/>
  <c r="AV16" i="79" s="1"/>
  <c r="AW20" i="79"/>
  <c r="AY27" i="79"/>
  <c r="AW27" i="79"/>
  <c r="AX27" i="79"/>
  <c r="T47" i="80"/>
  <c r="T49" i="80"/>
  <c r="AP34" i="79"/>
  <c r="AO23" i="79"/>
  <c r="AP33" i="79"/>
  <c r="AP26" i="79"/>
  <c r="AQ35" i="79"/>
  <c r="AP24" i="79"/>
  <c r="AO21" i="79"/>
  <c r="AP37" i="79"/>
  <c r="AP31" i="79"/>
  <c r="AP22" i="79"/>
  <c r="AO31" i="79"/>
  <c r="AP36" i="79"/>
  <c r="AP21" i="79"/>
  <c r="AP27" i="79"/>
  <c r="AP32" i="79"/>
  <c r="AP28" i="79"/>
  <c r="AG23" i="79"/>
  <c r="AF103" i="79"/>
  <c r="AB118" i="79"/>
  <c r="AG106" i="79"/>
  <c r="AB120" i="79" s="1"/>
  <c r="AH103" i="79"/>
  <c r="AI103" i="79" s="1"/>
  <c r="AG103" i="79"/>
  <c r="BH12" i="79"/>
  <c r="BI12" i="79" s="1"/>
  <c r="AV12" i="79"/>
  <c r="AW12" i="79" s="1"/>
  <c r="BH6" i="79"/>
  <c r="BI6" i="79" s="1"/>
  <c r="AV8" i="79"/>
  <c r="AW8" i="79" s="1"/>
  <c r="AV6" i="79"/>
  <c r="AW6" i="79" s="1"/>
  <c r="AH62" i="79"/>
  <c r="AG65" i="79"/>
  <c r="AB73" i="79" s="1"/>
  <c r="AG62" i="79"/>
  <c r="AE62" i="79"/>
  <c r="AF62" i="79"/>
  <c r="AH22" i="79"/>
  <c r="AG22" i="79"/>
  <c r="AE22" i="79"/>
  <c r="AF22" i="79"/>
  <c r="AF102" i="79"/>
  <c r="AH102" i="79"/>
  <c r="AI102" i="79" s="1"/>
  <c r="AG105" i="79"/>
  <c r="AB113" i="79" s="1"/>
  <c r="AG102" i="79"/>
  <c r="AG26" i="79"/>
  <c r="AB40" i="79" s="1"/>
  <c r="T51" i="80"/>
  <c r="T50" i="80"/>
  <c r="P50" i="80" s="1"/>
  <c r="W64" i="80" s="1"/>
  <c r="T48" i="80"/>
  <c r="P48" i="80" s="1"/>
  <c r="T46" i="80"/>
  <c r="P46" i="80" s="1"/>
  <c r="T23" i="80" l="1"/>
  <c r="X4" i="80" s="1"/>
  <c r="Z97" i="80"/>
  <c r="AP88" i="80"/>
  <c r="AQ88" i="80" s="1"/>
  <c r="AA108" i="80"/>
  <c r="AB108" i="80" s="1"/>
  <c r="AP89" i="80" s="1"/>
  <c r="AC108" i="80"/>
  <c r="AD108" i="80" s="1"/>
  <c r="AP92" i="80" s="1"/>
  <c r="AC107" i="80"/>
  <c r="AD107" i="80" s="1"/>
  <c r="AL93" i="80" s="1"/>
  <c r="AA107" i="80"/>
  <c r="AB107" i="80" s="1"/>
  <c r="AC125" i="80"/>
  <c r="T22" i="80"/>
  <c r="T18" i="80"/>
  <c r="Y123" i="80"/>
  <c r="AB97" i="80"/>
  <c r="P100" i="72"/>
  <c r="R93" i="72" s="1"/>
  <c r="T19" i="80"/>
  <c r="AB125" i="80"/>
  <c r="AA100" i="80"/>
  <c r="AA97" i="80"/>
  <c r="X121" i="80"/>
  <c r="T78" i="80"/>
  <c r="X124" i="80"/>
  <c r="AB101" i="80"/>
  <c r="AB99" i="80"/>
  <c r="X126" i="80"/>
  <c r="U105" i="80"/>
  <c r="AA104" i="80"/>
  <c r="AR87" i="80" s="1"/>
  <c r="AB124" i="80"/>
  <c r="Y128" i="80"/>
  <c r="AB103" i="80"/>
  <c r="Y127" i="80"/>
  <c r="AC129" i="80"/>
  <c r="AU124" i="80" s="1"/>
  <c r="T77" i="80"/>
  <c r="AA98" i="80"/>
  <c r="Y103" i="80"/>
  <c r="AB129" i="80"/>
  <c r="AS124" i="80" s="1"/>
  <c r="AB98" i="80"/>
  <c r="X122" i="80"/>
  <c r="X125" i="80"/>
  <c r="Z126" i="80"/>
  <c r="AM89" i="80"/>
  <c r="AN89" i="80" s="1"/>
  <c r="Y104" i="80"/>
  <c r="AM87" i="80" s="1"/>
  <c r="V105" i="80"/>
  <c r="Y100" i="80"/>
  <c r="AA99" i="80"/>
  <c r="AA102" i="80"/>
  <c r="AC126" i="80"/>
  <c r="AA101" i="80"/>
  <c r="AP91" i="80"/>
  <c r="AQ91" i="80" s="1"/>
  <c r="Y125" i="80"/>
  <c r="AC123" i="80"/>
  <c r="Y98" i="80"/>
  <c r="AM93" i="80"/>
  <c r="AN93" i="80" s="1"/>
  <c r="AB126" i="80"/>
  <c r="Y99" i="80"/>
  <c r="AB104" i="80"/>
  <c r="AT87" i="80" s="1"/>
  <c r="Y102" i="80"/>
  <c r="Y97" i="80"/>
  <c r="T80" i="80"/>
  <c r="X123" i="80"/>
  <c r="Y101" i="80"/>
  <c r="Z125" i="80"/>
  <c r="Y122" i="80"/>
  <c r="Z123" i="80"/>
  <c r="AC128" i="80"/>
  <c r="T79" i="80"/>
  <c r="AB123" i="80"/>
  <c r="T81" i="80"/>
  <c r="Z127" i="80"/>
  <c r="Z128" i="80"/>
  <c r="Z121" i="80"/>
  <c r="AC122" i="80"/>
  <c r="Z122" i="80"/>
  <c r="AC121" i="80"/>
  <c r="AB128" i="80"/>
  <c r="AC127" i="80"/>
  <c r="AN130" i="80"/>
  <c r="AO130" i="80" s="1"/>
  <c r="AB122" i="80"/>
  <c r="X127" i="80"/>
  <c r="X128" i="80"/>
  <c r="AC124" i="80"/>
  <c r="Y126" i="80"/>
  <c r="AQ125" i="80"/>
  <c r="AR125" i="80" s="1"/>
  <c r="AB121" i="80"/>
  <c r="Z124" i="80"/>
  <c r="AN126" i="80"/>
  <c r="AO126" i="80" s="1"/>
  <c r="Z129" i="80"/>
  <c r="AN124" i="80" s="1"/>
  <c r="AQ128" i="80"/>
  <c r="AR128" i="80" s="1"/>
  <c r="Y124" i="80"/>
  <c r="AB127" i="80"/>
  <c r="Y121" i="80"/>
  <c r="AQ36" i="79"/>
  <c r="AO22" i="79"/>
  <c r="AO24" i="79"/>
  <c r="AO36" i="79"/>
  <c r="AO30" i="79"/>
  <c r="AQ22" i="79"/>
  <c r="AO25" i="79"/>
  <c r="AO35" i="79"/>
  <c r="AQ23" i="79"/>
  <c r="AO28" i="79"/>
  <c r="AO27" i="79"/>
  <c r="AQ31" i="79"/>
  <c r="AO33" i="79"/>
  <c r="AO26" i="79"/>
  <c r="AQ24" i="79"/>
  <c r="AR29" i="79"/>
  <c r="AQ37" i="79"/>
  <c r="AQ27" i="79"/>
  <c r="AQ34" i="79"/>
  <c r="AR26" i="79"/>
  <c r="AR32" i="79"/>
  <c r="AP29" i="79"/>
  <c r="AQ21" i="79"/>
  <c r="AR33" i="79"/>
  <c r="AR34" i="79"/>
  <c r="AR31" i="79"/>
  <c r="AR35" i="79"/>
  <c r="AI13" i="79"/>
  <c r="AJ13" i="79" s="1"/>
  <c r="AR22" i="79"/>
  <c r="AQ29" i="79"/>
  <c r="AR25" i="79"/>
  <c r="AO37" i="79"/>
  <c r="AR27" i="79"/>
  <c r="AR36" i="79"/>
  <c r="AR24" i="79"/>
  <c r="AR37" i="79"/>
  <c r="AQ28" i="79"/>
  <c r="AQ30" i="79"/>
  <c r="AI11" i="79" s="1"/>
  <c r="AQ20" i="79"/>
  <c r="AQ32" i="79"/>
  <c r="AR30" i="79"/>
  <c r="AI7" i="79"/>
  <c r="AJ7" i="79" s="1"/>
  <c r="AR28" i="79"/>
  <c r="AQ25" i="79"/>
  <c r="AQ33" i="79"/>
  <c r="AP23" i="79"/>
  <c r="AR20" i="79"/>
  <c r="AI17" i="79" s="1"/>
  <c r="AR21" i="79"/>
  <c r="AI15" i="79"/>
  <c r="AJ15" i="79" s="1"/>
  <c r="AP25" i="79"/>
  <c r="AO29" i="79"/>
  <c r="AO20" i="79"/>
  <c r="BU57" i="75"/>
  <c r="BU59" i="75" s="1"/>
  <c r="BU46" i="75"/>
  <c r="BU48" i="75" s="1"/>
  <c r="BU42" i="75"/>
  <c r="BU44" i="75" s="1"/>
  <c r="AI63" i="79"/>
  <c r="AB82" i="79" s="1"/>
  <c r="AJ23" i="79"/>
  <c r="AB43" i="79" s="1"/>
  <c r="P115" i="72"/>
  <c r="X93" i="72" s="1"/>
  <c r="BU53" i="75"/>
  <c r="S52" i="72"/>
  <c r="W84" i="84"/>
  <c r="W83" i="84"/>
  <c r="W68" i="84"/>
  <c r="W67" i="84"/>
  <c r="H38" i="82"/>
  <c r="U48" i="84"/>
  <c r="U49" i="84" s="1"/>
  <c r="V48" i="84" s="1"/>
  <c r="Z45" i="84" s="1"/>
  <c r="V62" i="84"/>
  <c r="V78" i="84"/>
  <c r="V51" i="84"/>
  <c r="V52" i="84"/>
  <c r="V53" i="84" s="1"/>
  <c r="W52" i="84" s="1"/>
  <c r="U52" i="80"/>
  <c r="U49" i="80"/>
  <c r="U47" i="80"/>
  <c r="R24" i="80"/>
  <c r="P49" i="80"/>
  <c r="W62" i="80" s="1"/>
  <c r="U51" i="80"/>
  <c r="U48" i="80"/>
  <c r="S24" i="80"/>
  <c r="X8" i="80" s="1"/>
  <c r="U45" i="80"/>
  <c r="U46" i="80"/>
  <c r="U50" i="80"/>
  <c r="P51" i="80"/>
  <c r="P52" i="80"/>
  <c r="P47" i="80"/>
  <c r="U51" i="74"/>
  <c r="V51" i="74" s="1"/>
  <c r="Z80" i="74"/>
  <c r="Z79" i="74"/>
  <c r="U50" i="74"/>
  <c r="V50" i="74" s="1"/>
  <c r="R59" i="74" s="1"/>
  <c r="P112" i="74"/>
  <c r="P111" i="74"/>
  <c r="AD93" i="74"/>
  <c r="AB93" i="74"/>
  <c r="S49" i="74"/>
  <c r="S44" i="74"/>
  <c r="W49" i="74"/>
  <c r="W44" i="74"/>
  <c r="P99" i="74"/>
  <c r="Q99" i="74" s="1"/>
  <c r="T93" i="74"/>
  <c r="V93" i="74"/>
  <c r="Z71" i="74"/>
  <c r="Q51" i="74"/>
  <c r="R51" i="74" s="1"/>
  <c r="Z70" i="74"/>
  <c r="Q50" i="74"/>
  <c r="R50" i="74" s="1"/>
  <c r="Z79" i="72"/>
  <c r="U50" i="72"/>
  <c r="V50" i="72" s="1"/>
  <c r="U52" i="72"/>
  <c r="V52" i="72" s="1"/>
  <c r="Z81" i="72"/>
  <c r="BH14" i="79"/>
  <c r="BI14" i="79" s="1"/>
  <c r="D84" i="75"/>
  <c r="AA33" i="82"/>
  <c r="Q52" i="72"/>
  <c r="R52" i="72" s="1"/>
  <c r="Z72" i="72"/>
  <c r="Z71" i="72"/>
  <c r="Q51" i="72"/>
  <c r="R51" i="72" s="1"/>
  <c r="W44" i="72"/>
  <c r="O100" i="72"/>
  <c r="S44" i="72"/>
  <c r="S49" i="72"/>
  <c r="Z70" i="72"/>
  <c r="Q50" i="72"/>
  <c r="R50" i="72" s="1"/>
  <c r="AY2" i="79"/>
  <c r="AD174" i="80"/>
  <c r="Y174" i="80"/>
  <c r="Y170" i="80"/>
  <c r="AD170" i="80"/>
  <c r="BH10" i="79"/>
  <c r="BH8" i="79"/>
  <c r="AI9" i="79"/>
  <c r="AB31" i="79"/>
  <c r="AJ103" i="79"/>
  <c r="AB123" i="79" s="1"/>
  <c r="AB122" i="79"/>
  <c r="AJ102" i="79"/>
  <c r="AB116" i="79" s="1"/>
  <c r="AB115" i="79"/>
  <c r="AJ62" i="79"/>
  <c r="AB76" i="79" s="1"/>
  <c r="AI62" i="79"/>
  <c r="AB75" i="79" s="1"/>
  <c r="AB111" i="79"/>
  <c r="AJ22" i="79"/>
  <c r="AB36" i="79" s="1"/>
  <c r="AI22" i="79"/>
  <c r="AB35" i="79" s="1"/>
  <c r="AB71" i="79"/>
  <c r="AE69" i="79" s="1"/>
  <c r="AD110" i="80" l="1"/>
  <c r="AB110" i="80"/>
  <c r="AE46" i="79"/>
  <c r="AE109" i="79"/>
  <c r="U23" i="80"/>
  <c r="U19" i="80" s="1"/>
  <c r="R56" i="74"/>
  <c r="R62" i="74" s="1"/>
  <c r="R110" i="72"/>
  <c r="R56" i="72"/>
  <c r="BV46" i="75"/>
  <c r="BV57" i="75"/>
  <c r="R59" i="72"/>
  <c r="R62" i="72" s="1"/>
  <c r="AM91" i="80"/>
  <c r="BC86" i="80" s="1"/>
  <c r="AT91" i="80"/>
  <c r="AU91" i="80" s="1"/>
  <c r="AM95" i="80"/>
  <c r="AT88" i="80"/>
  <c r="AU88" i="80" s="1"/>
  <c r="U79" i="80"/>
  <c r="U87" i="80" s="1"/>
  <c r="W86" i="80" s="1"/>
  <c r="AR88" i="80"/>
  <c r="AS88" i="80" s="1"/>
  <c r="AU128" i="80"/>
  <c r="AV128" i="80" s="1"/>
  <c r="AS125" i="80"/>
  <c r="AR91" i="80"/>
  <c r="AS91" i="80" s="1"/>
  <c r="AU125" i="80"/>
  <c r="AV125" i="80" s="1"/>
  <c r="AN132" i="80"/>
  <c r="AN128" i="80"/>
  <c r="AS128" i="80"/>
  <c r="AT128" i="80" s="1"/>
  <c r="BV42" i="75"/>
  <c r="BS41" i="75"/>
  <c r="BU55" i="75"/>
  <c r="BV53" i="75"/>
  <c r="AA177" i="80"/>
  <c r="U79" i="84"/>
  <c r="V79" i="84" s="1"/>
  <c r="Z80" i="84" s="1"/>
  <c r="U63" i="84"/>
  <c r="V63" i="84" s="1"/>
  <c r="Z63" i="84" s="1"/>
  <c r="Q98" i="74"/>
  <c r="BI8" i="79"/>
  <c r="BL2" i="79" s="1"/>
  <c r="AJ9" i="79"/>
  <c r="AL4" i="79" s="1"/>
  <c r="AG177" i="80"/>
  <c r="V49" i="80"/>
  <c r="AX86" i="80" l="1"/>
  <c r="AM99" i="80" s="1"/>
  <c r="U18" i="80"/>
  <c r="V18" i="80" s="1"/>
  <c r="X6" i="80" s="1"/>
  <c r="Z1" i="80" s="1"/>
  <c r="AT93" i="80"/>
  <c r="AR93" i="80"/>
  <c r="AU127" i="80"/>
  <c r="AT90" i="80"/>
  <c r="AU130" i="80"/>
  <c r="AT125" i="80"/>
  <c r="AS127" i="80"/>
  <c r="AR90" i="80"/>
  <c r="AN135" i="80"/>
  <c r="AS130" i="80"/>
  <c r="BZ37" i="75"/>
  <c r="R110" i="74"/>
  <c r="W59" i="80"/>
  <c r="Y57" i="80" s="1"/>
  <c r="AX92" i="80" l="1"/>
  <c r="AN137" i="80"/>
</calcChain>
</file>

<file path=xl/sharedStrings.xml><?xml version="1.0" encoding="utf-8"?>
<sst xmlns="http://schemas.openxmlformats.org/spreadsheetml/2006/main" count="4330" uniqueCount="877">
  <si>
    <t xml:space="preserve">13 - Fabricação de têxteis </t>
  </si>
  <si>
    <t>CAE-Rev. 3</t>
  </si>
  <si>
    <r>
      <t>CAE-Rev. 3</t>
    </r>
    <r>
      <rPr>
        <b/>
        <vertAlign val="superscript"/>
        <sz val="8"/>
        <rFont val="Arial"/>
        <family val="2"/>
      </rPr>
      <t xml:space="preserve"> </t>
    </r>
  </si>
  <si>
    <r>
      <t xml:space="preserve">     </t>
    </r>
    <r>
      <rPr>
        <b/>
        <sz val="8"/>
        <rFont val="Arial"/>
        <family val="2"/>
      </rPr>
      <t xml:space="preserve">   (1) </t>
    </r>
    <r>
      <rPr>
        <sz val="8"/>
        <rFont val="Arial"/>
        <family val="2"/>
      </rPr>
      <t>dos trabalhadores por conta de outrem a tempo completo, que auferiram remuneração completa no período de referência.</t>
    </r>
  </si>
  <si>
    <r>
      <t xml:space="preserve">(1) </t>
    </r>
    <r>
      <rPr>
        <sz val="8"/>
        <rFont val="Arial"/>
        <family val="2"/>
      </rPr>
      <t>dos trabalhadores por conta de outrem a tempo completo, que auferiram remuneração completa no período de referência.</t>
    </r>
  </si>
  <si>
    <r>
      <t xml:space="preserve">        </t>
    </r>
    <r>
      <rPr>
        <b/>
        <sz val="8"/>
        <rFont val="Arial"/>
        <family val="2"/>
      </rPr>
      <t xml:space="preserve">(1) </t>
    </r>
    <r>
      <rPr>
        <sz val="8"/>
        <rFont val="Arial"/>
        <family val="2"/>
      </rPr>
      <t xml:space="preserve">dos trabalhadores por conta de outrem a tempo completo, que auferiram remuneração completa no período de referência. </t>
    </r>
  </si>
  <si>
    <r>
      <t xml:space="preserve">        </t>
    </r>
    <r>
      <rPr>
        <b/>
        <sz val="8"/>
        <rFont val="Arial"/>
        <family val="2"/>
      </rPr>
      <t xml:space="preserve">(1) </t>
    </r>
    <r>
      <rPr>
        <sz val="8"/>
        <rFont val="Arial"/>
        <family val="2"/>
      </rPr>
      <t>dos trabalhadores por conta de outrem a tempo completo, que auferiram remuneração completa no período de referência.</t>
    </r>
  </si>
  <si>
    <r>
      <t xml:space="preserve">    </t>
    </r>
    <r>
      <rPr>
        <b/>
        <sz val="8"/>
        <rFont val="Arial"/>
        <family val="2"/>
      </rPr>
      <t xml:space="preserve">   (1) </t>
    </r>
    <r>
      <rPr>
        <sz val="8"/>
        <rFont val="Arial"/>
        <family val="2"/>
      </rPr>
      <t>dos trabalhadores por conta de outrem a tempo completo, que auferiram remuneração completa no período de referência.</t>
    </r>
  </si>
  <si>
    <r>
      <t xml:space="preserve">    </t>
    </r>
    <r>
      <rPr>
        <b/>
        <sz val="8"/>
        <rFont val="Arial"/>
        <family val="2"/>
      </rPr>
      <t xml:space="preserve">    (1) </t>
    </r>
    <r>
      <rPr>
        <sz val="8"/>
        <rFont val="Arial"/>
        <family val="2"/>
      </rPr>
      <t>dos trabalhadores por conta de outrem a tempo completo, que auferiram remuneração completa no período de referência.</t>
    </r>
  </si>
  <si>
    <r>
      <t xml:space="preserve">      </t>
    </r>
    <r>
      <rPr>
        <b/>
        <sz val="8"/>
        <rFont val="Arial"/>
        <family val="2"/>
      </rPr>
      <t xml:space="preserve">  (2) </t>
    </r>
    <r>
      <rPr>
        <sz val="8"/>
        <rFont val="Arial"/>
        <family val="2"/>
      </rPr>
      <t xml:space="preserve">intrumentos em vigor, classificados de acordo com a sua natureza inicial.  </t>
    </r>
  </si>
  <si>
    <t>I</t>
  </si>
  <si>
    <t>ÍNDICE DE QUADROS</t>
  </si>
  <si>
    <t>Total</t>
  </si>
  <si>
    <t>Ignorado</t>
  </si>
  <si>
    <t>Continente</t>
  </si>
  <si>
    <t>Aveiro</t>
  </si>
  <si>
    <t>Beja</t>
  </si>
  <si>
    <t>Bragança</t>
  </si>
  <si>
    <t>Castelo Branco</t>
  </si>
  <si>
    <t>Coimbra</t>
  </si>
  <si>
    <t>Évora</t>
  </si>
  <si>
    <t>Faro</t>
  </si>
  <si>
    <t>Guarda</t>
  </si>
  <si>
    <t>Leiria</t>
  </si>
  <si>
    <t>Lisboa</t>
  </si>
  <si>
    <t>Portalegre</t>
  </si>
  <si>
    <t>Porto</t>
  </si>
  <si>
    <t>Santarém</t>
  </si>
  <si>
    <t>Setúbal</t>
  </si>
  <si>
    <t>Viana do Castelo</t>
  </si>
  <si>
    <t>Vila Real</t>
  </si>
  <si>
    <t>Viseu</t>
  </si>
  <si>
    <t>1-4 pessoas</t>
  </si>
  <si>
    <t>5-9 pessoas</t>
  </si>
  <si>
    <t>10-19 pessoas</t>
  </si>
  <si>
    <t>20-49 pessoas</t>
  </si>
  <si>
    <t>50-99 pessoas</t>
  </si>
  <si>
    <t>100-149 pessoas</t>
  </si>
  <si>
    <t>150-199 pessoas</t>
  </si>
  <si>
    <t>200-249 pessoas</t>
  </si>
  <si>
    <t>250-499 pessoas</t>
  </si>
  <si>
    <t>500-999 pessoas</t>
  </si>
  <si>
    <r>
      <t xml:space="preserve">Continente </t>
    </r>
    <r>
      <rPr>
        <sz val="8"/>
        <rFont val="Arial"/>
        <family val="2"/>
      </rPr>
      <t xml:space="preserve"> </t>
    </r>
  </si>
  <si>
    <r>
      <t xml:space="preserve"> </t>
    </r>
    <r>
      <rPr>
        <b/>
        <sz val="8"/>
        <color indexed="8"/>
        <rFont val="Arial"/>
        <family val="2"/>
      </rPr>
      <t xml:space="preserve">Total </t>
    </r>
    <r>
      <rPr>
        <sz val="8"/>
        <rFont val="Arial"/>
        <family val="2"/>
      </rPr>
      <t xml:space="preserve"> </t>
    </r>
  </si>
  <si>
    <t>Acordo de Empresa (AE)</t>
  </si>
  <si>
    <t>T</t>
  </si>
  <si>
    <t xml:space="preserve">H </t>
  </si>
  <si>
    <t xml:space="preserve">M </t>
  </si>
  <si>
    <t>Quadros superiores</t>
  </si>
  <si>
    <t>Quadros médios</t>
  </si>
  <si>
    <t>Profissionais qualificados</t>
  </si>
  <si>
    <t>Profissionais não qualificados</t>
  </si>
  <si>
    <t>Praticantes e aprendizes</t>
  </si>
  <si>
    <t>H</t>
  </si>
  <si>
    <t>M</t>
  </si>
  <si>
    <t>&lt; 18 anos</t>
  </si>
  <si>
    <t>18-24 anos</t>
  </si>
  <si>
    <t>25-29 anos</t>
  </si>
  <si>
    <t>30-34 anos</t>
  </si>
  <si>
    <t>35-39 anos</t>
  </si>
  <si>
    <t>40-44 anos</t>
  </si>
  <si>
    <t>45-49 anos</t>
  </si>
  <si>
    <t>50-54 anos</t>
  </si>
  <si>
    <t>55-59 anos</t>
  </si>
  <si>
    <t>60-64 anos</t>
  </si>
  <si>
    <t>65 e + anos</t>
  </si>
  <si>
    <t>Braga</t>
  </si>
  <si>
    <t>65 e mais anos</t>
  </si>
  <si>
    <t>Euros</t>
  </si>
  <si>
    <t>Profis. altam. qualificados</t>
  </si>
  <si>
    <t>Encar. contram. mest.e chefes</t>
  </si>
  <si>
    <t>Profis. semi-qualificados</t>
  </si>
  <si>
    <t>1 000 e + pessoas</t>
  </si>
  <si>
    <t>A</t>
  </si>
  <si>
    <t>B</t>
  </si>
  <si>
    <t>C</t>
  </si>
  <si>
    <t>D</t>
  </si>
  <si>
    <t>E</t>
  </si>
  <si>
    <t>F</t>
  </si>
  <si>
    <t>Construção</t>
  </si>
  <si>
    <t>G</t>
  </si>
  <si>
    <t>J</t>
  </si>
  <si>
    <t>K</t>
  </si>
  <si>
    <t>L</t>
  </si>
  <si>
    <t>Educação</t>
  </si>
  <si>
    <t>N</t>
  </si>
  <si>
    <t>O</t>
  </si>
  <si>
    <t>Q</t>
  </si>
  <si>
    <t>10 - Indústrias alimentares</t>
  </si>
  <si>
    <t>11 - Indústria das bebidas</t>
  </si>
  <si>
    <t>12 - Indústria do tabaco</t>
  </si>
  <si>
    <t>14 - Indústria do vestuário</t>
  </si>
  <si>
    <t>24 - Indústrias metalúrgicas de base</t>
  </si>
  <si>
    <t>Transportes e armazenagem</t>
  </si>
  <si>
    <t>P</t>
  </si>
  <si>
    <t>R</t>
  </si>
  <si>
    <t>S</t>
  </si>
  <si>
    <t>U</t>
  </si>
  <si>
    <r>
      <t xml:space="preserve"> </t>
    </r>
    <r>
      <rPr>
        <b/>
        <sz val="8"/>
        <rFont val="Arial"/>
        <family val="2"/>
      </rPr>
      <t xml:space="preserve">         (1)</t>
    </r>
    <r>
      <rPr>
        <sz val="8"/>
        <rFont val="Arial"/>
        <family val="2"/>
      </rPr>
      <t xml:space="preserve"> Instrumentos em vigor, classificados de acordo com a sua natureza inicial.  </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</si>
  <si>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</si>
  <si>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t>
    </r>
  </si>
  <si>
    <t>Indústrias transformadoras</t>
  </si>
  <si>
    <t>Indústrias extrativas</t>
  </si>
  <si>
    <t>Atividades imobiliárias</t>
  </si>
  <si>
    <t>Outras atividades de serviços</t>
  </si>
  <si>
    <t xml:space="preserve">Quadro 1 - Empresas por atividade económica </t>
  </si>
  <si>
    <t>1.º decil</t>
  </si>
  <si>
    <t>2.º decil</t>
  </si>
  <si>
    <t>3.º decil</t>
  </si>
  <si>
    <t>4.º decil</t>
  </si>
  <si>
    <t>5.º decil</t>
  </si>
  <si>
    <t>6.º decil</t>
  </si>
  <si>
    <t>7.º decil</t>
  </si>
  <si>
    <t>8.º decil</t>
  </si>
  <si>
    <t>9.º decil</t>
  </si>
  <si>
    <t>10.º decil</t>
  </si>
  <si>
    <t>Homens</t>
  </si>
  <si>
    <t>Mulheres</t>
  </si>
  <si>
    <t>&lt; RMMG</t>
  </si>
  <si>
    <t xml:space="preserve"> = RMMG</t>
  </si>
  <si>
    <t>percentagem</t>
  </si>
  <si>
    <r>
      <t>Ganho mensal mediano</t>
    </r>
    <r>
      <rPr>
        <sz val="7"/>
        <rFont val="Arial"/>
        <family val="2"/>
      </rPr>
      <t xml:space="preserve"> (euros)</t>
    </r>
  </si>
  <si>
    <r>
      <t>Ganho mensal - média por decil</t>
    </r>
    <r>
      <rPr>
        <sz val="7"/>
        <rFont val="Arial"/>
        <family val="2"/>
      </rPr>
      <t xml:space="preserve"> (euros)</t>
    </r>
  </si>
  <si>
    <r>
      <t xml:space="preserve">   Incidência de baixos salários</t>
    </r>
    <r>
      <rPr>
        <sz val="7"/>
        <rFont val="Arial"/>
        <family val="2"/>
      </rPr>
      <t xml:space="preserve"> (%)</t>
    </r>
  </si>
  <si>
    <t>Trabalhadores por conta de outrem</t>
  </si>
  <si>
    <r>
      <t>Limiar de baixos salários</t>
    </r>
    <r>
      <rPr>
        <b/>
        <vertAlign val="superscript"/>
        <sz val="8"/>
        <rFont val="Arial"/>
        <family val="2"/>
      </rPr>
      <t xml:space="preserve"> (2) </t>
    </r>
    <r>
      <rPr>
        <sz val="7"/>
        <rFont val="Arial"/>
        <family val="2"/>
      </rPr>
      <t>(euros)</t>
    </r>
  </si>
  <si>
    <t>Contrato Colectivo de Trabalho (CCT)</t>
  </si>
  <si>
    <t>Acordo Colectivo de Trabalho (ACT)</t>
  </si>
  <si>
    <r>
      <t xml:space="preserve">    (1)</t>
    </r>
    <r>
      <rPr>
        <sz val="8"/>
        <rFont val="Arial"/>
        <family val="2"/>
      </rPr>
      <t xml:space="preserve"> trabalhadores por conta de outrem a tempo completo, que auferiram remuneração completa no período de referência.</t>
    </r>
  </si>
  <si>
    <r>
      <t xml:space="preserve">    (1) </t>
    </r>
    <r>
      <rPr>
        <sz val="8"/>
        <rFont val="Arial"/>
        <family val="2"/>
      </rPr>
      <t>trabalhadores por conta de outrem a tempo completo, que auferiram remuneração completa no período de referência.</t>
    </r>
  </si>
  <si>
    <r>
      <t xml:space="preserve">      (1) </t>
    </r>
    <r>
      <rPr>
        <sz val="8"/>
        <rFont val="Arial"/>
        <family val="2"/>
      </rPr>
      <t>dos trabalhadores por conta de outrem a tempo completo, que auferiram remuneração completa no período de referência.</t>
    </r>
  </si>
  <si>
    <r>
      <t xml:space="preserve">      </t>
    </r>
    <r>
      <rPr>
        <b/>
        <sz val="8"/>
        <rFont val="Arial"/>
        <family val="2"/>
      </rPr>
      <t>(1)</t>
    </r>
    <r>
      <rPr>
        <sz val="8"/>
        <rFont val="Arial"/>
        <family val="2"/>
      </rPr>
      <t xml:space="preserve"> dos trabalhadores por conta de outrem a tempo completo, que auferiram remuneração completa no período de referência.</t>
    </r>
  </si>
  <si>
    <r>
      <rPr>
        <b/>
        <sz val="8"/>
        <rFont val="Arial"/>
        <family val="2"/>
      </rPr>
      <t xml:space="preserve"> (1)</t>
    </r>
    <r>
      <rPr>
        <sz val="8"/>
        <rFont val="Arial"/>
        <family val="2"/>
      </rPr>
      <t xml:space="preserve"> dos trabalhadores por conta de outrem a tempo completo, que auferiram remuneração completa no período de referência.</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</si>
  <si>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t>
    </r>
  </si>
  <si>
    <r>
      <t xml:space="preserve">    </t>
    </r>
    <r>
      <rPr>
        <b/>
        <sz val="8"/>
        <rFont val="Arial"/>
        <family val="2"/>
      </rPr>
      <t xml:space="preserve"> (2) </t>
    </r>
    <r>
      <rPr>
        <sz val="8"/>
        <rFont val="Arial"/>
        <family val="2"/>
      </rPr>
      <t xml:space="preserve">instrumentos em vigor, classificados de acordo com a sua natureza inicial.  </t>
    </r>
  </si>
  <si>
    <t>Introdução</t>
  </si>
  <si>
    <t>Conceitos</t>
  </si>
  <si>
    <t>Nomenclaturas</t>
  </si>
  <si>
    <r>
      <t xml:space="preserve">Fonte: </t>
    </r>
    <r>
      <rPr>
        <sz val="8"/>
        <rFont val="Arial"/>
        <family val="2"/>
      </rPr>
      <t>GEP/MTSSS, Quadros de Pessoal.</t>
    </r>
  </si>
  <si>
    <r>
      <t>Fonte:</t>
    </r>
    <r>
      <rPr>
        <sz val="8"/>
        <rFont val="Arial"/>
        <family val="2"/>
      </rPr>
      <t xml:space="preserve"> GEP/MTSSS, Quadros de Pessoal.</t>
    </r>
  </si>
  <si>
    <r>
      <t xml:space="preserve">Fonte: </t>
    </r>
    <r>
      <rPr>
        <sz val="8"/>
        <rFont val="Arial"/>
        <family val="2"/>
      </rPr>
      <t>GEP/MTSSS, Quadros de Pessoal</t>
    </r>
    <r>
      <rPr>
        <b/>
        <sz val="8"/>
        <rFont val="Arial"/>
        <family val="2"/>
      </rPr>
      <t>.</t>
    </r>
  </si>
  <si>
    <t>Ativ. saúde humana e apoio social</t>
  </si>
  <si>
    <t>1000 e + pessoas</t>
  </si>
  <si>
    <r>
      <t xml:space="preserve">      </t>
    </r>
    <r>
      <rPr>
        <b/>
        <sz val="8"/>
        <rFont val="Arial"/>
        <family val="2"/>
      </rPr>
      <t xml:space="preserve"> (2)</t>
    </r>
    <r>
      <rPr>
        <sz val="8"/>
        <rFont val="Arial"/>
        <family val="2"/>
      </rPr>
      <t xml:space="preserve"> considerado como sendo 2/3 da mediana do ganho mensal do Continente, neste exercício.</t>
    </r>
  </si>
  <si>
    <r>
      <t>Portaria de Cond. de Trabalho (PCT)</t>
    </r>
    <r>
      <rPr>
        <b/>
        <vertAlign val="superscript"/>
        <sz val="8"/>
        <rFont val="Arial"/>
        <family val="2"/>
      </rPr>
      <t>(2)</t>
    </r>
  </si>
  <si>
    <r>
      <t>Portaria de Cond. de Trabalho (PCT)</t>
    </r>
    <r>
      <rPr>
        <b/>
        <vertAlign val="superscript"/>
        <sz val="8"/>
        <rFont val="Arial"/>
        <family val="2"/>
      </rPr>
      <t>(3)</t>
    </r>
  </si>
  <si>
    <t>15 - Ind. couro e produtos do couro</t>
  </si>
  <si>
    <t>16 - Ind. madeira. e cortiça. e s. obras</t>
  </si>
  <si>
    <t>17 - Fab. pasta, papel, cartão e s. art.</t>
  </si>
  <si>
    <t>18 - Impressão e rep. sup. gravados</t>
  </si>
  <si>
    <t xml:space="preserve">19 - Fabr. coque, pr. petr. refinados </t>
  </si>
  <si>
    <t>20 - Fab. pr. quím. e fibras sint./artif.</t>
  </si>
  <si>
    <t>22 - Fabr. art. borracha e mat. plásticas</t>
  </si>
  <si>
    <t>27 - Fab. equipamento elétrico</t>
  </si>
  <si>
    <t xml:space="preserve">29 - Fab. veíc. autom., reb., s.-reb. </t>
  </si>
  <si>
    <t>31 - Fabr. mobiliário e de colchões</t>
  </si>
  <si>
    <t>32 - Outras ind. transformadoras</t>
  </si>
  <si>
    <t>25 - Fabr. pr. metál., exc. máq. e eq.</t>
  </si>
  <si>
    <t xml:space="preserve">26 - Fab. equip. inf., equip. p/ com. </t>
  </si>
  <si>
    <t xml:space="preserve">23 - Fabr.outros pr.min. n/ metálicos </t>
  </si>
  <si>
    <t>21 - Fab. pr. farm.  base e  prep. farm.</t>
  </si>
  <si>
    <t>28 - Fab. máq. e equipamentos, n.e.</t>
  </si>
  <si>
    <t>30 - Fabr. outro equip. transporte</t>
  </si>
  <si>
    <t>33 - Repar., manut. inst. máq. e equip.</t>
  </si>
  <si>
    <t>Eletr., gás, ág. quente/fria e ar frio</t>
  </si>
  <si>
    <t>Alojamento, restauração e sim.</t>
  </si>
  <si>
    <t>Ativ. financeiras e de seguros</t>
  </si>
  <si>
    <t>Ativ. artíst., espet., desp. e recr.</t>
  </si>
  <si>
    <t>Ativ. org. int. e o. inst. extra-territ.</t>
  </si>
  <si>
    <t>Ativ. Adm. e serviços de apoio</t>
  </si>
  <si>
    <t xml:space="preserve">Adm. Púb. e defesa; seg. social </t>
  </si>
  <si>
    <t xml:space="preserve">Ativ. Inform. e de comunicação </t>
  </si>
  <si>
    <t>Agr., pr. animal, caça, flor. pesca</t>
  </si>
  <si>
    <t>Capt., trat. e d. água; san., resíd.</t>
  </si>
  <si>
    <t>Com. grosso e ret.; r.v.aut./moto.</t>
  </si>
  <si>
    <t>Ativ. consultoria, cient.,téc. e sim.</t>
  </si>
  <si>
    <t>1 000,00 - 1 499,99  €</t>
  </si>
  <si>
    <t>1 500,00 - 2 499,99  €</t>
  </si>
  <si>
    <t>2 500,00 - 3 749,99  €</t>
  </si>
  <si>
    <t>3 750,00 - 4 999,99 €</t>
  </si>
  <si>
    <t>5 000,00 e +  Euros</t>
  </si>
  <si>
    <t>média</t>
  </si>
  <si>
    <t>mediana</t>
  </si>
  <si>
    <t>médio</t>
  </si>
  <si>
    <t>mediano</t>
  </si>
  <si>
    <t>TCO</t>
  </si>
  <si>
    <t>Remuneração base (euros)</t>
  </si>
  <si>
    <t>Remuneração ganho (euros)</t>
  </si>
  <si>
    <r>
      <t xml:space="preserve">Remuneração </t>
    </r>
    <r>
      <rPr>
        <b/>
        <sz val="8"/>
        <color indexed="8"/>
        <rFont val="Arial"/>
        <family val="2"/>
      </rPr>
      <t>base</t>
    </r>
    <r>
      <rPr>
        <sz val="8"/>
        <color indexed="8"/>
        <rFont val="Arial"/>
        <family val="2"/>
      </rPr>
      <t xml:space="preserve"> (euros)</t>
    </r>
  </si>
  <si>
    <r>
      <t>Remuneração</t>
    </r>
    <r>
      <rPr>
        <b/>
        <sz val="8"/>
        <color indexed="8"/>
        <rFont val="Arial"/>
        <family val="2"/>
      </rPr>
      <t xml:space="preserve"> ganho</t>
    </r>
    <r>
      <rPr>
        <sz val="8"/>
        <color indexed="8"/>
        <rFont val="Arial"/>
        <family val="2"/>
      </rPr>
      <t xml:space="preserve"> (euros)</t>
    </r>
  </si>
  <si>
    <t>&lt;1.º ciclo do ensino básico</t>
  </si>
  <si>
    <t>Ensino básico</t>
  </si>
  <si>
    <t>Quadro 2 - Empresas por dimensão</t>
  </si>
  <si>
    <r>
      <t>Quadro 3 -</t>
    </r>
    <r>
      <rPr>
        <sz val="9"/>
        <rFont val="Arial"/>
        <family val="2"/>
      </rPr>
      <t xml:space="preserve"> </t>
    </r>
    <r>
      <rPr>
        <b/>
        <sz val="9"/>
        <color indexed="8"/>
        <rFont val="Arial"/>
        <family val="2"/>
      </rPr>
      <t>Empresas por distrito</t>
    </r>
  </si>
  <si>
    <t xml:space="preserve">Quadro 1 - Empresas por atividade económica (CAE-Rev. 3) </t>
  </si>
  <si>
    <t>Quadro 3 - Empresas por distrito</t>
  </si>
  <si>
    <t>Ensino secundário + pós sec. não superior nível IV</t>
  </si>
  <si>
    <r>
      <t xml:space="preserve">Ensino superior </t>
    </r>
    <r>
      <rPr>
        <b/>
        <vertAlign val="superscript"/>
        <sz val="8"/>
        <color indexed="8"/>
        <rFont val="Arial"/>
        <family val="2"/>
      </rPr>
      <t>(2)</t>
    </r>
  </si>
  <si>
    <r>
      <t xml:space="preserve">      </t>
    </r>
    <r>
      <rPr>
        <b/>
        <sz val="8"/>
        <rFont val="Arial"/>
        <family val="2"/>
      </rPr>
      <t xml:space="preserve"> (2)</t>
    </r>
    <r>
      <rPr>
        <sz val="8"/>
        <rFont val="Arial"/>
        <family val="2"/>
      </rPr>
      <t xml:space="preserve"> No Ensino superior consideraram-se: Curso técnico superior profissional, Bacharelato, Licenciatura, Mestrado e Doutoramento.</t>
    </r>
  </si>
  <si>
    <r>
      <t>Nota:</t>
    </r>
    <r>
      <rPr>
        <sz val="8"/>
        <rFont val="Arial"/>
        <family val="2"/>
      </rPr>
      <t xml:space="preserve"> O Total inclui informação de empresas que não tinham pessoas ao serviço a 31 de outubro.</t>
    </r>
  </si>
  <si>
    <r>
      <t xml:space="preserve">Nota: </t>
    </r>
    <r>
      <rPr>
        <sz val="8"/>
        <rFont val="Arial"/>
        <family val="2"/>
      </rPr>
      <t>O Total inclui informação de estabelecimentos que não tinham pessoas ao serviço a 31 de outubro.</t>
    </r>
  </si>
  <si>
    <r>
      <t xml:space="preserve">Nota: </t>
    </r>
    <r>
      <rPr>
        <sz val="8"/>
        <rFont val="Arial"/>
        <family val="2"/>
      </rPr>
      <t>O Total inclui informação de empresas que não tinham pessoas ao serviço a 31 de outubro.</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</si>
  <si>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 (outubro).</t>
    </r>
  </si>
  <si>
    <t>Contrato Coletivo de Trabalho (CCT)</t>
  </si>
  <si>
    <t>Acordo Coletivo de Trabalho (ACT)</t>
  </si>
  <si>
    <t>Não Abrangidos por Reg. Coletiva</t>
  </si>
  <si>
    <r>
      <t xml:space="preserve">       </t>
    </r>
    <r>
      <rPr>
        <b/>
        <sz val="8"/>
        <rFont val="Arial"/>
        <family val="2"/>
      </rPr>
      <t xml:space="preserve"> (3)</t>
    </r>
    <r>
      <rPr>
        <sz val="8"/>
        <rFont val="Arial"/>
        <family val="2"/>
      </rPr>
      <t xml:space="preserve"> Portaria de Condições de Trabalho (PCT) cuja denominação foi estabelecida pelo Código do Trabalho, a partir de 2009 (Capítulo VI, art. 517.º,  Lei n.º 7/2009, de 12 de fevereiro), anteriormente denominada Portaria de Regulamentação do Trabalho (PRT).</t>
    </r>
  </si>
  <si>
    <r>
      <t xml:space="preserve"> </t>
    </r>
    <r>
      <rPr>
        <b/>
        <sz val="8"/>
        <rFont val="Arial"/>
        <family val="2"/>
      </rPr>
      <t xml:space="preserve">    (3) </t>
    </r>
    <r>
      <rPr>
        <sz val="8"/>
        <rFont val="Arial"/>
        <family val="2"/>
      </rPr>
      <t xml:space="preserve"> Portaria de Condições de Trabalho (PCT) cuja denominação foi estabelecida pelo Código do Trabalho, a partir de 2009 (Capítulo VI, art. 517.º,  Lei n.º 7/2009, de 12 de fevereiro), anteriormente denominada Portaria de Regulamentação do Trabalho (PRT).</t>
    </r>
  </si>
  <si>
    <r>
      <t xml:space="preserve">         </t>
    </r>
    <r>
      <rPr>
        <b/>
        <sz val="8"/>
        <rFont val="Arial"/>
        <family val="2"/>
      </rPr>
      <t xml:space="preserve"> (2)</t>
    </r>
    <r>
      <rPr>
        <sz val="8"/>
        <rFont val="Arial"/>
        <family val="2"/>
      </rPr>
      <t xml:space="preserve"> Portaria de Condições de Trabalho (PCT) cuja denominação foi estabelecida pelo Código do Trabalho, a partir de 2009 (Capítulo VI, art. 517.º,  Lei n.º 7/2009, de 12 de fevereiro), anteriormente denominada Portaria de Regulamentação do Trabalho (PRT).</t>
    </r>
  </si>
  <si>
    <t>Ano</t>
  </si>
  <si>
    <t>CAE</t>
  </si>
  <si>
    <t>Estabelecimentos</t>
  </si>
  <si>
    <t>Pessoas ao serviço</t>
  </si>
  <si>
    <t xml:space="preserve">Agricultura, produção animal, caça, floresta e pesca </t>
  </si>
  <si>
    <t>Eletricidade, gás, vapor, água quente e fria e ar frio</t>
  </si>
  <si>
    <t>Captação, trat. e dist. água; saneam., gest. resíduos e desp.</t>
  </si>
  <si>
    <t>Atividades de informação e de comunicação</t>
  </si>
  <si>
    <t>Atividades financeiras e de seguros</t>
  </si>
  <si>
    <t>Atividades de consultoria, científicas, técnicas e similares</t>
  </si>
  <si>
    <t>Administração pública e defesa; segurança social obrigatória</t>
  </si>
  <si>
    <t>Atividades artísticas, de espectáculos, desp. e recreativas</t>
  </si>
  <si>
    <t>Ativ. org. interna. e outras instituições extra-territoriais</t>
  </si>
  <si>
    <t>empresas</t>
  </si>
  <si>
    <t>estabelecimentos</t>
  </si>
  <si>
    <t>pessoas ao serviço</t>
  </si>
  <si>
    <t>Totais</t>
  </si>
  <si>
    <t>Empresas</t>
  </si>
  <si>
    <t>Empresas por dimensão</t>
  </si>
  <si>
    <t>Pessoal ao serviço (Nº)</t>
  </si>
  <si>
    <t>Micro (1-9 pessoas)</t>
  </si>
  <si>
    <t>Grandes</t>
  </si>
  <si>
    <t>&gt; 250</t>
  </si>
  <si>
    <t>Pequenas (10 - 49 pessoas)</t>
  </si>
  <si>
    <t>PME</t>
  </si>
  <si>
    <t>&lt; 250</t>
  </si>
  <si>
    <t>Médias (50 - 249 pessoas)</t>
  </si>
  <si>
    <t>Pequena</t>
  </si>
  <si>
    <t>&lt; 50</t>
  </si>
  <si>
    <t>Grandes (250 ou + pessoas)</t>
  </si>
  <si>
    <t>Microempresas</t>
  </si>
  <si>
    <t>&lt; 10</t>
  </si>
  <si>
    <t>Desconhecida</t>
  </si>
  <si>
    <t>Distrito</t>
  </si>
  <si>
    <t>https://ninjadoexcel.com.br/grafico-com-caixa-de-combinacao-no-excel/</t>
  </si>
  <si>
    <r>
      <t>Vá agora na </t>
    </r>
    <r>
      <rPr>
        <b/>
        <sz val="15"/>
        <color rgb="FF556367"/>
        <rFont val="Arial"/>
        <family val="2"/>
      </rPr>
      <t>Guia Desenvolvedor. </t>
    </r>
    <r>
      <rPr>
        <sz val="15"/>
        <color rgb="FF556367"/>
        <rFont val="Arial"/>
        <family val="2"/>
      </rPr>
      <t>No </t>
    </r>
    <r>
      <rPr>
        <b/>
        <sz val="15"/>
        <color rgb="FF556367"/>
        <rFont val="Arial"/>
        <family val="2"/>
      </rPr>
      <t>grupo Controles</t>
    </r>
    <r>
      <rPr>
        <sz val="15"/>
        <color rgb="FF556367"/>
        <rFont val="Arial"/>
        <family val="2"/>
      </rPr>
      <t>, clique em </t>
    </r>
    <r>
      <rPr>
        <b/>
        <sz val="15"/>
        <color rgb="FF556367"/>
        <rFont val="Arial"/>
        <family val="2"/>
      </rPr>
      <t>Inserir</t>
    </r>
    <r>
      <rPr>
        <sz val="15"/>
        <color rgb="FF556367"/>
        <rFont val="Arial"/>
        <family val="2"/>
      </rPr>
      <t> e escolha o botão: </t>
    </r>
    <r>
      <rPr>
        <b/>
        <sz val="15"/>
        <color rgb="FF556367"/>
        <rFont val="Arial"/>
        <family val="2"/>
      </rPr>
      <t>caixa de combinação:</t>
    </r>
  </si>
  <si>
    <t>Como habilitar a guia Desenvolvedor no Excel</t>
  </si>
  <si>
    <r>
      <t>Clique e </t>
    </r>
    <r>
      <rPr>
        <b/>
        <sz val="15"/>
        <color rgb="FF556367"/>
        <rFont val="Arial"/>
        <family val="2"/>
      </rPr>
      <t>arraste para desenhar a caixa</t>
    </r>
  </si>
  <si>
    <r>
      <t>Clique com o </t>
    </r>
    <r>
      <rPr>
        <b/>
        <sz val="15"/>
        <color rgb="FF556367"/>
        <rFont val="Arial"/>
        <family val="2"/>
      </rPr>
      <t>botão direito sobre a caixa e escolha a opção Formatar Controles:</t>
    </r>
  </si>
  <si>
    <r>
      <t>Na janela que se abre selecione o intervalo correspondente aos </t>
    </r>
    <r>
      <rPr>
        <b/>
        <sz val="15"/>
        <color rgb="FF556367"/>
        <rFont val="Arial"/>
        <family val="2"/>
      </rPr>
      <t>nomes dos vendedores</t>
    </r>
    <r>
      <rPr>
        <sz val="15"/>
        <color rgb="FF556367"/>
        <rFont val="Arial"/>
        <family val="2"/>
      </rPr>
      <t> para </t>
    </r>
    <r>
      <rPr>
        <b/>
        <sz val="15"/>
        <color rgb="FF556367"/>
        <rFont val="Arial"/>
        <family val="2"/>
      </rPr>
      <t>Intervalo de Entrada</t>
    </r>
    <r>
      <rPr>
        <sz val="15"/>
        <color rgb="FF556367"/>
        <rFont val="Arial"/>
        <family val="2"/>
      </rPr>
      <t>:</t>
    </r>
  </si>
  <si>
    <r>
      <t>Para </t>
    </r>
    <r>
      <rPr>
        <b/>
        <sz val="10"/>
        <rFont val="Arial"/>
        <family val="2"/>
      </rPr>
      <t>Vínculo da Célula</t>
    </r>
    <r>
      <rPr>
        <sz val="10"/>
        <rFont val="Arial"/>
        <family val="2"/>
      </rPr>
      <t> podemos escolher uma célula qualquer, mas para trabalharmos de maneira organizada deixamos a </t>
    </r>
    <r>
      <rPr>
        <b/>
        <sz val="10"/>
        <rFont val="Arial"/>
        <family val="2"/>
      </rPr>
      <t>célula Controle (K3) par receber está informarção</t>
    </r>
    <r>
      <rPr>
        <sz val="10"/>
        <rFont val="Arial"/>
        <family val="2"/>
      </rPr>
      <t>:</t>
    </r>
  </si>
  <si>
    <r>
      <t>Para </t>
    </r>
    <r>
      <rPr>
        <b/>
        <sz val="10"/>
        <rFont val="Arial"/>
        <family val="2"/>
      </rPr>
      <t>Linhas Suspensas</t>
    </r>
    <r>
      <rPr>
        <sz val="10"/>
        <rFont val="Arial"/>
        <family val="2"/>
      </rPr>
      <t> </t>
    </r>
    <r>
      <rPr>
        <b/>
        <sz val="10"/>
        <rFont val="Arial"/>
        <family val="2"/>
      </rPr>
      <t>digite a quantidade de funcionários</t>
    </r>
    <r>
      <rPr>
        <sz val="10"/>
        <rFont val="Arial"/>
        <family val="2"/>
      </rPr>
      <t> que temos em nossa planilha. </t>
    </r>
    <r>
      <rPr>
        <b/>
        <sz val="10"/>
        <rFont val="Arial"/>
        <family val="2"/>
      </rPr>
      <t>Em nosso caso, 4</t>
    </r>
    <r>
      <rPr>
        <sz val="10"/>
        <rFont val="Arial"/>
        <family val="2"/>
      </rPr>
      <t>:</t>
    </r>
  </si>
  <si>
    <t>Marque, se quiser o Sombreamento 3D, isso dará um retoque no visual de sua caixa de combinação.</t>
  </si>
  <si>
    <t>Pressione Ok</t>
  </si>
  <si>
    <r>
      <t>Clique na caixa</t>
    </r>
    <r>
      <rPr>
        <sz val="10"/>
        <rFont val="Arial"/>
        <family val="2"/>
      </rPr>
      <t> e veja que os nomes foram adicionados a ela:</t>
    </r>
  </si>
  <si>
    <t>Escolha um nome qualquer e perceba que de acordo com sua ordem é gerado um número na célula vinculo:</t>
  </si>
  <si>
    <t>Se trocar o nome o número mudará automaticamente.</t>
  </si>
  <si>
    <r>
      <t>Clique na célula onde queremos que apareça o nome do funcionário e digite um </t>
    </r>
    <r>
      <rPr>
        <b/>
        <sz val="10"/>
        <rFont val="Arial"/>
        <family val="2"/>
      </rPr>
      <t>=ÍNDICE</t>
    </r>
    <r>
      <rPr>
        <sz val="10"/>
        <rFont val="Arial"/>
        <family val="2"/>
      </rPr>
      <t>:</t>
    </r>
  </si>
  <si>
    <r>
      <t>Para </t>
    </r>
    <r>
      <rPr>
        <b/>
        <sz val="10"/>
        <rFont val="Arial"/>
        <family val="2"/>
      </rPr>
      <t>Matriz</t>
    </r>
    <r>
      <rPr>
        <sz val="10"/>
        <rFont val="Arial"/>
        <family val="2"/>
      </rPr>
      <t> selecione o </t>
    </r>
    <r>
      <rPr>
        <b/>
        <sz val="10"/>
        <rFont val="Arial"/>
        <family val="2"/>
      </rPr>
      <t>nome dos Funcionários</t>
    </r>
    <r>
      <rPr>
        <sz val="10"/>
        <rFont val="Arial"/>
        <family val="2"/>
      </rPr>
      <t>:</t>
    </r>
  </si>
  <si>
    <r>
      <t>Para </t>
    </r>
    <r>
      <rPr>
        <b/>
        <sz val="10"/>
        <rFont val="Arial"/>
        <family val="2"/>
      </rPr>
      <t>núm_linha</t>
    </r>
    <r>
      <rPr>
        <sz val="10"/>
        <rFont val="Arial"/>
        <family val="2"/>
      </rPr>
      <t> selecione a </t>
    </r>
    <r>
      <rPr>
        <b/>
        <sz val="10"/>
        <rFont val="Arial"/>
        <family val="2"/>
      </rPr>
      <t>célula vinculo</t>
    </r>
    <r>
      <rPr>
        <sz val="10"/>
        <rFont val="Arial"/>
        <family val="2"/>
      </rPr>
      <t>:</t>
    </r>
  </si>
  <si>
    <r>
      <t>Pressione </t>
    </r>
    <r>
      <rPr>
        <b/>
        <sz val="10"/>
        <rFont val="Arial"/>
        <family val="2"/>
      </rPr>
      <t>Enter </t>
    </r>
    <r>
      <rPr>
        <sz val="10"/>
        <rFont val="Arial"/>
        <family val="2"/>
      </rPr>
      <t>e verifique se o nome que se encontra em sua caixa de combinação é o mesmo que apareceu ao concluir sua função:</t>
    </r>
  </si>
  <si>
    <t>Troque o nome da caixa de combinação para ver o resultado. Modificou o nome e o número da célula vinculo?</t>
  </si>
  <si>
    <r>
      <t>Clique </t>
    </r>
    <r>
      <rPr>
        <b/>
        <sz val="10"/>
        <rFont val="Arial"/>
        <family val="2"/>
      </rPr>
      <t>abaixo de Janeiro</t>
    </r>
    <r>
      <rPr>
        <sz val="10"/>
        <rFont val="Arial"/>
        <family val="2"/>
      </rPr>
      <t> para continuarmos. Digite </t>
    </r>
    <r>
      <rPr>
        <b/>
        <sz val="10"/>
        <rFont val="Arial"/>
        <family val="2"/>
      </rPr>
      <t>=PROCV(</t>
    </r>
  </si>
  <si>
    <t>Clique aqui para aprender sobre a função PROCV no Excel</t>
  </si>
  <si>
    <t>Siga o Gif abaixo para completar a tarefa:</t>
  </si>
  <si>
    <t>Troque mais uma vez o nome do funcionário na caixa de combinação e veja que todos os resultados mudam automaticamente:</t>
  </si>
  <si>
    <t>Agora sim vamos finalmente criar nosso gráfico com caixa de combinação no Excel. É simples. Basta selecionar nossa nova planilha:</t>
  </si>
  <si>
    <r>
      <t>Ir na </t>
    </r>
    <r>
      <rPr>
        <b/>
        <sz val="10"/>
        <rFont val="Arial"/>
        <family val="2"/>
      </rPr>
      <t>Guia Inserir</t>
    </r>
    <r>
      <rPr>
        <sz val="10"/>
        <rFont val="Arial"/>
        <family val="2"/>
      </rPr>
      <t> e em Gráficos e</t>
    </r>
    <r>
      <rPr>
        <b/>
        <sz val="10"/>
        <rFont val="Arial"/>
        <family val="2"/>
      </rPr>
      <t>scolher o gráfico que desejar</t>
    </r>
    <r>
      <rPr>
        <sz val="10"/>
        <rFont val="Arial"/>
        <family val="2"/>
      </rPr>
      <t>:</t>
    </r>
  </si>
  <si>
    <t>Organize-o de modo que o mesmo fique em cima de nossa nova planilha para que ninguém a perceba (esse é nosso segredo, mas não deixe de espalha-lo com seus amigos):</t>
  </si>
  <si>
    <t>Agora chame seus funcionários e faça sua reunião.</t>
  </si>
  <si>
    <t>Faça uma Busca</t>
  </si>
  <si>
    <t>Ranking 5 mais</t>
  </si>
  <si>
    <t>Dimensão</t>
  </si>
  <si>
    <t>Rótulos de Linha</t>
  </si>
  <si>
    <t>Total Geral</t>
  </si>
  <si>
    <t>Rótulos de Coluna</t>
  </si>
  <si>
    <t xml:space="preserve">Micro </t>
  </si>
  <si>
    <t>Médias</t>
  </si>
  <si>
    <t xml:space="preserve"> Remuneração média mensal base</t>
  </si>
  <si>
    <t>Remuneração média mensal ganho</t>
  </si>
  <si>
    <t>Auxiliar para determinar remuneração média agrupada em micro, pequenas, médias e grandes empresas</t>
  </si>
  <si>
    <t xml:space="preserve">1) Multiplicar o número de TCO das remunerações (q11) pelo valor da remuneração média (q18);2) Agregar somando os TCO e as remunerações pela dimensão. Posteriormente, dividir a remuneração total pelo número de TCO da dimensão </t>
  </si>
  <si>
    <t>Remuneração base mensal total = N.º TCO (q11)* remuneração média mensal base (q18)</t>
  </si>
  <si>
    <t>Remuneração ganho mensal total = N.º TCO (q11)* remuneração média mensal ganho (q26)</t>
  </si>
  <si>
    <t xml:space="preserve">1) Multiplicar o número de TCO das remunerações (q11) pelo valor da remuneração média (q26);2) Agregar somando os TCO e as remunerações pela dimensão. Posteriormente, dividir a remuneração total pelo número de TCO da dimensão </t>
  </si>
  <si>
    <t>Remuneração base</t>
  </si>
  <si>
    <t>Remuneração ganho</t>
  </si>
  <si>
    <t>Remuneração base, Remuneração ganho, Média mensal, CAE</t>
  </si>
  <si>
    <t>Selecionar CAE</t>
  </si>
  <si>
    <t>Tipo Remuneração</t>
  </si>
  <si>
    <t>Valor</t>
  </si>
  <si>
    <t>Remuneração Base</t>
  </si>
  <si>
    <t>Remuneração Ganho</t>
  </si>
  <si>
    <t>Soma de Valor</t>
  </si>
  <si>
    <t>Sexo</t>
  </si>
  <si>
    <t>Pequenas</t>
  </si>
  <si>
    <r>
      <rPr>
        <sz val="10"/>
        <color rgb="FFFF0000"/>
        <rFont val="Arial"/>
        <family val="2"/>
      </rPr>
      <t xml:space="preserve">APOIO - COMO TER 2 CAIXAS DE SEGMENTAÇÃO EM QUE 2 DELAS CONTROLAM SÓ 1 GRÁFICO, E 1 DELAS CONTROLA OS 2 GRÁFICOS </t>
    </r>
    <r>
      <rPr>
        <sz val="10"/>
        <rFont val="Arial"/>
        <family val="2"/>
      </rPr>
      <t>: 1º fazer listagem; 2º fazer tab. Dinâmica (ano linha, CAE coluna e Soma); 3º inserir segmentação Tipo e CAE; 4º copiar tabela dinamica e alterar condições para ano em linha e soma; 5º selecionar segmentação 'Tipo' e botão lado direito 'ligação relatórios' (ligar só à 1ª tab dinamica, a segmentação 'CAE' ligar às 2 tabelas dinamicas; 6º clicar na 1ª tab dinamica e construir gráfico e clicar na 2ª tab dinamica e construir grafico</t>
    </r>
  </si>
  <si>
    <t>Base</t>
  </si>
  <si>
    <t>Ganho</t>
  </si>
  <si>
    <t>Distritos</t>
  </si>
  <si>
    <t>Anos</t>
  </si>
  <si>
    <t>Estabele-
cimentos</t>
  </si>
  <si>
    <t xml:space="preserve">Variação </t>
  </si>
  <si>
    <t>Rem base</t>
  </si>
  <si>
    <t>Rem ganho</t>
  </si>
  <si>
    <t>Maior</t>
  </si>
  <si>
    <t>Menor</t>
  </si>
  <si>
    <t>BASE</t>
  </si>
  <si>
    <t>GANHO</t>
  </si>
  <si>
    <t>S20</t>
  </si>
  <si>
    <t>AI22</t>
  </si>
  <si>
    <t>AI23</t>
  </si>
  <si>
    <t>AJ22</t>
  </si>
  <si>
    <t>AJ23</t>
  </si>
  <si>
    <t>Análise automática =&gt; muda o distrito</t>
  </si>
  <si>
    <t xml:space="preserve"> empresas (</t>
  </si>
  <si>
    <t xml:space="preserve"> estabelecimentos (</t>
  </si>
  <si>
    <t>AE22</t>
  </si>
  <si>
    <t>AG25</t>
  </si>
  <si>
    <t>AG26</t>
  </si>
  <si>
    <t>%</t>
  </si>
  <si>
    <t>AE23</t>
  </si>
  <si>
    <t>S60</t>
  </si>
  <si>
    <t>AE62</t>
  </si>
  <si>
    <t xml:space="preserve"> pessoas (</t>
  </si>
  <si>
    <t>AG65</t>
  </si>
  <si>
    <t>AI62</t>
  </si>
  <si>
    <t>AJ62</t>
  </si>
  <si>
    <t>AE63</t>
  </si>
  <si>
    <t>AG66</t>
  </si>
  <si>
    <t>AI63</t>
  </si>
  <si>
    <t>AJ63</t>
  </si>
  <si>
    <t xml:space="preserve"> tinham ao seu serviço </t>
  </si>
  <si>
    <t>AE102</t>
  </si>
  <si>
    <t>S100</t>
  </si>
  <si>
    <t xml:space="preserve"> euros (</t>
  </si>
  <si>
    <t>AG105</t>
  </si>
  <si>
    <t>AI102</t>
  </si>
  <si>
    <t>AJ102</t>
  </si>
  <si>
    <t xml:space="preserve"> a remuneração média mensal base era de </t>
  </si>
  <si>
    <t>AE103</t>
  </si>
  <si>
    <t>AG106</t>
  </si>
  <si>
    <t>AI103</t>
  </si>
  <si>
    <t>AJ103</t>
  </si>
  <si>
    <t xml:space="preserve"> euros a remuneração média mensal ganho (</t>
  </si>
  <si>
    <t>Análise automática a variar com distrito e ano</t>
  </si>
  <si>
    <t>AL18</t>
  </si>
  <si>
    <t xml:space="preserve">Ranking Empresas </t>
  </si>
  <si>
    <t>Ranking Estabelecimentos</t>
  </si>
  <si>
    <t>% empresas</t>
  </si>
  <si>
    <t>% estabelecimentos</t>
  </si>
  <si>
    <t>º de 18 distritos).</t>
  </si>
  <si>
    <t xml:space="preserve">% do Continente, sendo o </t>
  </si>
  <si>
    <t>AS18</t>
  </si>
  <si>
    <t>% pessoas</t>
  </si>
  <si>
    <t>% TCO</t>
  </si>
  <si>
    <t xml:space="preserve">Ranking Pessoas </t>
  </si>
  <si>
    <t>Ranking TCO</t>
  </si>
  <si>
    <t xml:space="preserve"> estabelecimentos (constituindo </t>
  </si>
  <si>
    <t xml:space="preserve">% do Continente, ocupando a </t>
  </si>
  <si>
    <t xml:space="preserve">º posição entre 18 distritos) e  </t>
  </si>
  <si>
    <t>% var. base</t>
  </si>
  <si>
    <t>% var ganho</t>
  </si>
  <si>
    <t xml:space="preserve">Ranking base </t>
  </si>
  <si>
    <t>Ranking ganho</t>
  </si>
  <si>
    <t>AZ18</t>
  </si>
  <si>
    <t>dif base face continente</t>
  </si>
  <si>
    <t>dif ganho face continente</t>
  </si>
  <si>
    <t xml:space="preserve">% que no Continente, sendo o </t>
  </si>
  <si>
    <t>As caixas de texto com fórmulas têm limitação de caracteres (255), cuidado ao alterar texto, se ultrapassar os 255 caracteres o texto não aparece todo</t>
  </si>
  <si>
    <t xml:space="preserve">º de 18 distritos) e  </t>
  </si>
  <si>
    <t xml:space="preserve"> empresas (equivalendo a </t>
  </si>
  <si>
    <t>Grupo etário</t>
  </si>
  <si>
    <t>18 - 24 anos</t>
  </si>
  <si>
    <t>25 - 34 anos</t>
  </si>
  <si>
    <t>35 - 44 anos</t>
  </si>
  <si>
    <t>45 - 54 anos</t>
  </si>
  <si>
    <t>55 - 64 anos</t>
  </si>
  <si>
    <t>Rem Base</t>
  </si>
  <si>
    <t xml:space="preserve">1) Multiplicar o número de TCO por grupo etário (q13) pelo valor da remuneração média (q20);2) Agregar somando os TCO e as remunerações pelos grupos etários. Posteriormente, dividir a remuneração total pelo número de TCO. </t>
  </si>
  <si>
    <t>Remuneração base mensal total = N.º TCO (q13)* remuneração média mensal base (q20)</t>
  </si>
  <si>
    <t xml:space="preserve">1) Multiplicar o número de TCO por grupo etário (q13) pelo valor da remuneração média (q28);2) Agregar somando os TCO e as remunerações pelos grupos etários. Posteriormente, dividir a remuneração total pelo número de TCO. </t>
  </si>
  <si>
    <t>Auxiliar para determinar remuneração média agrupada em diferentes grupos etários (agrupar em 25-34, 35-44, 45-54 e 55-64, mantendo os restantes)</t>
  </si>
  <si>
    <t>Rem Ganho</t>
  </si>
  <si>
    <t>Nível qualificação</t>
  </si>
  <si>
    <t>Profissionais altamente qualificados</t>
  </si>
  <si>
    <t>Profissionais semi-qualificados</t>
  </si>
  <si>
    <t>Encarregados, contramestres e chefes de equipa</t>
  </si>
  <si>
    <t>ÍNDICE($B$16:$M$24;CORRESP($Q$16:$Q$23;$B$16:$B$24;0);CORRESP($P$14;$B$16:$M$16;0))</t>
  </si>
  <si>
    <t>Tipo de remuneração</t>
  </si>
  <si>
    <t>Nível habilitação</t>
  </si>
  <si>
    <t>&lt; 1.º ciclo do ensino básico</t>
  </si>
  <si>
    <t>Ensino superior</t>
  </si>
  <si>
    <t>Q30</t>
  </si>
  <si>
    <t>Remuneração</t>
  </si>
  <si>
    <t>Ensino superior**</t>
  </si>
  <si>
    <t>Gráficos das remunerações alterando apenas com o ano</t>
  </si>
  <si>
    <t>Média</t>
  </si>
  <si>
    <t>Mediana</t>
  </si>
  <si>
    <t>Base - H</t>
  </si>
  <si>
    <t>Base - M</t>
  </si>
  <si>
    <t>Base - T</t>
  </si>
  <si>
    <t>Ganho - T</t>
  </si>
  <si>
    <t>Ganho - H</t>
  </si>
  <si>
    <t>Ganho - M</t>
  </si>
  <si>
    <t xml:space="preserve">Base </t>
  </si>
  <si>
    <t>Escalão de remuneração</t>
  </si>
  <si>
    <t>Ganho - TCO</t>
  </si>
  <si>
    <t>Base - %TCO</t>
  </si>
  <si>
    <t>*Retribuição Mínima Mensal Garantida (RMMG) - Continente 2011=485,00 euros; 2012=485,00 euros; 2013=485,00 euros; 2014=505,00 euros; 2015=505,00 euros; 2016=530,00 euros; 2017=557,00 euros; 2018=580,00 euros; 2019=600,00 euros; 2020=635,00 euros e 2021 = 665,00 euros.</t>
  </si>
  <si>
    <t>** trabalhadores por conta de outrem a tempo completo, que auferiram remuneração completa no período de referência.</t>
  </si>
  <si>
    <t>&lt; RMMG**</t>
  </si>
  <si>
    <t>Portaria de Cond. de Trabalho (PCT)</t>
  </si>
  <si>
    <t xml:space="preserve">TCO </t>
  </si>
  <si>
    <t>Não Abrangidos por Regulamentação Coletiva</t>
  </si>
  <si>
    <t>Quadro 24 - Ganho mensal (1) mediano, médio por decil e limiar de baixos salários</t>
  </si>
  <si>
    <t>Ganho mensal mediano (euros)</t>
  </si>
  <si>
    <t>Ganho mensal - média por decil (euros)</t>
  </si>
  <si>
    <t>Limiar de baixos salários (2) (euros)</t>
  </si>
  <si>
    <t xml:space="preserve">   Incidência de baixos salários (%)</t>
  </si>
  <si>
    <t>Limiar de baixos salários (euros)</t>
  </si>
  <si>
    <t>Incidência de baixos salários (%) - Total</t>
  </si>
  <si>
    <t>Incidência de baixos salários (%) - Homens</t>
  </si>
  <si>
    <t>Incidência de baixos salários (%) - Mulheres</t>
  </si>
  <si>
    <t>S90/S10</t>
  </si>
  <si>
    <t>S80/S20</t>
  </si>
  <si>
    <t>Desigualdade</t>
  </si>
  <si>
    <t>Retribuição Mínima Mensal Garantida (RMMG)</t>
  </si>
  <si>
    <t>D10</t>
  </si>
  <si>
    <t>D1</t>
  </si>
  <si>
    <t>D2</t>
  </si>
  <si>
    <t>D5</t>
  </si>
  <si>
    <t>D9</t>
  </si>
  <si>
    <t xml:space="preserve"> TCO, dos quais </t>
  </si>
  <si>
    <t xml:space="preserve"> onde a taxa de feminização era de </t>
  </si>
  <si>
    <t>var M/H</t>
  </si>
  <si>
    <t>Remuneração base, Remuneração ganho, Média mensal, Sexo</t>
  </si>
  <si>
    <t>Dimensão da empresa</t>
  </si>
  <si>
    <t>Análise</t>
  </si>
  <si>
    <t>M/H %base</t>
  </si>
  <si>
    <t>M/H %ganho</t>
  </si>
  <si>
    <t>Caso se acrescente colunas</t>
  </si>
  <si>
    <t>) e</t>
  </si>
  <si>
    <t>).</t>
  </si>
  <si>
    <t>:</t>
  </si>
  <si>
    <t xml:space="preserve">% da dos Homens (H), entre </t>
  </si>
  <si>
    <t>% da dos H (</t>
  </si>
  <si>
    <t xml:space="preserve">% da dos H, entre </t>
  </si>
  <si>
    <t>Base Mulheres =</t>
  </si>
  <si>
    <t>Ganho Mulheres =</t>
  </si>
  <si>
    <t xml:space="preserve">O distrito de </t>
  </si>
  <si>
    <t xml:space="preserve"> era a sede de </t>
  </si>
  <si>
    <t xml:space="preserve">As empresas do distrito de </t>
  </si>
  <si>
    <t>No distrito de</t>
  </si>
  <si>
    <t xml:space="preserve">era a sede de </t>
  </si>
  <si>
    <t xml:space="preserve">Era também a localização de </t>
  </si>
  <si>
    <t>º de 18 distritos);</t>
  </si>
  <si>
    <t xml:space="preserve">TCO ( </t>
  </si>
  <si>
    <t xml:space="preserve">No distrito de </t>
  </si>
  <si>
    <t xml:space="preserve">Existiam </t>
  </si>
  <si>
    <t xml:space="preserve">A taxa de feminização era de </t>
  </si>
  <si>
    <t>Continente:</t>
  </si>
  <si>
    <t>Base:</t>
  </si>
  <si>
    <t>B/G</t>
  </si>
  <si>
    <t xml:space="preserve">) e </t>
  </si>
  <si>
    <t>Ganho:</t>
  </si>
  <si>
    <t>Entre</t>
  </si>
  <si>
    <t>e</t>
  </si>
  <si>
    <t>B M/H</t>
  </si>
  <si>
    <t>G M/H</t>
  </si>
  <si>
    <t>Base média:</t>
  </si>
  <si>
    <t>Ganho médio:</t>
  </si>
  <si>
    <t>Base mediana:</t>
  </si>
  <si>
    <t>Ganho mediano:</t>
  </si>
  <si>
    <t>ABRTANGIDOS</t>
  </si>
  <si>
    <t>confirmados os cálculos, estão corretos</t>
  </si>
  <si>
    <t>Micro</t>
  </si>
  <si>
    <t>Pequenos</t>
  </si>
  <si>
    <t>Médios</t>
  </si>
  <si>
    <r>
      <rPr>
        <b/>
        <u/>
        <sz val="11"/>
        <rFont val="Calibri"/>
        <family val="2"/>
        <scheme val="minor"/>
      </rPr>
      <t>Alguns conceitos</t>
    </r>
    <r>
      <rPr>
        <b/>
        <sz val="11"/>
        <rFont val="Calibri"/>
        <family val="2"/>
        <scheme val="minor"/>
      </rPr>
      <t xml:space="preserve">
Empresa</t>
    </r>
    <r>
      <rPr>
        <sz val="11"/>
        <rFont val="Calibri"/>
        <family val="2"/>
        <scheme val="minor"/>
      </rPr>
      <t xml:space="preserve"> - unidade organizacional de produção de bens e/ou serviços, usufruindo de uma certa autonomia de decisão, nomeadamente, quanto à afetação dos seus recursos correntes. Uma empresa exerce uma ou mais atividades em um ou vários locais. A informação recolhida das empresas passa pela descrição de algumas características da empresa sede, nomeadamente a sua localização e n.º de pessoas ao serviço.
</t>
    </r>
    <r>
      <rPr>
        <b/>
        <sz val="11"/>
        <rFont val="Calibri"/>
        <family val="2"/>
        <scheme val="minor"/>
      </rPr>
      <t>Atividade Principal da Empresa</t>
    </r>
    <r>
      <rPr>
        <sz val="11"/>
        <rFont val="Calibri"/>
        <family val="2"/>
        <scheme val="minor"/>
      </rPr>
      <t xml:space="preserve"> - atividade de acordo com a Classificação Portuguesa das Atividades Económicas (CAE) em vigor. É considerada a atividade de maior importância, no conjunto das atividades exercidas pela empresa, medida pelo valor a preços de venda dos produtos vendidos ou fabricados ou dos serviços prestados. Na impossibilidade da sua determinação por este critério, considera-se como principal a que ocupa, com carácter de permanência, o maior número de pessoas ao serviço.
</t>
    </r>
    <r>
      <rPr>
        <b/>
        <sz val="11"/>
        <rFont val="Calibri"/>
        <family val="2"/>
        <scheme val="minor"/>
      </rPr>
      <t>Estabelecimento</t>
    </r>
    <r>
      <rPr>
        <sz val="11"/>
        <rFont val="Calibri"/>
        <family val="2"/>
        <scheme val="minor"/>
      </rPr>
      <t xml:space="preserve"> - unidade económica que, sob um único regime de propriedade ou de controlo (quer dizer, sob a autoridade de uma só entidade jurídica), exerce, exclusiva ou principalmente, um só tipo de atividade económica, num só local. Unidade local ou estabelecimento corresponde a uma empresa ou parte de empresa situada num local topograficamente identificado. Nesse local, ou a partir dele exerce-se uma ou várias atividades económicas. A informação recolhida dos estabelecimentos, é fornecida ao GEP pela empresa sede e passa pela descrição de algumas características do estabelecimento, nomeadamente a sua localização e n.º de pessoas ao serviço.
</t>
    </r>
    <r>
      <rPr>
        <b/>
        <sz val="11"/>
        <rFont val="Calibri"/>
        <family val="2"/>
        <scheme val="minor"/>
      </rPr>
      <t>Instrumento de regulamentação coletiva de trabalho (IRCT)</t>
    </r>
    <r>
      <rPr>
        <sz val="11"/>
        <rFont val="Calibri"/>
        <family val="2"/>
        <scheme val="minor"/>
      </rPr>
      <t xml:space="preserve"> - conjunto de normas reguladoras das relações de trabalho de natureza convencional, arbitral ou regulamentar. Pode ser: Contrato coletivo de trabalho (CCT): conjunto de normas reguladoras das relações de trabalho resultante de acordo entre uma ou mais associações de empregadores e uma ou mais associações sindicais; Acordo coletivo de trabalho (ACT): conjunto de normas reguladoras das relações de trabalho resultante de acordo entre uma pluralidade de empregadores para diferentes empresas e uma ou mais associações sindicais; Acordo de empresa (AE): conjunto de normas reguladoras das relações de trabalho resultante de acordo entre um empregador para uma empresa ou estabelecimento e uma ou mais associações sindicais; Portaria de condições de trabalho (PCT) - portaria que contém as normas reguladoras das condições de trabalho no seu âmbito de aplicação. 
</t>
    </r>
    <r>
      <rPr>
        <b/>
        <sz val="11"/>
        <rFont val="Calibri"/>
        <family val="2"/>
        <scheme val="minor"/>
      </rPr>
      <t xml:space="preserve">Pessoas ao serviço </t>
    </r>
    <r>
      <rPr>
        <sz val="11"/>
        <rFont val="Calibri"/>
        <family val="2"/>
        <scheme val="minor"/>
      </rPr>
      <t xml:space="preserve">– número de pessoas ao serviço, independentemente do tipo de vínculo que possuem. As pessoas ao serviço englobam para além dos trabalhadores por conta de outrem, os empregadores desde que exerçam funções na empresa, os trabalhadores familiares não remunerados e os membros ativos de cooperativa de produção. A informação das pessoas ao serviço é recolhida por estabelecimento, sendo fornecida ao GEP pela empresa sede, inclui dados sobre remunerações e passa pela descrição de algumas características, nomeadamente a data de nascimento, o sexo, o nível de qualificação e o nível de habilitação. 
</t>
    </r>
    <r>
      <rPr>
        <b/>
        <sz val="11"/>
        <rFont val="Calibri"/>
        <family val="2"/>
        <scheme val="minor"/>
      </rPr>
      <t>Trabalhador por conta de outrem (TCO)</t>
    </r>
    <r>
      <rPr>
        <sz val="11"/>
        <rFont val="Calibri"/>
        <family val="2"/>
        <scheme val="minor"/>
      </rPr>
      <t xml:space="preserve"> - indivíduo que exerce uma atividade sob a autoridade e direção de outrem, nos termos de um contrato de trabalho, sujeito ou não a uma forma escrita e que lhe confere o direito a uma remuneração, a qual não depende dos resultados da unidade económica para a qual trabalha. </t>
    </r>
  </si>
  <si>
    <t>Pequenos (10 - 49 pessoas)</t>
  </si>
  <si>
    <t>Médios (50 - 249 pessoas)</t>
  </si>
  <si>
    <t>legenda comum aos 3 gráficos</t>
  </si>
  <si>
    <t>3+</t>
  </si>
  <si>
    <t>Exceção</t>
  </si>
  <si>
    <t xml:space="preserve">NOTA: </t>
  </si>
  <si>
    <t xml:space="preserve">NOTAS: </t>
  </si>
  <si>
    <t>1 - Ver se o texto é coerente, a ideia é apresentar as 3 CAE mais relevantes no último ano da série (% face ao total) versus a sua situação no primeiro ano da série. Consoante as CAE se alterem ou não, poderá ser necessário adaptar a(s) fórmula(s).</t>
  </si>
  <si>
    <t>2 - Atenção ao limite de caracteres das caixas de texto com fórmula. Se necessário, pode-se reduzir a denominação das CAE na folha "Aux".</t>
  </si>
  <si>
    <t>;</t>
  </si>
  <si>
    <t xml:space="preserve"> das estruturas;</t>
  </si>
  <si>
    <t xml:space="preserve"> e </t>
  </si>
  <si>
    <t xml:space="preserve">Atenção ao limite de caracteres das caixas de texto com fórmula. </t>
  </si>
  <si>
    <t>NOTA:  Por uma questão de visualização, optou-se por colocar rótulos de dados no gráfico das 5 CAE com maior expressão, uma vez que são sempre as mesmas (apenas se alterando a ordem) ao longo de toda a série (ver ranking células A70 a V74 e A79 a V83)</t>
  </si>
  <si>
    <t>NOTA:  Por uma questão de visualização, optou-se por colocar rótulos de dados no gráfico das 5 CAE com maior expressão (ver ranking células A70 a V74 e A79 a V83)</t>
  </si>
  <si>
    <t>Ativ. de saúde humana e apoio social</t>
  </si>
  <si>
    <t xml:space="preserve"> das pessoas (entre </t>
  </si>
  <si>
    <t xml:space="preserve"> dos TCO (entre </t>
  </si>
  <si>
    <t xml:space="preserve">NOTA: Sempre que exista nova série, atualizar a tabela dinâmica (linhas 80 a 93) - Ferramentas de Tabela Dinâmica - Analisar - Atualizar - Verificar se é necessário ajustar o eixo do gráfico e se todos os rótulos estão visíveis (terão de ser novamente formatados). </t>
  </si>
  <si>
    <t>Na folha "Estrutura Empresarial_Rem" as caixas de segmentação de dados poderão deixar de funcionar, pelo que terá de se copiar as caixas da presente folha e substituir as constantes na folha "Estrutura Empresarial_Rem".</t>
  </si>
  <si>
    <t>(Itens múltiplos)</t>
  </si>
  <si>
    <t xml:space="preserve">NOTA: Sempre que exista nova série, atualizar as tabelas dinâmicas (linhas 5 a 19, 25 a 38 e 41 a 43) - Ferramentas de Tabela Dinâmica - Analisar - Atualizar - Verificar se é necessário ajustar o eixo do gráfico e se todos os rótulos estão visíveis (terão de ser novamente formatados). </t>
  </si>
  <si>
    <t>ATENÇÃO: são dois gráficos independentes que foram agrupados, estando apenas visível o eixo de um gráfico. Ao atualizar para uma nova série, confirmar que os dois gráficos têm eixos iguais e, se necessário, ajustar os valores do eixo.</t>
  </si>
  <si>
    <t>Análise remuneração base</t>
  </si>
  <si>
    <t>Análise remuneração ganho</t>
  </si>
  <si>
    <t>Texto automático</t>
  </si>
  <si>
    <t>Atualizar manualmente, ou caso se prescinda do sublinhado e do bold, usar o texto automático linhas 84 e 94</t>
  </si>
  <si>
    <t>Empresas/Estabelecimentos</t>
  </si>
  <si>
    <t>Pessoas ao serviço/TCO</t>
  </si>
  <si>
    <t>Rem base/ganho</t>
  </si>
  <si>
    <t xml:space="preserve"> tinham entre 25 e 44 anos; </t>
  </si>
  <si>
    <t xml:space="preserve"> do Ganho, entre</t>
  </si>
  <si>
    <t xml:space="preserve"> (</t>
  </si>
  <si>
    <t xml:space="preserve">  (</t>
  </si>
  <si>
    <t>, nos mesmos grupos etários, respetivamente.</t>
  </si>
  <si>
    <t xml:space="preserve"> da dos Homens (H), entre </t>
  </si>
  <si>
    <t xml:space="preserve"> da dos H, entre </t>
  </si>
  <si>
    <t xml:space="preserve"> da dos H (</t>
  </si>
  <si>
    <t xml:space="preserve"> dos TCO eram profissionais qualificados e semi-qualificados,</t>
  </si>
  <si>
    <t xml:space="preserve"> e de</t>
  </si>
  <si>
    <t>, respetivamente.</t>
  </si>
  <si>
    <t>, nos mesmos níveis de qualificação, respetivamente.</t>
  </si>
  <si>
    <t xml:space="preserve"> dos TCO tinham os Ensinos Secundário e Superior completos.</t>
  </si>
  <si>
    <t>, nos mesmos níveis de habilitação, respetivamente.</t>
  </si>
  <si>
    <t>Análise:</t>
  </si>
  <si>
    <t>Proporção de TCO com remuneração Base:</t>
  </si>
  <si>
    <t>face a</t>
  </si>
  <si>
    <t>NOTA: o valor -8,2p.p. está errado (o correto é +8,2 p.p), foi enviado errado, entretanto corrigido em 15/12/2023</t>
  </si>
  <si>
    <t>Atualizar manualmente, ou caso se prescinda do sublinhado e do bold, usar o texto automático linhas 38 a 41</t>
  </si>
  <si>
    <t>Proporção de TCO com remuneração Ganho:</t>
  </si>
  <si>
    <t>Atualizar manualmente, ou caso se prescinda do sublinhado e do bold, usar o texto automático linhas 33 a 36.</t>
  </si>
  <si>
    <t>Atualizar manualmente</t>
  </si>
  <si>
    <t>&gt; limiar</t>
  </si>
  <si>
    <t>incidência %</t>
  </si>
  <si>
    <r>
      <t>D</t>
    </r>
    <r>
      <rPr>
        <vertAlign val="subscript"/>
        <sz val="10"/>
        <color rgb="FF7F7F7F"/>
        <rFont val="Calibri"/>
        <family val="2"/>
      </rPr>
      <t>k</t>
    </r>
    <r>
      <rPr>
        <sz val="10"/>
        <color rgb="FF7F7F7F"/>
        <rFont val="Calibri"/>
        <family val="2"/>
      </rPr>
      <t xml:space="preserve"> representa a média do ganho recebido pelos 10% da população no decil k, por exemplo, D1 representa a média do ganho recebido pelos 10% da população com menor remuneração ganho. </t>
    </r>
  </si>
  <si>
    <t>atualizar manualmente</t>
  </si>
  <si>
    <t xml:space="preserve">TCO abrangidos por </t>
  </si>
  <si>
    <t>TCO não abrangidos por IRCT</t>
  </si>
  <si>
    <t>Análises</t>
  </si>
  <si>
    <t>Remuneração média mensal Base:</t>
  </si>
  <si>
    <t>Atualizar manualmente, ou caso se prescinda do sublinhado e do bold, e se mantenha o tipo de análise, usar os textos automáticosem Z45, Z63 e .</t>
  </si>
  <si>
    <t>Remuneração média mensal Ganho:</t>
  </si>
  <si>
    <t>Alojamento, rest. e sim.</t>
  </si>
  <si>
    <t xml:space="preserve">Adaptar o texto </t>
  </si>
  <si>
    <t>VALID</t>
  </si>
  <si>
    <t>Valid</t>
  </si>
  <si>
    <t xml:space="preserve">Igual à RMMG: </t>
  </si>
  <si>
    <t>ATENÇÃO - Confirmar sempre o texto na caixa de texto automática com a estática</t>
  </si>
  <si>
    <t xml:space="preserve">       (2) considerado como sendo 2/3 da mediana do ganho mensal do Continente, neste exercício.</t>
  </si>
  <si>
    <t>ver pedido 90/2023 e "QUADRO24.xlsx"</t>
  </si>
  <si>
    <t>No futuro alterar gráfico de modo a que constem os valoes S10 = D1, S20 = (D1+D2)/2, S80 = (D10+D9)/2, S90 = D10, substituindo D2 por S20 e D9 por S80 e retirando D5.</t>
  </si>
  <si>
    <r>
      <rPr>
        <b/>
        <sz val="10"/>
        <rFont val="Calibri"/>
        <family val="2"/>
        <scheme val="minor"/>
      </rPr>
      <t xml:space="preserve">De: Lina.G.Rafael &lt;Lina.G.Rafael@gep.mtsss.pt&gt; 
Enviada: 8 de abril de 2024 15:57
Para: Elsa Oliveira &lt;Elsa.Oliveira@gep.mtsss.pt&gt;; Andreia José &lt;andreia.jose@gep.mtsss.pt&gt;
Cc: Vitor Hugo Teixeira &lt;Vitor.Hugo.Teixeira@gep.mtsss.pt&gt;
Assunto: RE: Dashboard / Excel Interativo Séries QP 2011-2021
NOTA: S80 e S20? </t>
    </r>
    <r>
      <rPr>
        <sz val="10"/>
        <rFont val="Calibri"/>
        <family val="2"/>
        <scheme val="minor"/>
      </rPr>
      <t xml:space="preserve"> - optou-se por não colocar o rácio S80/S20 (ou seja S80 é xxxx vezes S20), porque as setas, à semelhança das que EO tinha no gráfico da infografia dos 100 anos, sobrecarregavam este gráfico; mas equacionou-se colocar o valor do S80 e do S20, no entanto para a construção do gráfico tem de se ter 5 valores e, por exemplo, o S80 corresponde ao (D9+D10)/2, o qual ainda seria passível de colocar (artificialmente) no gráfico, mas seria problemático para o S20 = (D1+D2)/2  (e já nem me recordo muito bem como fiz o gráfco, mas tinha de construir uma coluna e definir uma linha de máximo e mínimo que dividia essa coluna ao meio e tinha de retirar o preenchimento a partes da coluna de modo a ficar com o aspeto de uma caixa de bigodes….) 
Os valores S90/S10 não parecem coincidir com D9/D1 - não devia ser isso? – não, S90/S10 = D10/D1= 5,1 =&gt; a proporção do rendimento total recebido pelos 10% da população com maiores rendimentos (D10) e a parte do rendimento auferido pelos 10% de menores rendimentos (D1). (cf definição do INE em https://www.ine.pt/bddXplorer/htdocs/minfo.jsp?var_cd=0004214&amp;lingua=PT – documento “Indicadores desigualdade distribuição rendimentos.docx” em P:\G_EME_INFOESTAT\4_produtos\4_series\1_Quadros de Pessoal\2011_2021\Dashboard) –
porquê D10 e não S90? - Esta foi uma dúvida que se levantou na altura e não alterámos por apesar de se poder dizer que S90 = D10, no gráfico iria surgir S10 (em vez de D1), D2, D5, D9 e S90 (em vez de D10), misturando-se as “designações”.</t>
    </r>
  </si>
  <si>
    <t>Norte</t>
  </si>
  <si>
    <t>Alto Minho</t>
  </si>
  <si>
    <t>Cávado</t>
  </si>
  <si>
    <t>Ave</t>
  </si>
  <si>
    <t>Área Metropolitana do Porto</t>
  </si>
  <si>
    <t>Alto Tâmega e Barroso</t>
  </si>
  <si>
    <t>Tâmega e Sousa</t>
  </si>
  <si>
    <t>Douro</t>
  </si>
  <si>
    <t>Terras de Trás-os-Montes</t>
  </si>
  <si>
    <t>Centro</t>
  </si>
  <si>
    <t>Região de Aveiro</t>
  </si>
  <si>
    <t>Região de Coimbra</t>
  </si>
  <si>
    <t>Região de Leiria</t>
  </si>
  <si>
    <t>Viseu Dão Lafões</t>
  </si>
  <si>
    <t>Beira Baixa</t>
  </si>
  <si>
    <t>Beiras e Serra da Estrela</t>
  </si>
  <si>
    <t>Oeste e Vale do Tejo</t>
  </si>
  <si>
    <t>Oeste</t>
  </si>
  <si>
    <t>Médio Tejo</t>
  </si>
  <si>
    <t>Lezíria do Tejo</t>
  </si>
  <si>
    <t>Grande Lisboa</t>
  </si>
  <si>
    <t>Península de Setúbal</t>
  </si>
  <si>
    <t>Alentejo</t>
  </si>
  <si>
    <t>Alentejo Litoral</t>
  </si>
  <si>
    <t>Baixo Alentejo</t>
  </si>
  <si>
    <t>Alto Alentejo</t>
  </si>
  <si>
    <t>Alentejo Central</t>
  </si>
  <si>
    <t>Algarve</t>
  </si>
  <si>
    <t>NUTS II</t>
  </si>
  <si>
    <t>NUTS III</t>
  </si>
  <si>
    <t>CC0 1.0 DEED</t>
  </si>
  <si>
    <t>No Copyright</t>
  </si>
  <si>
    <r>
      <t>1. The person who associated a work with this deed has </t>
    </r>
    <r>
      <rPr>
        <b/>
        <sz val="11"/>
        <color rgb="FF000000"/>
        <rFont val="Source Sans Pro"/>
        <family val="2"/>
      </rPr>
      <t>dedicated </t>
    </r>
    <r>
      <rPr>
        <sz val="11"/>
        <color rgb="FF000000"/>
        <rFont val="Source Sans Pro"/>
        <family val="2"/>
      </rPr>
      <t>the work to the public domain by waiving all of his or her rights to the work worldwide under copyright law, including all related and neighboring rights, to the extent allowed by law.</t>
    </r>
  </si>
  <si>
    <r>
      <t>2. You can copy, modify, distribute and perform the work, even for commercial purposes, all without asking permission. See </t>
    </r>
    <r>
      <rPr>
        <b/>
        <sz val="11"/>
        <color rgb="FF000000"/>
        <rFont val="Source Sans Pro"/>
        <family val="2"/>
      </rPr>
      <t>Other Information </t>
    </r>
    <r>
      <rPr>
        <sz val="11"/>
        <color rgb="FF000000"/>
        <rFont val="Source Sans Pro"/>
        <family val="2"/>
      </rPr>
      <t>below.</t>
    </r>
  </si>
  <si>
    <t>Other Information</t>
  </si>
  <si>
    <t>1. In no way are the patent or trademark rights of any person affected by CC0, nor are the rights that other persons may have in the work or in how the work is used, such as publicity or privacy rights.</t>
  </si>
  <si>
    <t>2. Unless expressly stated otherwise, the person who associated a work with this deed makes no warranties about the work, and disclaims liability for all uses of the work, to the fullest extent permitted by applicable law.</t>
  </si>
  <si>
    <t>3. When using or citing the work, you should not imply endorsement by the author or the affirmer.</t>
  </si>
  <si>
    <t xml:space="preserve">Empresas </t>
  </si>
  <si>
    <t>q3.1</t>
  </si>
  <si>
    <t>q6.1</t>
  </si>
  <si>
    <t>q9.1</t>
  </si>
  <si>
    <t>q12.1</t>
  </si>
  <si>
    <t>q19.1</t>
  </si>
  <si>
    <t>q27.1</t>
  </si>
  <si>
    <t>Selecionar NUTS II</t>
  </si>
  <si>
    <t>Análise automática =&gt; muda a NUTS II</t>
  </si>
  <si>
    <t xml:space="preserve">A região </t>
  </si>
  <si>
    <t xml:space="preserve">As empresas da região </t>
  </si>
  <si>
    <t>Na região</t>
  </si>
  <si>
    <t>Análise automática a variar com a região (NUTS II) e ano</t>
  </si>
  <si>
    <t>AR6</t>
  </si>
  <si>
    <t>Oeste e Vale do tejo</t>
  </si>
  <si>
    <t>EMPRESAS</t>
  </si>
  <si>
    <t>ª região de 7)</t>
  </si>
  <si>
    <t xml:space="preserve">Sub-regiões NUTS III: Máx. da NUTS II - </t>
  </si>
  <si>
    <t>Máximo valor</t>
  </si>
  <si>
    <t>Máximo desig</t>
  </si>
  <si>
    <t>Mínimo valor</t>
  </si>
  <si>
    <t>Mínimo desig</t>
  </si>
  <si>
    <t>Min. da NUTS II</t>
  </si>
  <si>
    <t>ESTABELECIMENTOS</t>
  </si>
  <si>
    <t xml:space="preserve">NUTS II </t>
  </si>
  <si>
    <t xml:space="preserve">: </t>
  </si>
  <si>
    <t xml:space="preserve">); </t>
  </si>
  <si>
    <t xml:space="preserve"> - </t>
  </si>
  <si>
    <t xml:space="preserve">% do </t>
  </si>
  <si>
    <t xml:space="preserve">% do Continente; </t>
  </si>
  <si>
    <t>Se Norte, Centro, Oeste e Vale do Tejo ou Alentejo</t>
  </si>
  <si>
    <t>Se Grande Lisboa, Península de Setúbal ou Algarve</t>
  </si>
  <si>
    <t>PESSOAS AO SERVIÇO</t>
  </si>
  <si>
    <t>BM6</t>
  </si>
  <si>
    <t>REMUNERAÇÃO BASE</t>
  </si>
  <si>
    <t>CG6</t>
  </si>
  <si>
    <t xml:space="preserve">% que no Continente; </t>
  </si>
  <si>
    <t>REMUNERAÇÃO GANHO</t>
  </si>
  <si>
    <t xml:space="preserve">% da </t>
  </si>
  <si>
    <r>
      <t>Quadro 4 -</t>
    </r>
    <r>
      <rPr>
        <sz val="9"/>
        <rFont val="Arial"/>
        <family val="2"/>
      </rPr>
      <t xml:space="preserve"> </t>
    </r>
    <r>
      <rPr>
        <b/>
        <sz val="9"/>
        <color indexed="8"/>
        <rFont val="Arial"/>
        <family val="2"/>
      </rPr>
      <t>Empresas por Região NUTS II e Sub Região NUTS III (2024)</t>
    </r>
  </si>
  <si>
    <t>Quadro 4 - Empresas por Região NUTS II e Sub Região NUTS III (2024)</t>
  </si>
  <si>
    <t>Quadro 5 - Estabelecimentos por atividade económica</t>
  </si>
  <si>
    <t xml:space="preserve">Quadro 5 - Estabelecimentos por atividade económica (CAE-Rev. 3) </t>
  </si>
  <si>
    <t>Quadro 6 - Estabelecimentos por dimensão</t>
  </si>
  <si>
    <t>Quadro 7- Estabelecimentos por distrito</t>
  </si>
  <si>
    <t>Quadro 7 - Estabelecimentos por distrito</t>
  </si>
  <si>
    <r>
      <t>Quadro 8 -</t>
    </r>
    <r>
      <rPr>
        <sz val="9"/>
        <rFont val="Arial"/>
        <family val="2"/>
      </rPr>
      <t xml:space="preserve"> </t>
    </r>
    <r>
      <rPr>
        <b/>
        <sz val="9"/>
        <color indexed="8"/>
        <rFont val="Arial"/>
        <family val="2"/>
      </rPr>
      <t>Estabelecimentos por Região NUTS II e Sub Região NUTS III (2024)</t>
    </r>
  </si>
  <si>
    <t>Quadro 8 - Estabelecimentos por Região NUTS II e Sub Região NUTS III (2024)</t>
  </si>
  <si>
    <t>Este quadro não é publicado nas séries. Houve necessidade de o extrair do SISED para determinar as remunerações médias dos grupos etários agregados. No SISED, extrai-se o CADERNO "Series QUADROS DE PESSOAL- EMPREGO - Serie2010" e nas folhas Q14, Q14a e Q17 =&gt; Editar folha =&gt; nas variáveis selecionadas, substituir "Qte TPCO" por "TPCO Mensal (REM)"</t>
  </si>
  <si>
    <t>No ficheiro "05_Quadros Apoio_TCO_Rem_Q14_Q17.xlsx" em P:\G_EME_INFOESTAT\4_produtos\4_series\1_Quadros de Pessoal\2013_2023\Dashboard, os quadros Q14a (TCO das Rem por dimensão e sexo) e Q17a (TCO das Rem por grupo etário e sexo) ficam automaticamente atualizados.</t>
  </si>
  <si>
    <t>Fazer copiar - colar especial valores para a folha q14a e q17a do ficheiro "03_seriesqp_2013_2023_Dashboard.xlsx"</t>
  </si>
  <si>
    <t>Quadro 9- Pessoas ao serviço nos estabelecimentos por atividade económica</t>
  </si>
  <si>
    <t>Quadro 9 - Pessoas ao serviço nos estabelecimentos por atividade económica (CAE-Rev. 3)</t>
  </si>
  <si>
    <t>Quadro 10 - Pessoas ao serviço nos estabelecimentos por dimensão</t>
  </si>
  <si>
    <t>Quadro 11 - Pessoas ao serviço nos estabelecimentos por distrito</t>
  </si>
  <si>
    <t>Quadro 12 - Pessoas ao serviço nos estabelecimentos por Região NUTS II e Sub Região NUTS III (2024)</t>
  </si>
  <si>
    <t>Quadro 13 - Trabalhadores por conta de outrem ao serviço nos estabelecimentos por atividade económica</t>
  </si>
  <si>
    <t>Quadro 13 - Trabalhadores por conta de outrem ao serviço nos estabelecimentos por atividade económica (CAE-Rev. 3)</t>
  </si>
  <si>
    <t>Quadro 14 - Trabalhadores por conta de outrem ao serviço nos estabelecimentos por dimensão e sexo</t>
  </si>
  <si>
    <t>Quadro 15 - Trabalhadores por conta de outrem ao serviço nos estabelecimentos por distrito</t>
  </si>
  <si>
    <t>Quadro 16 - Trabalhadores por conta de outrem ao serviço nos estabelecimentos por Região NUTS II e Sub Região NUTS III (2024)</t>
  </si>
  <si>
    <t>Quadro 17 - Trabalhadores por conta de outrem ao serviço nos estabelecimentos por grupo etário e sexo</t>
  </si>
  <si>
    <t>Quadro 18 - Trabalhadores por conta de outrem ao serviço nos estabelecimentos por nível de qualificação e sexo</t>
  </si>
  <si>
    <t>Quadro 19 - Trabalhadores por conta de outrem ao serviço nos estabelecimentos por profissão</t>
  </si>
  <si>
    <t>PROFISSÕES (CPP/2010)</t>
  </si>
  <si>
    <t>Repres. poder leg. e de órgãos exec., dirig., diret. e gestores executivos</t>
  </si>
  <si>
    <t>Repres.poder legisl.e de órg. exec.,dirig. super.adm. púb.,org.espec.,diret.e gest. empresas</t>
  </si>
  <si>
    <t>Diret.de serv.adm. e comerciais</t>
  </si>
  <si>
    <t>Diret.de prod.e de serviços espec.</t>
  </si>
  <si>
    <t xml:space="preserve">Diret.de hot.,restaur.e de out.serviços </t>
  </si>
  <si>
    <t>Especial.das ativ.intelet.e cientif.</t>
  </si>
  <si>
    <t>Especialistas das ciências físicas, matem., engen. e técnicas afins</t>
  </si>
  <si>
    <t>Profissionais de saúde</t>
  </si>
  <si>
    <t>Professores</t>
  </si>
  <si>
    <t xml:space="preserve">Espec. finanças,contab., organização adm., relações públicas e comerciais </t>
  </si>
  <si>
    <t>Especialistas em tecnologias de informação e comunicação (TIC)</t>
  </si>
  <si>
    <t>Especialistas em assuntos jurídicos, sociais, artísticos e culturais</t>
  </si>
  <si>
    <t>Técn. e prof. de nível intermédio</t>
  </si>
  <si>
    <t>Técnicos e profissões das ciências e engenharia, de nível intermédio</t>
  </si>
  <si>
    <t>Técnicos e prof., nível int.da saúde</t>
  </si>
  <si>
    <t>Téc.de nível intermédio, das áreas financ., admin. e dos negócios</t>
  </si>
  <si>
    <t>Técnicos de nível interm. dos serv. jurídicos, sociais, desp., culturais e sim.</t>
  </si>
  <si>
    <t xml:space="preserve">Técnicos das tecnologias de informação e comunicação </t>
  </si>
  <si>
    <t>Pessoal administrativo</t>
  </si>
  <si>
    <t xml:space="preserve">Emp. escritório, secretários em geral e operadores de proc. de dados </t>
  </si>
  <si>
    <t xml:space="preserve">Pessoal de apoio direto a clientes </t>
  </si>
  <si>
    <t>Oper. de dados, de contab., estatística, de serv. financ. e relac. com o registo</t>
  </si>
  <si>
    <t>Outro pessoal de apoio de tipo adm.</t>
  </si>
  <si>
    <t>Trab.dos serv.pessoais, de prot.e segur.e vendedores</t>
  </si>
  <si>
    <t>Trabalhadores dos serviços pessoais</t>
  </si>
  <si>
    <t>Vendedores</t>
  </si>
  <si>
    <t>Trab.dos cuidados pessoais e similares</t>
  </si>
  <si>
    <t>Pessoal dos serv.de proteção e seg.</t>
  </si>
  <si>
    <t>Agric.e trab.qualif.da agric.,da pesca e da floresta</t>
  </si>
  <si>
    <t>Agricult.e trab.qualif.da agricult.e prod.animal, orient.para o mercado</t>
  </si>
  <si>
    <t>Trab. qualificados da floresta, pesca e caça, orientados para o mercado</t>
  </si>
  <si>
    <t>Trab.qualif.da ind.,constr.e artific.</t>
  </si>
  <si>
    <t xml:space="preserve">Trab. qualificados da construção e sim., exceto eletricista </t>
  </si>
  <si>
    <t>Trab. qualificados da metalurgia, metalomecânica e similares</t>
  </si>
  <si>
    <t>Trab. qualif.da impressão, fabrico instr. precisão, joalheiros, artesãos e sim.</t>
  </si>
  <si>
    <t>Trab. qualificados eletricidade e eletrónica</t>
  </si>
  <si>
    <t xml:space="preserve">Trab. da transf. alimentos, madeira, vestuário e outras ind. e artesanato </t>
  </si>
  <si>
    <t>Oper.de inst.e máq.e trab.mont.</t>
  </si>
  <si>
    <t>Operadores de instal.fixas e máq.</t>
  </si>
  <si>
    <t>Trabalhadores da montagem</t>
  </si>
  <si>
    <t>Condut.de veículos e oper.equip.móveis</t>
  </si>
  <si>
    <t>Trabalhadores não qualificados</t>
  </si>
  <si>
    <t>Trabalhadores de limpeza</t>
  </si>
  <si>
    <t xml:space="preserve">Trab.n/qualif.agricult., prod.animal, pesca e floresta </t>
  </si>
  <si>
    <t>Trab.n/qualif. da indúst.ext., construç.,indúst.transf.e transp.</t>
  </si>
  <si>
    <t>Assistentes na prep.de refeições</t>
  </si>
  <si>
    <t>Vend.ambulante. (exceto de alim.) e prest.de serviços na rua</t>
  </si>
  <si>
    <t>Trab.dos resíd.de outros serv.element.</t>
  </si>
  <si>
    <t>Trabalhadores sem profissão atribuida</t>
  </si>
  <si>
    <t>Outros trabalhadores sem profissão atribuida</t>
  </si>
  <si>
    <t>Quadro 19 - Trabalhadores por conta de outrem ao serviço nos estabelecimentos abrangidos e não abrangidos por profissão</t>
  </si>
  <si>
    <r>
      <t>Quadro 20 - Trabalhadores por conta de outrem ao serviço nos estabelecimentos abrangidos e não abrangidos por Instrumentos de Regulamentação Coletiva de Trabalho</t>
    </r>
    <r>
      <rPr>
        <b/>
        <vertAlign val="superscript"/>
        <sz val="9"/>
        <rFont val="Arial"/>
        <family val="2"/>
      </rPr>
      <t>(1)</t>
    </r>
    <r>
      <rPr>
        <b/>
        <sz val="9"/>
        <rFont val="Arial"/>
        <family val="2"/>
      </rPr>
      <t xml:space="preserve"> (IRCT)</t>
    </r>
  </si>
  <si>
    <t>Quadro 20 - Trabalhadores por conta de outrem ao serviço nos estabelecimentos abrangidos e não abrangidos por Instrumentos de Regulamentação Coletiva de Trabalho (IRCT)</t>
  </si>
  <si>
    <t>&gt;RMMG e &lt;= 999,99 €</t>
  </si>
  <si>
    <r>
      <t xml:space="preserve">Nota: </t>
    </r>
    <r>
      <rPr>
        <sz val="8"/>
        <rFont val="Arial"/>
        <family val="2"/>
      </rPr>
      <t>Retribuição Mínima Mensal Garantida (RMMG) - Continente 2013=485,00 euros; 2014=505,00 euros; 2015=505,00 euros; 2016=530,00 euros; 2017=557,00 euros; 2018=580,00 euros; 2019=600,00 euros; 2020=635,00 euros; 2021 = 665,00 euros, 2022 = 705,00 euros e 2023 = 760,00 euros.</t>
    </r>
  </si>
  <si>
    <r>
      <t xml:space="preserve">Quadro 21 - Trabalhadores por conta de outrem </t>
    </r>
    <r>
      <rPr>
        <b/>
        <vertAlign val="superscript"/>
        <sz val="9"/>
        <rFont val="Arial"/>
        <family val="2"/>
      </rPr>
      <t xml:space="preserve">(1) </t>
    </r>
    <r>
      <rPr>
        <b/>
        <sz val="9"/>
        <rFont val="Arial"/>
        <family val="2"/>
      </rPr>
      <t xml:space="preserve">ao serviço nos estabelecimentos por escalão de remuneração mensal </t>
    </r>
    <r>
      <rPr>
        <b/>
        <u/>
        <sz val="9"/>
        <rFont val="Arial"/>
        <family val="2"/>
      </rPr>
      <t>base</t>
    </r>
    <r>
      <rPr>
        <b/>
        <sz val="9"/>
        <rFont val="Arial"/>
        <family val="2"/>
      </rPr>
      <t xml:space="preserve">
</t>
    </r>
  </si>
  <si>
    <t xml:space="preserve">Quadro 21 - Trabalhadores por conta de outrem ao serviço nos estabelecimentos por escalão de remuneração mensal base </t>
  </si>
  <si>
    <r>
      <t xml:space="preserve">Quadro 22 - Remuneração média mensal </t>
    </r>
    <r>
      <rPr>
        <b/>
        <u/>
        <sz val="9"/>
        <rFont val="Arial"/>
        <family val="2"/>
      </rPr>
      <t>base</t>
    </r>
    <r>
      <rPr>
        <b/>
        <vertAlign val="superscript"/>
        <sz val="9"/>
        <rFont val="Arial"/>
        <family val="2"/>
      </rPr>
      <t>(1)</t>
    </r>
    <r>
      <rPr>
        <b/>
        <sz val="9"/>
        <rFont val="Arial"/>
        <family val="2"/>
      </rPr>
      <t xml:space="preserve"> por atividade económica do estabelecimento</t>
    </r>
  </si>
  <si>
    <t>Quadro 22 - Remuneração média mensal base por atividade económica do estabelecimento (CAE-Rev. 3)</t>
  </si>
  <si>
    <r>
      <t>Quadro 23- Remuneração média mensal</t>
    </r>
    <r>
      <rPr>
        <b/>
        <u/>
        <sz val="9"/>
        <rFont val="Arial"/>
        <family val="2"/>
      </rPr>
      <t xml:space="preserve"> base</t>
    </r>
    <r>
      <rPr>
        <b/>
        <vertAlign val="superscript"/>
        <sz val="9"/>
        <rFont val="Arial"/>
        <family val="2"/>
      </rPr>
      <t>(1)</t>
    </r>
    <r>
      <rPr>
        <b/>
        <sz val="9"/>
        <rFont val="Arial"/>
        <family val="2"/>
      </rPr>
      <t xml:space="preserve"> por dimensão do estabelecimento e sexo</t>
    </r>
  </si>
  <si>
    <t>Quadro 23- Remuneração média mensal base por dimensão do estabelecimento e sexo</t>
  </si>
  <si>
    <r>
      <t xml:space="preserve">Quadro 24 - Remuneração média mensal </t>
    </r>
    <r>
      <rPr>
        <b/>
        <u/>
        <sz val="9"/>
        <rFont val="Arial"/>
        <family val="2"/>
      </rPr>
      <t>base</t>
    </r>
    <r>
      <rPr>
        <b/>
        <vertAlign val="superscript"/>
        <sz val="9"/>
        <rFont val="Arial"/>
        <family val="2"/>
      </rPr>
      <t>(1)</t>
    </r>
    <r>
      <rPr>
        <b/>
        <sz val="9"/>
        <rFont val="Arial"/>
        <family val="2"/>
      </rPr>
      <t xml:space="preserve"> por distrito do estabelecimento</t>
    </r>
  </si>
  <si>
    <t>Quadro 24 - Remuneração média mensal base por distrito do estabelecimento</t>
  </si>
  <si>
    <t>Quadro 25 - Remuneração média mensal base por Região NUTS II e Sub Região NUTS III (2024) do estabelecimento</t>
  </si>
  <si>
    <r>
      <t xml:space="preserve">Quadro 26 - Remuneração média mensal </t>
    </r>
    <r>
      <rPr>
        <b/>
        <u/>
        <sz val="9"/>
        <rFont val="Arial"/>
        <family val="2"/>
      </rPr>
      <t>base</t>
    </r>
    <r>
      <rPr>
        <b/>
        <vertAlign val="superscript"/>
        <sz val="9"/>
        <rFont val="Arial"/>
        <family val="2"/>
      </rPr>
      <t>(1)</t>
    </r>
    <r>
      <rPr>
        <b/>
        <sz val="9"/>
        <rFont val="Arial"/>
        <family val="2"/>
      </rPr>
      <t xml:space="preserve"> por grupo etário e sexo</t>
    </r>
  </si>
  <si>
    <t>Quadro 26 - Remuneração média mensal base por grupo etário e sexo</t>
  </si>
  <si>
    <r>
      <t xml:space="preserve">Quadro 27 - Remuneração média mensal </t>
    </r>
    <r>
      <rPr>
        <b/>
        <u/>
        <sz val="9"/>
        <rFont val="Arial"/>
        <family val="2"/>
      </rPr>
      <t>base</t>
    </r>
    <r>
      <rPr>
        <b/>
        <vertAlign val="superscript"/>
        <sz val="9"/>
        <rFont val="Arial"/>
        <family val="2"/>
      </rPr>
      <t>(1)</t>
    </r>
    <r>
      <rPr>
        <b/>
        <sz val="9"/>
        <rFont val="Arial"/>
        <family val="2"/>
      </rPr>
      <t xml:space="preserve"> por nível de qualificação e sexo</t>
    </r>
  </si>
  <si>
    <t>Quadro 27 - Remuneração média mensal base por nível de qualificação e sexo</t>
  </si>
  <si>
    <r>
      <t xml:space="preserve">Quadro 28 - Remuneração média mensal </t>
    </r>
    <r>
      <rPr>
        <b/>
        <u/>
        <sz val="9"/>
        <rFont val="Arial"/>
        <family val="2"/>
      </rPr>
      <t>base</t>
    </r>
    <r>
      <rPr>
        <b/>
        <vertAlign val="superscript"/>
        <sz val="9"/>
        <rFont val="Arial"/>
        <family val="2"/>
      </rPr>
      <t>(1)</t>
    </r>
    <r>
      <rPr>
        <b/>
        <sz val="9"/>
        <rFont val="Arial"/>
        <family val="2"/>
      </rPr>
      <t xml:space="preserve"> por profissão</t>
    </r>
  </si>
  <si>
    <t>Profissões (CPP/2010)</t>
  </si>
  <si>
    <r>
      <t>Quadro 29 - Remuneração base horária média</t>
    </r>
    <r>
      <rPr>
        <b/>
        <vertAlign val="superscript"/>
        <sz val="9"/>
        <rFont val="Arial"/>
        <family val="2"/>
      </rPr>
      <t>(1)</t>
    </r>
    <r>
      <rPr>
        <b/>
        <sz val="9"/>
        <rFont val="Arial"/>
        <family val="2"/>
      </rPr>
      <t xml:space="preserve"> por profissão</t>
    </r>
  </si>
  <si>
    <r>
      <t xml:space="preserve">(1) </t>
    </r>
    <r>
      <rPr>
        <sz val="8"/>
        <rFont val="Arial"/>
        <family val="2"/>
      </rPr>
      <t>dos trabalhadores por conta de outrem a tempo completo e incompleto.</t>
    </r>
  </si>
  <si>
    <t>Quadro 28 - Remuneração média mensal base por profissão</t>
  </si>
  <si>
    <t>Quadro 29 - Remuneração base horária média por profissão</t>
  </si>
  <si>
    <r>
      <t xml:space="preserve">Quadro 30 - Remuneração média mensal </t>
    </r>
    <r>
      <rPr>
        <b/>
        <u/>
        <sz val="9"/>
        <rFont val="Arial"/>
        <family val="2"/>
      </rPr>
      <t xml:space="preserve">base </t>
    </r>
    <r>
      <rPr>
        <b/>
        <vertAlign val="superscript"/>
        <sz val="9"/>
        <rFont val="Arial"/>
        <family val="2"/>
      </rPr>
      <t>(1)</t>
    </r>
    <r>
      <rPr>
        <b/>
        <sz val="9"/>
        <rFont val="Arial"/>
        <family val="2"/>
      </rPr>
      <t xml:space="preserve"> dos Trabalhadores por Conta de Outrem abrangidos e não abrangidos por Instrumento de Regulamentação Coletiva de Trabalho </t>
    </r>
    <r>
      <rPr>
        <b/>
        <vertAlign val="superscript"/>
        <sz val="9"/>
        <rFont val="Arial"/>
        <family val="2"/>
      </rPr>
      <t>(2)</t>
    </r>
    <r>
      <rPr>
        <b/>
        <sz val="9"/>
        <rFont val="Arial"/>
        <family val="2"/>
      </rPr>
      <t xml:space="preserve"> (IRCT)</t>
    </r>
  </si>
  <si>
    <t>Quadro 30 - Remuneração média mensal base dos Trabalhadores por Conta de Outrem abrangidos e não abrangidos por Instrumento de Regulamentação Coletiva de Trabalho (IRCT)</t>
  </si>
  <si>
    <r>
      <rPr>
        <b/>
        <sz val="8"/>
        <rFont val="Arial"/>
        <family val="2"/>
      </rPr>
      <t>Nota:</t>
    </r>
    <r>
      <rPr>
        <sz val="8"/>
        <rFont val="Arial"/>
        <family val="2"/>
      </rPr>
      <t xml:space="preserve"> Retribuição Mínima Mensal Garantida (RMMG) - Continente 2013=485,00 euros; 2014=505,00 euros; 2015=505,00 euros; 2016=530,00 euros; 2017=557,00 euros; 2018=580,00 euros; 2019=600,00 euros; 2020=635,00 euros, 2021 = 665,00 euros, 2022 = 705,00 euros e 2023 = 760,00 euros.</t>
    </r>
  </si>
  <si>
    <r>
      <t xml:space="preserve">Quadro 31 - Trabalhadores por conta de outrem </t>
    </r>
    <r>
      <rPr>
        <b/>
        <vertAlign val="superscript"/>
        <sz val="9"/>
        <rFont val="Arial"/>
        <family val="2"/>
      </rPr>
      <t>(1)</t>
    </r>
    <r>
      <rPr>
        <b/>
        <sz val="9"/>
        <rFont val="Arial"/>
        <family val="2"/>
      </rPr>
      <t xml:space="preserve"> ao serviço nos estabelecimentos por escalão de remuneração mensal </t>
    </r>
    <r>
      <rPr>
        <b/>
        <u/>
        <sz val="9"/>
        <rFont val="Arial"/>
        <family val="2"/>
      </rPr>
      <t>ganho</t>
    </r>
  </si>
  <si>
    <t>Quadro 31 - Trabalhadores por conta de outrem ao serviço nos estabelecimentos por escalão de remuneração mensal ganho</t>
  </si>
  <si>
    <r>
      <t xml:space="preserve">Quadro 32 - </t>
    </r>
    <r>
      <rPr>
        <b/>
        <u/>
        <sz val="9"/>
        <rFont val="Arial"/>
        <family val="2"/>
      </rPr>
      <t>Ganho</t>
    </r>
    <r>
      <rPr>
        <b/>
        <sz val="9"/>
        <rFont val="Arial"/>
        <family val="2"/>
      </rPr>
      <t xml:space="preserve"> mensal </t>
    </r>
    <r>
      <rPr>
        <b/>
        <vertAlign val="superscript"/>
        <sz val="9"/>
        <rFont val="Arial"/>
        <family val="2"/>
      </rPr>
      <t xml:space="preserve">(1) </t>
    </r>
    <r>
      <rPr>
        <b/>
        <sz val="9"/>
        <rFont val="Arial"/>
        <family val="2"/>
      </rPr>
      <t>mediano, médio por decil e limiar de baixos salários</t>
    </r>
  </si>
  <si>
    <t>Quadro 32 - Ganho mensal mediano, médio por decil e limiar de baixos salários</t>
  </si>
  <si>
    <r>
      <t xml:space="preserve">Quadro 33 - Remuneração média mensal </t>
    </r>
    <r>
      <rPr>
        <b/>
        <u/>
        <sz val="9"/>
        <rFont val="Arial"/>
        <family val="2"/>
      </rPr>
      <t>ganho</t>
    </r>
    <r>
      <rPr>
        <b/>
        <vertAlign val="superscript"/>
        <sz val="9"/>
        <rFont val="Arial"/>
        <family val="2"/>
      </rPr>
      <t xml:space="preserve">(1) </t>
    </r>
    <r>
      <rPr>
        <b/>
        <sz val="9"/>
        <rFont val="Arial"/>
        <family val="2"/>
      </rPr>
      <t>por atividade económica do estabelecimento</t>
    </r>
  </si>
  <si>
    <t>Quadro 33 - Remuneração média mensal ganho por atividade económica do estabelecimento (CAE-Rev. 3)</t>
  </si>
  <si>
    <r>
      <t xml:space="preserve">Quadro 34 - Remuneração média mensal </t>
    </r>
    <r>
      <rPr>
        <b/>
        <u/>
        <sz val="9"/>
        <rFont val="Arial"/>
        <family val="2"/>
      </rPr>
      <t>ganho</t>
    </r>
    <r>
      <rPr>
        <b/>
        <vertAlign val="superscript"/>
        <sz val="9"/>
        <rFont val="Arial"/>
        <family val="2"/>
      </rPr>
      <t>(1)</t>
    </r>
    <r>
      <rPr>
        <b/>
        <sz val="9"/>
        <rFont val="Arial"/>
        <family val="2"/>
      </rPr>
      <t xml:space="preserve"> por dimensão do estabelecimento e sexo</t>
    </r>
  </si>
  <si>
    <t>Quadro 34 - Remuneração média mensal ganho por dimensão do estabelecimento e sexo</t>
  </si>
  <si>
    <r>
      <t xml:space="preserve">Quadro 35 - Remuneração média mensal </t>
    </r>
    <r>
      <rPr>
        <b/>
        <u/>
        <sz val="9"/>
        <rFont val="Arial"/>
        <family val="2"/>
      </rPr>
      <t>ganho</t>
    </r>
    <r>
      <rPr>
        <b/>
        <vertAlign val="superscript"/>
        <sz val="9"/>
        <rFont val="Arial"/>
        <family val="2"/>
      </rPr>
      <t xml:space="preserve">(1) </t>
    </r>
    <r>
      <rPr>
        <b/>
        <sz val="9"/>
        <rFont val="Arial"/>
        <family val="2"/>
      </rPr>
      <t xml:space="preserve">por distrito do estabelecimento </t>
    </r>
  </si>
  <si>
    <t xml:space="preserve">Quadro 35 - Remuneração média mensal ganho por distrito do estabelecimento </t>
  </si>
  <si>
    <t xml:space="preserve">Quadro 36 - Remuneração média mensal ganho por Região NUTS II e Sub Região NUTS III (2024) do estabelecimento </t>
  </si>
  <si>
    <r>
      <t xml:space="preserve">Quadro 37 - Remuneração média mensal </t>
    </r>
    <r>
      <rPr>
        <b/>
        <u/>
        <sz val="9"/>
        <rFont val="Arial"/>
        <family val="2"/>
      </rPr>
      <t>ganho</t>
    </r>
    <r>
      <rPr>
        <b/>
        <vertAlign val="superscript"/>
        <sz val="9"/>
        <rFont val="Arial"/>
        <family val="2"/>
      </rPr>
      <t>(1)</t>
    </r>
    <r>
      <rPr>
        <b/>
        <sz val="9"/>
        <rFont val="Arial"/>
        <family val="2"/>
      </rPr>
      <t xml:space="preserve"> por grupo etário e sexo</t>
    </r>
  </si>
  <si>
    <t>Quadro 37- Remuneração média mensal ganho por grupo etário e sexo</t>
  </si>
  <si>
    <r>
      <t xml:space="preserve">Quadro 38 - Remuneração média mensal </t>
    </r>
    <r>
      <rPr>
        <b/>
        <u/>
        <sz val="9"/>
        <rFont val="Arial"/>
        <family val="2"/>
      </rPr>
      <t>ganho</t>
    </r>
    <r>
      <rPr>
        <b/>
        <vertAlign val="superscript"/>
        <sz val="9"/>
        <rFont val="Arial"/>
        <family val="2"/>
      </rPr>
      <t>(1)</t>
    </r>
    <r>
      <rPr>
        <b/>
        <sz val="9"/>
        <rFont val="Arial"/>
        <family val="2"/>
      </rPr>
      <t xml:space="preserve"> por nível de qualificação e sexo</t>
    </r>
  </si>
  <si>
    <t>Quadro 38 - Remuneração média mensal ganho por nível de qualificação e sexo</t>
  </si>
  <si>
    <r>
      <t xml:space="preserve">Quadro 39 - Remuneração média mensal </t>
    </r>
    <r>
      <rPr>
        <b/>
        <u/>
        <sz val="9"/>
        <rFont val="Arial"/>
        <family val="2"/>
      </rPr>
      <t>ganho</t>
    </r>
    <r>
      <rPr>
        <b/>
        <vertAlign val="superscript"/>
        <sz val="9"/>
        <rFont val="Arial"/>
        <family val="2"/>
      </rPr>
      <t xml:space="preserve">(1) </t>
    </r>
    <r>
      <rPr>
        <b/>
        <sz val="9"/>
        <rFont val="Arial"/>
        <family val="2"/>
      </rPr>
      <t>por profissão</t>
    </r>
  </si>
  <si>
    <t>Quadro 39 - Remuneração média mensal ganho por profissão</t>
  </si>
  <si>
    <r>
      <t>Quadro 40 - Indicadores de remuneração base e ganho e respetivos trabalhadores por conta de outrem (TCO)</t>
    </r>
    <r>
      <rPr>
        <b/>
        <vertAlign val="superscript"/>
        <sz val="8"/>
        <rFont val="Arial"/>
        <family val="2"/>
      </rPr>
      <t>(1)</t>
    </r>
    <r>
      <rPr>
        <b/>
        <sz val="9"/>
        <rFont val="Arial"/>
        <family val="2"/>
      </rPr>
      <t xml:space="preserve"> por nível de habilitação</t>
    </r>
  </si>
  <si>
    <t>Quadro 40 - Indicadores de remuneração base e ganho e respetivos trabalhadores por conta de outrem (TCO) por nível de habilitação</t>
  </si>
  <si>
    <r>
      <t xml:space="preserve">Quadro 41 - Remuneração média mensal </t>
    </r>
    <r>
      <rPr>
        <b/>
        <u/>
        <sz val="9"/>
        <rFont val="Arial"/>
        <family val="2"/>
      </rPr>
      <t>ganho</t>
    </r>
    <r>
      <rPr>
        <b/>
        <vertAlign val="superscript"/>
        <sz val="9"/>
        <rFont val="Arial"/>
        <family val="2"/>
      </rPr>
      <t>(1)</t>
    </r>
    <r>
      <rPr>
        <b/>
        <sz val="9"/>
        <rFont val="Arial"/>
        <family val="2"/>
      </rPr>
      <t xml:space="preserve"> dos Trabalhadores por Conta de Outrem abrangidos e não abrangidos por Instrumento de Regulamentação Coletiva de Trabalho</t>
    </r>
    <r>
      <rPr>
        <b/>
        <vertAlign val="superscript"/>
        <sz val="9"/>
        <rFont val="Arial"/>
        <family val="2"/>
      </rPr>
      <t>(2)</t>
    </r>
    <r>
      <rPr>
        <b/>
        <sz val="9"/>
        <rFont val="Arial"/>
        <family val="2"/>
      </rPr>
      <t xml:space="preserve"> (IRCT)</t>
    </r>
  </si>
  <si>
    <t>Quadro 41 - Remuneração média mensal ganho dos Trabalhadores por Conta de Outrem abrangidos e não abrangidos por Instrumento de Regulamentação Coletiva de Trabalho (IRCT)</t>
  </si>
  <si>
    <t>Quadro 14 - Trabalhadores por conta de outrem ao serviço nos estabelecimentos por dimensão e sexo (TCO Rem - a tempo completo com remuneração completa)</t>
  </si>
  <si>
    <t>Quadro 17a - Trabalhadores por conta de outrem ao serviço nos estabelecimentos por grupo etário e sexo (TCO Rem - a tempo completo com remuneração completa)</t>
  </si>
  <si>
    <t>G Total</t>
  </si>
  <si>
    <t>G - Com. por grosso e a ret.; rep. de veíc. autom. e mot.</t>
  </si>
  <si>
    <t xml:space="preserve">) e era a localização de </t>
  </si>
  <si>
    <t xml:space="preserve">) e tinham </t>
  </si>
  <si>
    <t xml:space="preserve">) e de </t>
  </si>
  <si>
    <t xml:space="preserve">Igual à RMMG e &lt; 1.000 €:  </t>
  </si>
  <si>
    <t xml:space="preserve">Entre RMMG e &lt; 1.000 €: </t>
  </si>
  <si>
    <t xml:space="preserve">Igual à RMMG e &lt; 1.000 €: </t>
  </si>
  <si>
    <t>2013 - 2016</t>
  </si>
  <si>
    <t>2017 - 2023</t>
  </si>
  <si>
    <t>Em 2013, as remunerações dos 20% de TCO que mais ganhavam, era 4,5 vezes o valor das remunerações dos 20% que menos auferiam. O mesmo rácio era 3,6 em 2023.</t>
  </si>
  <si>
    <t>Profissão</t>
  </si>
  <si>
    <t>Q19</t>
  </si>
  <si>
    <t>Quadro 9 - Pessoas ao serviço nos estabelecimentos por atividade económica</t>
  </si>
  <si>
    <t>Quadro 37 - Remuneração média mensal ganho por grupo etário e sexo</t>
  </si>
  <si>
    <t>Quadro 21 - Trabalhadores por conta de outrem ao serviço nos estabelecimentos por escalão de remuneração mensal base</t>
  </si>
  <si>
    <t>Quadro 20 - Trabalhadores por conta de outrem ao serviço nos estabelecimentos abrangidos e não abrangidos por Instrumentos de Regulamentação Coletiva de Trabalho(1) (IRCT)</t>
  </si>
  <si>
    <t>Quadro 30 - Remuneração média mensal base (1) dos Trabalhadores por Conta de Outrem abrangidos e não abrangidos por Instrumento de Regulamentação Coletiva de Trabalho (2) (IRCT)</t>
  </si>
  <si>
    <t>Quadro 41 - Remuneração média mensal ganho(1) dos Trabalhadores por Conta de Outrem abrangidos e não abrangidos por Instrumento de Regulamentação Coletiva de Trabalho(2) (IRCT)</t>
  </si>
  <si>
    <t>Representantes do poder legislativo e de órgãos executivos, dirigentes, directores e gestores executivos</t>
  </si>
  <si>
    <t>Especialistas das actividades intelectuais e científicas</t>
  </si>
  <si>
    <t>Técnicos e profissões de nível intermédio</t>
  </si>
  <si>
    <t>Trabalhadores dos serviços pessoais, de protecção e segurança e vendedores</t>
  </si>
  <si>
    <t>Agricultores e trabalhadores qualificados da agricultura, da pesca e da floresta</t>
  </si>
  <si>
    <t>Trabalhadores qualificados da indústria, construção e artífices</t>
  </si>
  <si>
    <t>Operadores de instalações e máquinas e trabalhadores da montagem</t>
  </si>
  <si>
    <t xml:space="preserve">Trabalhadores não qualificados </t>
  </si>
  <si>
    <t>Q28</t>
  </si>
  <si>
    <t>Mensal</t>
  </si>
  <si>
    <t>horária</t>
  </si>
  <si>
    <t>Q39</t>
  </si>
  <si>
    <t>Q29</t>
  </si>
  <si>
    <t>Horária</t>
  </si>
  <si>
    <t>)</t>
  </si>
  <si>
    <t>Análise TCO:</t>
  </si>
  <si>
    <t>Base/Ganho</t>
  </si>
  <si>
    <t>TCO 1º maior</t>
  </si>
  <si>
    <t>TCO 2º maior</t>
  </si>
  <si>
    <t>Base Maior</t>
  </si>
  <si>
    <t>Base Menor</t>
  </si>
  <si>
    <t>Ganho Menor</t>
  </si>
  <si>
    <t>Ganho maior</t>
  </si>
  <si>
    <t xml:space="preserve"> - Continente:</t>
  </si>
  <si>
    <t xml:space="preserve"> do Ganho, entre </t>
  </si>
  <si>
    <t xml:space="preserve">Ganho médio: </t>
  </si>
  <si>
    <t xml:space="preserve">Entre </t>
  </si>
  <si>
    <t>Análise remunerações mensais:</t>
  </si>
  <si>
    <t xml:space="preserve"> nas mesmas profissões, respetivamente.</t>
  </si>
  <si>
    <t xml:space="preserve"> dos TCO eram </t>
  </si>
  <si>
    <t xml:space="preserve">Base média: </t>
  </si>
  <si>
    <t>Ver todos os anos, caso seja FALSO, adaptar a análise</t>
  </si>
  <si>
    <t>Análise remuneração base horária:</t>
  </si>
  <si>
    <t xml:space="preserve">Base horária média: </t>
  </si>
  <si>
    <t>Base horária menor</t>
  </si>
  <si>
    <t>Base horária maior</t>
  </si>
  <si>
    <t xml:space="preserve"> a variar entre </t>
  </si>
  <si>
    <r>
      <t xml:space="preserve">O </t>
    </r>
    <r>
      <rPr>
        <b/>
        <i/>
        <u/>
        <sz val="11"/>
        <rFont val="Calibri"/>
        <family val="2"/>
      </rPr>
      <t>dashboard</t>
    </r>
    <r>
      <rPr>
        <b/>
        <u/>
        <sz val="11"/>
        <rFont val="Calibri"/>
        <family val="2"/>
      </rPr>
      <t xml:space="preserve"> / Excel interativo - Séries Cronológicas: Quadros de Pessoal 2013-2023</t>
    </r>
    <r>
      <rPr>
        <sz val="11"/>
        <rFont val="Calibri"/>
        <family val="2"/>
      </rPr>
      <t xml:space="preserve"> apresenta </t>
    </r>
    <r>
      <rPr>
        <b/>
        <sz val="11"/>
        <rFont val="Calibri"/>
        <family val="2"/>
      </rPr>
      <t>visualmente</t>
    </r>
    <r>
      <rPr>
        <sz val="11"/>
        <rFont val="Calibri"/>
        <family val="2"/>
      </rPr>
      <t xml:space="preserve">, com representações em diversos tipos de gráfico, os </t>
    </r>
    <r>
      <rPr>
        <b/>
        <sz val="11"/>
        <rFont val="Calibri"/>
        <family val="2"/>
      </rPr>
      <t>dados</t>
    </r>
    <r>
      <rPr>
        <sz val="11"/>
        <rFont val="Calibri"/>
        <family val="2"/>
      </rPr>
      <t xml:space="preserve"> constantes dos quadros da </t>
    </r>
    <r>
      <rPr>
        <b/>
        <sz val="11"/>
        <rFont val="Calibri"/>
        <family val="2"/>
      </rPr>
      <t>publicação</t>
    </r>
    <r>
      <rPr>
        <sz val="11"/>
        <rFont val="Calibri"/>
        <family val="2"/>
      </rPr>
      <t xml:space="preserve"> GEP/MTSSS, Séries Cronológicas: Quadros de Pessoal 2013-2023 (disponível em formato .pdf e Excel em </t>
    </r>
    <r>
      <rPr>
        <u/>
        <sz val="11"/>
        <color rgb="FF0070C0"/>
        <rFont val="Calibri"/>
        <family val="2"/>
      </rPr>
      <t>www.gep.mtsss.pt</t>
    </r>
    <r>
      <rPr>
        <sz val="11"/>
        <rFont val="Calibri"/>
        <family val="2"/>
      </rPr>
      <t xml:space="preserve">) e permite ao </t>
    </r>
    <r>
      <rPr>
        <b/>
        <sz val="11"/>
        <rFont val="Calibri"/>
        <family val="2"/>
      </rPr>
      <t>utilizador selecionar</t>
    </r>
    <r>
      <rPr>
        <sz val="11"/>
        <rFont val="Calibri"/>
        <family val="2"/>
      </rPr>
      <t xml:space="preserve">, nalguns casos, as </t>
    </r>
    <r>
      <rPr>
        <b/>
        <sz val="11"/>
        <rFont val="Calibri"/>
        <family val="2"/>
      </rPr>
      <t xml:space="preserve">variáveis / anos / desagregações </t>
    </r>
    <r>
      <rPr>
        <sz val="11"/>
        <rFont val="Calibri"/>
        <family val="2"/>
      </rPr>
      <t>que desejar. Contém (cf. folha "</t>
    </r>
    <r>
      <rPr>
        <b/>
        <sz val="11"/>
        <rFont val="Calibri"/>
        <family val="2"/>
      </rPr>
      <t>Capa_Indice</t>
    </r>
    <r>
      <rPr>
        <sz val="11"/>
        <rFont val="Calibri"/>
        <family val="2"/>
      </rPr>
      <t>"), portanto, informação sobre</t>
    </r>
    <r>
      <rPr>
        <b/>
        <sz val="11"/>
        <rFont val="Calibri"/>
        <family val="2"/>
      </rPr>
      <t xml:space="preserve"> </t>
    </r>
    <r>
      <rPr>
        <b/>
        <u/>
        <sz val="11"/>
        <rFont val="Calibri"/>
        <family val="2"/>
      </rPr>
      <t>empresas</t>
    </r>
    <r>
      <rPr>
        <sz val="11"/>
        <rFont val="Calibri"/>
        <family val="2"/>
      </rPr>
      <t xml:space="preserve">; </t>
    </r>
    <r>
      <rPr>
        <b/>
        <u/>
        <sz val="11"/>
        <rFont val="Calibri"/>
        <family val="2"/>
      </rPr>
      <t>estabelecimentos</t>
    </r>
    <r>
      <rPr>
        <sz val="11"/>
        <rFont val="Calibri"/>
        <family val="2"/>
      </rPr>
      <t xml:space="preserve">; </t>
    </r>
    <r>
      <rPr>
        <b/>
        <u/>
        <sz val="11"/>
        <rFont val="Calibri"/>
        <family val="2"/>
      </rPr>
      <t>pessoas ao serviço</t>
    </r>
    <r>
      <rPr>
        <sz val="11"/>
        <rFont val="Calibri"/>
        <family val="2"/>
      </rPr>
      <t>;</t>
    </r>
    <r>
      <rPr>
        <b/>
        <sz val="11"/>
        <rFont val="Calibri"/>
        <family val="2"/>
      </rPr>
      <t xml:space="preserve"> </t>
    </r>
    <r>
      <rPr>
        <b/>
        <u/>
        <sz val="11"/>
        <rFont val="Calibri"/>
        <family val="2"/>
      </rPr>
      <t>TCO</t>
    </r>
    <r>
      <rPr>
        <sz val="11"/>
        <rFont val="Calibri"/>
        <family val="2"/>
      </rPr>
      <t xml:space="preserve">; </t>
    </r>
    <r>
      <rPr>
        <u/>
        <sz val="11"/>
        <rFont val="Calibri"/>
        <family val="2"/>
      </rPr>
      <t>r</t>
    </r>
    <r>
      <rPr>
        <b/>
        <u/>
        <sz val="11"/>
        <rFont val="Calibri"/>
        <family val="2"/>
      </rPr>
      <t>emuneração mensal base</t>
    </r>
    <r>
      <rPr>
        <sz val="11"/>
        <rFont val="Calibri"/>
        <family val="2"/>
      </rPr>
      <t xml:space="preserve"> e </t>
    </r>
    <r>
      <rPr>
        <b/>
        <u/>
        <sz val="11"/>
        <rFont val="Calibri"/>
        <family val="2"/>
      </rPr>
      <t>ganho</t>
    </r>
    <r>
      <rPr>
        <sz val="11"/>
        <rFont val="Calibri"/>
        <family val="2"/>
      </rPr>
      <t>, desagregada por:
- Características das empresas (folhas "</t>
    </r>
    <r>
      <rPr>
        <b/>
        <sz val="11"/>
        <rFont val="Calibri"/>
        <family val="2"/>
      </rPr>
      <t>Estrutura Empresarial</t>
    </r>
    <r>
      <rPr>
        <sz val="11"/>
        <rFont val="Calibri"/>
        <family val="2"/>
      </rPr>
      <t>"); 
- Distritos (folha "</t>
    </r>
    <r>
      <rPr>
        <b/>
        <sz val="11"/>
        <rFont val="Calibri"/>
        <family val="2"/>
      </rPr>
      <t>Distritos</t>
    </r>
    <r>
      <rPr>
        <sz val="11"/>
        <rFont val="Calibri"/>
        <family val="2"/>
      </rPr>
      <t>"), permitindo um retrato do distrito que se selecionar;
- NUTS 2024;
- Características dos TCO (folhas "Caracteristicas TCO_1" e "Caracteristicas TCO_2").
Apresentam-se ainda alguns indicadores de desigualdade e dados sobre contratação coletiva de trabalho (incluindo remunerações efetivas por tipo de Instrumento de Regulamentação Coletiva de Trabalho - IRCT - na folha "</t>
    </r>
    <r>
      <rPr>
        <b/>
        <sz val="11"/>
        <rFont val="Calibri"/>
        <family val="2"/>
      </rPr>
      <t>Desigualdade_Contratacao</t>
    </r>
    <r>
      <rPr>
        <sz val="11"/>
        <rFont val="Calibri"/>
        <family val="2"/>
      </rPr>
      <t xml:space="preserve">").
Os </t>
    </r>
    <r>
      <rPr>
        <b/>
        <sz val="11"/>
        <rFont val="Calibri"/>
        <family val="2"/>
      </rPr>
      <t>Quadros de Pessoal</t>
    </r>
    <r>
      <rPr>
        <sz val="11"/>
        <rFont val="Calibri"/>
        <family val="2"/>
      </rPr>
      <t xml:space="preserve"> constituem o </t>
    </r>
    <r>
      <rPr>
        <b/>
        <sz val="11"/>
        <rFont val="Calibri"/>
        <family val="2"/>
      </rPr>
      <t>anexo A do Relatório Único</t>
    </r>
    <r>
      <rPr>
        <sz val="11"/>
        <rFont val="Calibri"/>
        <family val="2"/>
      </rPr>
      <t xml:space="preserve"> (RU). A obrigatoriedade de resposta ao RU foi definida para os </t>
    </r>
    <r>
      <rPr>
        <b/>
        <sz val="11"/>
        <rFont val="Calibri"/>
        <family val="2"/>
      </rPr>
      <t>empregadores abrangidos pelo Código do Trabalho</t>
    </r>
    <r>
      <rPr>
        <sz val="11"/>
        <rFont val="Calibri"/>
        <family val="2"/>
      </rPr>
      <t xml:space="preserve"> e pela legislação específica dele decorrente, ficando excluídos desta obrigação os serviços e órgãos que apenas tenham trabalhadores abrangidos pelo Regime do Contrato de Trabalho em Funções Públicas, uma vez que têm legislação especial.
</t>
    </r>
    <r>
      <rPr>
        <b/>
        <u/>
        <sz val="11"/>
        <rFont val="Calibri"/>
        <family val="2"/>
      </rPr>
      <t>Mais informações</t>
    </r>
    <r>
      <rPr>
        <sz val="11"/>
        <rFont val="Calibri"/>
        <family val="2"/>
      </rPr>
      <t xml:space="preserve">: GEP/MTSSS, Quadros de Pessoal 2023 - Síntese e Publicação. GEP/MTSSS, Séries Cronológicas: Quadros de Pessoal 2013-2023 (disponíveis em </t>
    </r>
    <r>
      <rPr>
        <u/>
        <sz val="11"/>
        <color rgb="FF0070C0"/>
        <rFont val="Calibri"/>
        <family val="2"/>
      </rPr>
      <t>www.gep.mtsss.pt</t>
    </r>
    <r>
      <rPr>
        <sz val="11"/>
        <rFont val="Calibri"/>
        <family val="2"/>
      </rPr>
      <t xml:space="preserve">). </t>
    </r>
    <r>
      <rPr>
        <u/>
        <sz val="11"/>
        <color rgb="FF0070C0"/>
        <rFont val="Calibri"/>
        <family val="2"/>
      </rPr>
      <t>https://www.relatoriounico.pt/ru/documents.seam</t>
    </r>
    <r>
      <rPr>
        <sz val="11"/>
        <rFont val="Calibri"/>
        <family val="2"/>
      </rPr>
      <t>.</t>
    </r>
  </si>
  <si>
    <t>Introdução - Quadros de Pessoal</t>
  </si>
  <si>
    <t xml:space="preserve">O Relatório Único criado em 2010 e referente à informação sobre a atividade social da empresa, constitui uma obrigação anual, a cargo dos empregadores, com conteúdo e prazo de apresentação regulados na Portaria nº 55/2010, de 21 de janeiro. É constituído por seis anexos, sobre várias áreas, correspondendo o Anexo A ao Quadro de Pessoal.
A obrigatoriedade de resposta ao Relatório Único foi definida para os empregadores com trabalhadores abrangidos pelo Código do Trabalho e pela legislação específica dele decorrente. Os serviços e órgãos que apenas tenham trabalhadores abrangidos pelo Regime do Contrato de Trabalho em Funções Públicas ficam, portanto, excluídos.
As séries de Quadros de Pessoal, têm como âmbito geográfico o Continente e como referência o mês de outubro, apresentando informação relativa a Estrutura Empresarial, Emprego, Duração do Trabalho, Remunerações e Regulamentação Coletiva de Trabalho. A informação é desagregada segundo as variáveis qualificantes quer dos trabalhadores por conta de outrem (sexo, idade, nível de qualificação, habilitação, profissão), quer das unidades declarantes (empresas e estabelecimentos) e das classificações aplicadas (Classificação Portuguesa das Atividades Económicas, revisão 3 e Classificação Portuguesa das Profissões/2010).
Os dados relativos às Regiões Autónomas dos Açores e da Madeira podem ser obtidos junto dos Serviços Regionais detentores desta fonte estatística, em cada Região Autónoma. </t>
  </si>
  <si>
    <r>
      <t xml:space="preserve">Os Quadros de Pessoal têm informação sobre </t>
    </r>
    <r>
      <rPr>
        <b/>
        <sz val="9"/>
        <color rgb="FF415263"/>
        <rFont val="Arial"/>
        <family val="2"/>
      </rPr>
      <t>Empresas</t>
    </r>
    <r>
      <rPr>
        <sz val="9"/>
        <color rgb="FF415263"/>
        <rFont val="Arial"/>
        <family val="2"/>
      </rPr>
      <t xml:space="preserve">, </t>
    </r>
    <r>
      <rPr>
        <b/>
        <sz val="9"/>
        <color rgb="FF415263"/>
        <rFont val="Arial"/>
        <family val="2"/>
      </rPr>
      <t>Estabelecimentos</t>
    </r>
    <r>
      <rPr>
        <sz val="9"/>
        <color rgb="FF415263"/>
        <rFont val="Arial"/>
        <family val="2"/>
      </rPr>
      <t xml:space="preserve"> e </t>
    </r>
    <r>
      <rPr>
        <b/>
        <sz val="9"/>
        <color rgb="FF415263"/>
        <rFont val="Arial"/>
        <family val="2"/>
      </rPr>
      <t>Pessoas ao serviço</t>
    </r>
    <r>
      <rPr>
        <sz val="9"/>
        <color rgb="FF415263"/>
        <rFont val="Arial"/>
        <family val="2"/>
      </rPr>
      <t xml:space="preserve"> (nas empresas e nos estabelecimentos) desde 1985 e permitem apurar dados sobre a </t>
    </r>
    <r>
      <rPr>
        <b/>
        <sz val="9"/>
        <color rgb="FF415263"/>
        <rFont val="Arial"/>
        <family val="2"/>
      </rPr>
      <t>Estrutura Empresaria</t>
    </r>
    <r>
      <rPr>
        <sz val="9"/>
        <color rgb="FF415263"/>
        <rFont val="Arial"/>
        <family val="2"/>
      </rPr>
      <t xml:space="preserve">l, </t>
    </r>
    <r>
      <rPr>
        <b/>
        <sz val="9"/>
        <color rgb="FF415263"/>
        <rFont val="Arial"/>
        <family val="2"/>
      </rPr>
      <t>Emprego</t>
    </r>
    <r>
      <rPr>
        <sz val="9"/>
        <color rgb="FF415263"/>
        <rFont val="Arial"/>
        <family val="2"/>
      </rPr>
      <t xml:space="preserve">, </t>
    </r>
    <r>
      <rPr>
        <b/>
        <sz val="9"/>
        <color rgb="FF415263"/>
        <rFont val="Arial"/>
        <family val="2"/>
      </rPr>
      <t>Duração de Trabalho</t>
    </r>
    <r>
      <rPr>
        <sz val="9"/>
        <color rgb="FF415263"/>
        <rFont val="Arial"/>
        <family val="2"/>
      </rPr>
      <t xml:space="preserve">, </t>
    </r>
    <r>
      <rPr>
        <b/>
        <sz val="9"/>
        <color rgb="FF415263"/>
        <rFont val="Arial"/>
        <family val="2"/>
      </rPr>
      <t>Remunerações</t>
    </r>
    <r>
      <rPr>
        <sz val="9"/>
        <color rgb="FF415263"/>
        <rFont val="Arial"/>
        <family val="2"/>
      </rPr>
      <t xml:space="preserve"> e </t>
    </r>
    <r>
      <rPr>
        <b/>
        <sz val="9"/>
        <color rgb="FF415263"/>
        <rFont val="Arial"/>
        <family val="2"/>
      </rPr>
      <t>Regulamentação Coletiva de Trabalho</t>
    </r>
    <r>
      <rPr>
        <sz val="9"/>
        <color rgb="FF415263"/>
        <rFont val="Arial"/>
        <family val="2"/>
      </rPr>
      <t xml:space="preserve">.
Os </t>
    </r>
    <r>
      <rPr>
        <b/>
        <sz val="9"/>
        <color rgb="FF415263"/>
        <rFont val="Arial"/>
        <family val="2"/>
      </rPr>
      <t>Pedidos de informação estatística</t>
    </r>
    <r>
      <rPr>
        <sz val="9"/>
        <color rgb="FF415263"/>
        <rFont val="Arial"/>
        <family val="2"/>
      </rPr>
      <t xml:space="preserve">  podem ser enviados através do </t>
    </r>
    <r>
      <rPr>
        <i/>
        <sz val="9"/>
        <color rgb="FF415263"/>
        <rFont val="Arial"/>
        <family val="2"/>
      </rPr>
      <t>e-mail gep.dados@gep.mtsss.pt</t>
    </r>
  </si>
  <si>
    <r>
      <rPr>
        <b/>
        <sz val="9"/>
        <color rgb="FF415263"/>
        <rFont val="Arial"/>
        <family val="2"/>
      </rPr>
      <t>Empresa</t>
    </r>
    <r>
      <rPr>
        <sz val="9"/>
        <color rgb="FF415263"/>
        <rFont val="Arial"/>
        <family val="2"/>
      </rPr>
      <t xml:space="preserve"> - unidade organizacional de produção de bens e/ou serviços, usufruindo de uma certa autonomia de decisão, nomeadamente, quanto à afetação dos seus recursos correntes. Uma empresa exerce uma ou mais atividades em um ou vários locais. 
A informação recolhida das empresas passa pela descrição de algumas características da empresa sede, nomeadamente: 
    - Identificação (nome e identificação fiscal);
    - Localização da empresa e contactos (endereço postal completo da sede da empresa, distrito, concelho, 	freguesia, telefone, fax e correio eletrónico);
    - Associação patronal em que se encontra inscrita;
    - Atividade principal da empresa a cinco dígitos segundo a CAE em vigor;
    - Natureza jurídica;
    - Ano de constituição da empresa;
    - Número de pessoas ao serviço da empresa na última semana de Outubro;
    - Capital Social;
    - Volume de negócios referente ao exercício do ano anterior.</t>
    </r>
  </si>
  <si>
    <r>
      <rPr>
        <b/>
        <sz val="9"/>
        <color rgb="FF415263"/>
        <rFont val="Arial"/>
        <family val="2"/>
      </rPr>
      <t>Atividade Principal da Empresa</t>
    </r>
    <r>
      <rPr>
        <sz val="9"/>
        <color rgb="FF415263"/>
        <rFont val="Arial"/>
        <family val="2"/>
      </rPr>
      <t xml:space="preserve"> - atividade de acordo com a Classificação Portuguesa das Atividades Económicas em vigor. É considerada a atividade de maior importância, no conjunto das atividades exercidas pela empresa, medida pelo valor a preços de venda dos produtos vendidos ou fabricados ou dos serviços prestados. Na impossibilidade da sua determinação por este critério, considera-se como principal a que ocupa, com carácter de permanência, o maior número de pessoas ao serviço.</t>
    </r>
  </si>
  <si>
    <r>
      <rPr>
        <b/>
        <sz val="9"/>
        <color rgb="FF415263"/>
        <rFont val="Arial"/>
        <family val="2"/>
      </rPr>
      <t>Estabelecimento</t>
    </r>
    <r>
      <rPr>
        <sz val="9"/>
        <color rgb="FF415263"/>
        <rFont val="Arial"/>
        <family val="2"/>
      </rPr>
      <t xml:space="preserve"> - unidade económica que, sob um único regime de propriedade ou de controlo (quer dizer, sob a autoridade de uma só entidade jurídica), exerce, exclusiva ou principalmente, um só tipo de atividade económica, num só local.
Unidade local ou estabelecimento corresponde a uma empresa ou parte de empresa situada num local topograficamente identificado. Nesse local, ou a partir dele exerce-se uma ou várias atividades económicas.
A informação recolhida dos estabelecimentos, é fornecida ao GEP pela empresa sede e passa pela descrição de algumas características, nomeadamente: 
    - Identificação (nome diferente ou igual ao da empresa);
    - Localização do estabelecimento e contactos (endereço postal completo da sede da empresa, distrito, concelho, freguesia, telefone, fax e correio eletrónico);
    - Atividade principal do estabelecimento a cinco dígitos segundo a CAE em vigor;
    - Número de pessoas ao serviço no estabelecimento na última semana de outubro.</t>
    </r>
  </si>
  <si>
    <r>
      <rPr>
        <b/>
        <sz val="9"/>
        <color rgb="FF415263"/>
        <rFont val="Arial"/>
        <family val="2"/>
      </rPr>
      <t>Instrumento de regulamentação coletiva de trabalho (IRCT)</t>
    </r>
    <r>
      <rPr>
        <sz val="9"/>
        <color rgb="FF415263"/>
        <rFont val="Arial"/>
        <family val="2"/>
      </rPr>
      <t xml:space="preserve">: conjunto de normas reguladoras das relações de trabalho de natureza convencional, arbitral ou regulamentar. Pode ser: </t>
    </r>
  </si>
  <si>
    <r>
      <rPr>
        <b/>
        <sz val="9"/>
        <color rgb="FF415263"/>
        <rFont val="Arial"/>
        <family val="2"/>
      </rPr>
      <t>Contrato coletivo de trabalho (CCT)</t>
    </r>
    <r>
      <rPr>
        <sz val="9"/>
        <color rgb="FF415263"/>
        <rFont val="Arial"/>
        <family val="2"/>
      </rPr>
      <t>: conjunto de normas reguladoras das relações de trabalho resultante de acordo entre uma ou mais associações de empregadores e uma ou mais associações sindicais;</t>
    </r>
  </si>
  <si>
    <r>
      <rPr>
        <b/>
        <sz val="9"/>
        <color rgb="FF415263"/>
        <rFont val="Arial"/>
        <family val="2"/>
      </rPr>
      <t>Acordo coletivo de trabalho (ACT)</t>
    </r>
    <r>
      <rPr>
        <sz val="9"/>
        <color rgb="FF415263"/>
        <rFont val="Arial"/>
        <family val="2"/>
      </rPr>
      <t>: conjunto de normas reguladoras das relações de trabalho resultante de acordo entre uma pluralidade de empregadores para diferentes empresas e uma ou mais associações sindicais;</t>
    </r>
  </si>
  <si>
    <r>
      <rPr>
        <b/>
        <sz val="9"/>
        <color rgb="FF415263"/>
        <rFont val="Arial"/>
        <family val="2"/>
      </rPr>
      <t>Acordo de empresa (AE):</t>
    </r>
    <r>
      <rPr>
        <sz val="9"/>
        <color rgb="FF415263"/>
        <rFont val="Arial"/>
        <family val="2"/>
      </rPr>
      <t xml:space="preserve"> conjunto de normas reguladoras das relações de trabalho resultante de acordo entre um empregador para uma empresa ou estabelecimento e uma ou mais associações sindicais;</t>
    </r>
  </si>
  <si>
    <r>
      <rPr>
        <b/>
        <sz val="9"/>
        <color rgb="FF415263"/>
        <rFont val="Arial"/>
        <family val="2"/>
      </rPr>
      <t>Portaria de condições de trabalho (PCT)</t>
    </r>
    <r>
      <rPr>
        <sz val="9"/>
        <color rgb="FF415263"/>
        <rFont val="Arial"/>
        <family val="2"/>
      </rPr>
      <t xml:space="preserve"> - portaria que contém as normas reguladoras das condições de trabalho no seu âmbito de aplicação. </t>
    </r>
  </si>
  <si>
    <r>
      <rPr>
        <b/>
        <sz val="9"/>
        <color rgb="FF415263"/>
        <rFont val="Arial"/>
        <family val="2"/>
      </rPr>
      <t>Pessoas ao serviço</t>
    </r>
    <r>
      <rPr>
        <sz val="9"/>
        <color rgb="FF415263"/>
        <rFont val="Arial"/>
        <family val="2"/>
      </rPr>
      <t xml:space="preserve"> – número de pessoas ao serviço, independentemente do tipo de vínculo que possuem.
As pessoas ao serviço englobam para além dos trabalhadores por conta de outrem, os empregadores desde que exerçam funções na empresa, os trabalhadores familiares não remunerados e os membros ativos de cooperativa de produção. 
A informação das pessoas ao serviço é recolhida por estabelecimento, sendo fornecida ao GEP pela empresa sede e passa pela descrição de algumas características, nomeadamente: 
    - Data de Nascimento, Antiguidade, Data de Admissão, Data da Última Promoção, Nível de Qualificação, Nível de Habilitação, Profissão, Sexo, Nacionalidade, Categoria Profissional, Situação Profissional, Tipo de Contrato e Regime de Duração de Trabalho;
    - Remunerações referentes ao mês de outubro (remuneração base, prémios e subsídios regulares, remuneração por trabalho suplementar e prestações irregulares pagas em outubro);
    - Horas mensais remuneradas (horas mensais normais, horas mensais suplementares efetuadas em outubro) e período normal de trabalho semanal.</t>
    </r>
  </si>
  <si>
    <r>
      <rPr>
        <b/>
        <sz val="9"/>
        <color rgb="FF415263"/>
        <rFont val="Arial"/>
        <family val="2"/>
      </rPr>
      <t>Trabalhador por conta de outrem (TCO)</t>
    </r>
    <r>
      <rPr>
        <sz val="9"/>
        <color rgb="FF415263"/>
        <rFont val="Arial"/>
        <family val="2"/>
      </rPr>
      <t xml:space="preserve"> - indivíduo que exerce uma atividade sob a autoridade e direção de outrem, nos termos de um contrato de trabalho, sujeito ou não a uma forma escrita e que lhe confere o direito a uma remuneração, a qual não depende dos resultados da unidade económica para a qual trabalha. </t>
    </r>
  </si>
  <si>
    <r>
      <rPr>
        <b/>
        <sz val="9"/>
        <color rgb="FF415263"/>
        <rFont val="Arial"/>
        <family val="2"/>
      </rPr>
      <t>Remuneração Base</t>
    </r>
    <r>
      <rPr>
        <sz val="9"/>
        <color rgb="FF415263"/>
        <rFont val="Arial"/>
        <family val="2"/>
      </rPr>
      <t xml:space="preserve"> - montante ilíquido (antes da dedução de quaisquer descontos) em dinheiro e/ou géneros pago aos trabalhadores, com carácter regular mensal, referente ao mês de outubro e correspondente às horas normais de trabalho.</t>
    </r>
  </si>
  <si>
    <r>
      <rPr>
        <b/>
        <sz val="9"/>
        <color rgb="FF415263"/>
        <rFont val="Arial"/>
        <family val="2"/>
      </rPr>
      <t>Remuneração Base horária média</t>
    </r>
    <r>
      <rPr>
        <sz val="9"/>
        <color rgb="FF415263"/>
        <rFont val="Arial"/>
        <family val="2"/>
      </rPr>
      <t xml:space="preserve"> - corresponde ao quociente entre a remuneração base mensal e o número de horas mensais remuneradas normais dos TCO em estabelecimentos do Continente.</t>
    </r>
  </si>
  <si>
    <r>
      <rPr>
        <b/>
        <sz val="9"/>
        <color rgb="FF415263"/>
        <rFont val="Arial"/>
        <family val="2"/>
      </rPr>
      <t>Remuneração Ganho</t>
    </r>
    <r>
      <rPr>
        <sz val="9"/>
        <color rgb="FF415263"/>
        <rFont val="Arial"/>
        <family val="2"/>
      </rPr>
      <t xml:space="preserve"> - montante ilíquido em dinheiro e/ou géneros, pago ao trabalhador com carácter regular em relação ao período de referência por tempo trabalhado ou trabalho fornecido no período normal e extraordinário. Inclui, ainda, o pagamento de horas remuneradas mas não efetuadas (férias, feriados, e outras ausências pagas). Remuneração Ganho = Remuneração Base + Subsídio de refeição + subsídio por turnos + Outros Prémios e Subsídios Regulares + Remuneração de horas suplementares efetuadas em outubro.</t>
    </r>
  </si>
  <si>
    <r>
      <rPr>
        <b/>
        <sz val="9"/>
        <color rgb="FF415263"/>
        <rFont val="Arial"/>
        <family val="2"/>
      </rPr>
      <t>Prémios e subsídios regulares</t>
    </r>
    <r>
      <rPr>
        <sz val="9"/>
        <color rgb="FF415263"/>
        <rFont val="Arial"/>
        <family val="2"/>
      </rPr>
      <t xml:space="preserve"> -  montante ilíquido pago às pessoas ao serviço, com carácter regular mensal, por subsídio de alimentação, de função, de alojamento ou transporte, diuturnidades ou prémios de antiguidade, de produtividade, de assiduidade, subsídios por trabalhos penosos, perigosos ou sujos, subsídios por trabalho de turnos e noturnos. Exclui os montantes relativos a retroativos, indemnizações, subsídios de Natal ou férias.</t>
    </r>
  </si>
  <si>
    <r>
      <t>Horas mensais remuneradas normais - c</t>
    </r>
    <r>
      <rPr>
        <sz val="9"/>
        <color rgb="FF415263"/>
        <rFont val="Arial"/>
        <family val="2"/>
      </rPr>
      <t>orrespondem às horas pelas quais o trabalhador recebeu uma remuneração. São equivalentes às horas efetivamente trabalhadas, mais as horas pagas e não trabalhadas, como férias anuais, os dias feriados pagos, as faltas por doença remuneradas e outras ausências que não conduzem a perda de remuneração. Não se incluem as horas suplementares e extraordinárias.</t>
    </r>
  </si>
  <si>
    <r>
      <rPr>
        <b/>
        <sz val="9"/>
        <color rgb="FF415263"/>
        <rFont val="Arial"/>
        <family val="2"/>
      </rPr>
      <t>Âmbito Regional</t>
    </r>
    <r>
      <rPr>
        <sz val="9"/>
        <color rgb="FF415263"/>
        <rFont val="Arial"/>
        <family val="2"/>
      </rPr>
      <t xml:space="preserve"> – os Quadros de Pessoal cobrem todo o território nacional; os apuramentos podem ser efetuados para o País, Continente, Regiões (NUTS), Distritos, Concelhos e Freguesia (a partir de 2003). A nível regional, nomeadamente ao nível do Concelho e da Freguesia, deve ter-se em conta:</t>
    </r>
  </si>
  <si>
    <r>
      <rPr>
        <sz val="9"/>
        <color rgb="FF415263"/>
        <rFont val="Calibri"/>
        <family val="2"/>
      </rPr>
      <t xml:space="preserve">- </t>
    </r>
    <r>
      <rPr>
        <sz val="9"/>
        <color rgb="FF415263"/>
        <rFont val="Arial"/>
        <family val="2"/>
      </rPr>
      <t xml:space="preserve">Empresas: são contabilizadas as empresas que possuem sede na região em causa;
</t>
    </r>
  </si>
  <si>
    <t>- Estabelecimentos: são contabilizados os estabelecimentos presentes na região, independentemente da localização da sede da empresa a que pertencem.</t>
  </si>
  <si>
    <r>
      <rPr>
        <b/>
        <sz val="9"/>
        <color rgb="FF415263"/>
        <rFont val="Arial"/>
        <family val="2"/>
      </rPr>
      <t>Classificação Portuguesa das Atividades Económicas (CAE)</t>
    </r>
    <r>
      <rPr>
        <sz val="9"/>
        <color rgb="FF415263"/>
        <rFont val="Arial"/>
        <family val="2"/>
      </rPr>
      <t xml:space="preserve"> – a informação dos Quadros de Pessoal é classificada de acordo com a CAE, sendo possível fornecer informação aos diversos níveis de desagregação, salvaguardando os aspetos relacionados com a confidencialidade da informação estatística. Pode ser fornecida informação da atividade económica das empresas e/ou dos estabelecimentos.</t>
    </r>
  </si>
  <si>
    <r>
      <rPr>
        <b/>
        <sz val="9"/>
        <color rgb="FF415263"/>
        <rFont val="Arial"/>
        <family val="2"/>
      </rPr>
      <t xml:space="preserve">Classificação Portuguesa das Profissões (CPP) - </t>
    </r>
    <r>
      <rPr>
        <sz val="9"/>
        <color rgb="FF415263"/>
        <rFont val="Arial"/>
        <family val="2"/>
      </rPr>
      <t xml:space="preserve">no âmbito dos Quadros de Pessoal a informação relativa à profissão é classificada de acordo com a CPP, publicada pelo Instituto Nacional de Estatística (INE), que organiza e codifica as profissões em Portugal com base nas atividades exercidas e competências requeridas. Estruturada em quatro níveis hierárquicos, está alinhada com a Classificação Internacional Tipo de Profissões da OIT, facilitando análises estatísticas e políticas públicas no mercado de trabalho. </t>
    </r>
  </si>
  <si>
    <t>As séries de Quadros de Pessoal apresentam a informação de acordo com as nomenclatruras em vigor à data da sua publicação (NUTS 2024, CAE - Rev. 3 e CPP/2010).</t>
  </si>
  <si>
    <r>
      <rPr>
        <sz val="11"/>
        <rFont val="Calibri"/>
        <family val="2"/>
        <scheme val="minor"/>
      </rPr>
      <t>Mais informação disponível em:</t>
    </r>
    <r>
      <rPr>
        <u/>
        <sz val="11"/>
        <color indexed="12"/>
        <rFont val="Calibri"/>
        <family val="2"/>
        <scheme val="minor"/>
      </rPr>
      <t xml:space="preserve"> Classificação Portuguesa das Profissões : 2010. Lisboa : INE, 2011</t>
    </r>
  </si>
  <si>
    <r>
      <rPr>
        <sz val="11"/>
        <rFont val="Calibri"/>
        <family val="2"/>
        <scheme val="minor"/>
      </rPr>
      <t>Estrutura dos Níveis de Qualificação disponível em:</t>
    </r>
    <r>
      <rPr>
        <sz val="11"/>
        <color rgb="FF0000FF"/>
        <rFont val="Calibri"/>
        <family val="2"/>
        <scheme val="minor"/>
      </rPr>
      <t xml:space="preserve"> </t>
    </r>
    <r>
      <rPr>
        <u/>
        <sz val="11"/>
        <color indexed="12"/>
        <rFont val="Calibri"/>
        <family val="2"/>
        <scheme val="minor"/>
      </rPr>
      <t>Decreto-Lei n.º 121/78, de 2 de junho.</t>
    </r>
  </si>
  <si>
    <r>
      <rPr>
        <sz val="11"/>
        <rFont val="Calibri"/>
        <family val="2"/>
        <scheme val="minor"/>
      </rPr>
      <t>Mais informação disponível em:</t>
    </r>
    <r>
      <rPr>
        <u/>
        <sz val="11"/>
        <color indexed="12"/>
        <rFont val="Calibri"/>
        <family val="2"/>
        <scheme val="minor"/>
      </rPr>
      <t xml:space="preserve"> Classificação Portuguesa das Actividades Económicas, Revisão 3. Lisboa : INE, 2007. </t>
    </r>
  </si>
  <si>
    <t>Ind. transf.</t>
  </si>
  <si>
    <t>Com. por grosso e ret. (…)</t>
  </si>
  <si>
    <t xml:space="preserve">e </t>
  </si>
  <si>
    <t>Ativ. Admin. e dos serv. apoio</t>
  </si>
  <si>
    <t xml:space="preserve">, e </t>
  </si>
  <si>
    <t>2013 - 2017</t>
  </si>
  <si>
    <t>2016 - 2023</t>
  </si>
  <si>
    <t>Nota: Retribuição Mínima Mensal Garantida (RMMG) - Continente 2013=485,00 euros; 2014=505,00 euros; 2015=505,00 euros; 2016=530,00 euros; 2017=557,00 euros; 2018=580,00 euros; 2019=600,00 euros; 2020=635,00 euros; 2021 = 665,00 euros; 2022 = 705,00 euros e 2023 = 760,00 euros.</t>
  </si>
  <si>
    <t>p.p</t>
  </si>
  <si>
    <t>ou seja</t>
  </si>
  <si>
    <t>variação 2023/2022</t>
  </si>
  <si>
    <t>variação 2023/2013</t>
  </si>
  <si>
    <t xml:space="preserve">variação de </t>
  </si>
  <si>
    <t xml:space="preserve">% face a 2013, </t>
  </si>
  <si>
    <t xml:space="preserve"> face a 2013,</t>
  </si>
  <si>
    <t xml:space="preserve"> ou seja</t>
  </si>
  <si>
    <t>% face a 2013, ou seja</t>
  </si>
  <si>
    <t xml:space="preserve"> TCO (</t>
  </si>
  <si>
    <t xml:space="preserve"> euros</t>
  </si>
  <si>
    <t xml:space="preserve"> euros a remuneração média mensal ganho (variação de </t>
  </si>
  <si>
    <t xml:space="preserve"> empresas (variação de </t>
  </si>
  <si>
    <t xml:space="preserve"> estabelecimentos (variação de </t>
  </si>
  <si>
    <t xml:space="preserve"> pessoas (variação de </t>
  </si>
  <si>
    <t xml:space="preserve"> TCO (variação de </t>
  </si>
  <si>
    <t xml:space="preserve"> euros (variação de </t>
  </si>
  <si>
    <t xml:space="preserve">% face a 2013, ou seja </t>
  </si>
  <si>
    <t>Anos iguais</t>
  </si>
  <si>
    <t>Anos diferentes</t>
  </si>
  <si>
    <t>2013, 2014, 2016, 2018, 2019, 2020, 2021, 2022</t>
  </si>
  <si>
    <t>2015, 2017, 2023</t>
  </si>
  <si>
    <t>ATENÇÃO - Análise muda de acordo com estes anos</t>
  </si>
  <si>
    <t>Anos diferentes:</t>
  </si>
  <si>
    <t xml:space="preserve">Anos iguais </t>
  </si>
  <si>
    <t xml:space="preserve">Base: </t>
  </si>
  <si>
    <t xml:space="preserve">Ganho: </t>
  </si>
  <si>
    <t>"</t>
  </si>
  <si>
    <r>
      <rPr>
        <b/>
        <u/>
        <sz val="11"/>
        <rFont val="Calibri"/>
        <family val="2"/>
        <scheme val="minor"/>
      </rPr>
      <t>Nomenclaturas</t>
    </r>
    <r>
      <rPr>
        <sz val="11"/>
        <rFont val="Calibri"/>
        <family val="2"/>
        <scheme val="minor"/>
      </rPr>
      <t xml:space="preserve">
</t>
    </r>
    <r>
      <rPr>
        <b/>
        <sz val="11"/>
        <rFont val="Calibri"/>
        <family val="2"/>
        <scheme val="minor"/>
      </rPr>
      <t>Classificação Portuguesa das Atividades Económicas (CAE) Rev. 3</t>
    </r>
    <r>
      <rPr>
        <sz val="11"/>
        <rFont val="Calibri"/>
        <family val="2"/>
        <scheme val="minor"/>
      </rPr>
      <t xml:space="preserve"> - </t>
    </r>
    <r>
      <rPr>
        <b/>
        <sz val="11"/>
        <rFont val="Calibri"/>
        <family val="2"/>
        <scheme val="minor"/>
      </rPr>
      <t>Secção da Atividade Económica</t>
    </r>
    <r>
      <rPr>
        <sz val="11"/>
        <rFont val="Calibri"/>
        <family val="2"/>
        <scheme val="minor"/>
      </rPr>
      <t xml:space="preserve">: </t>
    </r>
    <r>
      <rPr>
        <b/>
        <sz val="11"/>
        <rFont val="Calibri"/>
        <family val="2"/>
        <scheme val="minor"/>
      </rPr>
      <t>A</t>
    </r>
    <r>
      <rPr>
        <sz val="11"/>
        <rFont val="Calibri"/>
        <family val="2"/>
        <scheme val="minor"/>
      </rPr>
      <t xml:space="preserve"> - Agricultura, produção animal, caça, floresta e pesca; </t>
    </r>
    <r>
      <rPr>
        <b/>
        <sz val="11"/>
        <rFont val="Calibri"/>
        <family val="2"/>
        <scheme val="minor"/>
      </rPr>
      <t>B</t>
    </r>
    <r>
      <rPr>
        <sz val="11"/>
        <rFont val="Calibri"/>
        <family val="2"/>
        <scheme val="minor"/>
      </rPr>
      <t xml:space="preserve"> - Indústrias extractivas; </t>
    </r>
    <r>
      <rPr>
        <b/>
        <sz val="11"/>
        <rFont val="Calibri"/>
        <family val="2"/>
        <scheme val="minor"/>
      </rPr>
      <t>C</t>
    </r>
    <r>
      <rPr>
        <sz val="11"/>
        <rFont val="Calibri"/>
        <family val="2"/>
        <scheme val="minor"/>
      </rPr>
      <t xml:space="preserve"> - Indústrias transformadoras; </t>
    </r>
    <r>
      <rPr>
        <b/>
        <sz val="11"/>
        <rFont val="Calibri"/>
        <family val="2"/>
        <scheme val="minor"/>
      </rPr>
      <t>D</t>
    </r>
    <r>
      <rPr>
        <sz val="11"/>
        <rFont val="Calibri"/>
        <family val="2"/>
        <scheme val="minor"/>
      </rPr>
      <t xml:space="preserve"> - Electricidade, gás, vapor, água quente e fria e ar frio; </t>
    </r>
    <r>
      <rPr>
        <b/>
        <sz val="11"/>
        <rFont val="Calibri"/>
        <family val="2"/>
        <scheme val="minor"/>
      </rPr>
      <t>E</t>
    </r>
    <r>
      <rPr>
        <sz val="11"/>
        <rFont val="Calibri"/>
        <family val="2"/>
        <scheme val="minor"/>
      </rPr>
      <t xml:space="preserve"> - Captação, tratamento e distribuição de água; saneamento, gestão de resíduos e despoluição; </t>
    </r>
    <r>
      <rPr>
        <b/>
        <sz val="11"/>
        <rFont val="Calibri"/>
        <family val="2"/>
        <scheme val="minor"/>
      </rPr>
      <t>F</t>
    </r>
    <r>
      <rPr>
        <sz val="11"/>
        <rFont val="Calibri"/>
        <family val="2"/>
        <scheme val="minor"/>
      </rPr>
      <t xml:space="preserve"> - Construção; </t>
    </r>
    <r>
      <rPr>
        <b/>
        <sz val="11"/>
        <rFont val="Calibri"/>
        <family val="2"/>
        <scheme val="minor"/>
      </rPr>
      <t>G</t>
    </r>
    <r>
      <rPr>
        <sz val="11"/>
        <rFont val="Calibri"/>
        <family val="2"/>
        <scheme val="minor"/>
      </rPr>
      <t xml:space="preserve"> - Comércio por grosso e a retalho; reparação de veículos automóveis e motociclos; </t>
    </r>
    <r>
      <rPr>
        <b/>
        <sz val="11"/>
        <rFont val="Calibri"/>
        <family val="2"/>
        <scheme val="minor"/>
      </rPr>
      <t>H</t>
    </r>
    <r>
      <rPr>
        <sz val="11"/>
        <rFont val="Calibri"/>
        <family val="2"/>
        <scheme val="minor"/>
      </rPr>
      <t xml:space="preserve"> - Transportes e armazenagem; </t>
    </r>
    <r>
      <rPr>
        <b/>
        <sz val="11"/>
        <rFont val="Calibri"/>
        <family val="2"/>
        <scheme val="minor"/>
      </rPr>
      <t>I</t>
    </r>
    <r>
      <rPr>
        <sz val="11"/>
        <rFont val="Calibri"/>
        <family val="2"/>
        <scheme val="minor"/>
      </rPr>
      <t xml:space="preserve"> - Alojamento, restauração e similares; </t>
    </r>
    <r>
      <rPr>
        <b/>
        <sz val="11"/>
        <rFont val="Calibri"/>
        <family val="2"/>
        <scheme val="minor"/>
      </rPr>
      <t>J</t>
    </r>
    <r>
      <rPr>
        <sz val="11"/>
        <rFont val="Calibri"/>
        <family val="2"/>
        <scheme val="minor"/>
      </rPr>
      <t xml:space="preserve"> - Actividades de informação e de comunicação ; </t>
    </r>
    <r>
      <rPr>
        <b/>
        <sz val="11"/>
        <rFont val="Calibri"/>
        <family val="2"/>
        <scheme val="minor"/>
      </rPr>
      <t>K</t>
    </r>
    <r>
      <rPr>
        <sz val="11"/>
        <rFont val="Calibri"/>
        <family val="2"/>
        <scheme val="minor"/>
      </rPr>
      <t xml:space="preserve"> - Actividades financeiras e de seguros; </t>
    </r>
    <r>
      <rPr>
        <b/>
        <sz val="11"/>
        <rFont val="Calibri"/>
        <family val="2"/>
        <scheme val="minor"/>
      </rPr>
      <t>L</t>
    </r>
    <r>
      <rPr>
        <sz val="11"/>
        <rFont val="Calibri"/>
        <family val="2"/>
        <scheme val="minor"/>
      </rPr>
      <t xml:space="preserve"> - Actividades imobiliárias; </t>
    </r>
    <r>
      <rPr>
        <b/>
        <sz val="11"/>
        <rFont val="Calibri"/>
        <family val="2"/>
        <scheme val="minor"/>
      </rPr>
      <t>M</t>
    </r>
    <r>
      <rPr>
        <sz val="11"/>
        <rFont val="Calibri"/>
        <family val="2"/>
        <scheme val="minor"/>
      </rPr>
      <t xml:space="preserve"> - Actividades de consultoria, científicas, técnicas e similares; </t>
    </r>
    <r>
      <rPr>
        <b/>
        <sz val="11"/>
        <rFont val="Calibri"/>
        <family val="2"/>
        <scheme val="minor"/>
      </rPr>
      <t>N</t>
    </r>
    <r>
      <rPr>
        <sz val="11"/>
        <rFont val="Calibri"/>
        <family val="2"/>
        <scheme val="minor"/>
      </rPr>
      <t xml:space="preserve"> - Actividades administrativas e dos serviços de apoio; </t>
    </r>
    <r>
      <rPr>
        <b/>
        <sz val="11"/>
        <rFont val="Calibri"/>
        <family val="2"/>
        <scheme val="minor"/>
      </rPr>
      <t>O</t>
    </r>
    <r>
      <rPr>
        <sz val="11"/>
        <rFont val="Calibri"/>
        <family val="2"/>
        <scheme val="minor"/>
      </rPr>
      <t xml:space="preserve"> - Administração Pública e Defesa; Segurança Social Obrigatória; </t>
    </r>
    <r>
      <rPr>
        <b/>
        <sz val="11"/>
        <rFont val="Calibri"/>
        <family val="2"/>
        <scheme val="minor"/>
      </rPr>
      <t>P</t>
    </r>
    <r>
      <rPr>
        <sz val="11"/>
        <rFont val="Calibri"/>
        <family val="2"/>
        <scheme val="minor"/>
      </rPr>
      <t xml:space="preserve"> - Educação; </t>
    </r>
    <r>
      <rPr>
        <b/>
        <sz val="11"/>
        <rFont val="Calibri"/>
        <family val="2"/>
        <scheme val="minor"/>
      </rPr>
      <t>Q</t>
    </r>
    <r>
      <rPr>
        <sz val="11"/>
        <rFont val="Calibri"/>
        <family val="2"/>
        <scheme val="minor"/>
      </rPr>
      <t xml:space="preserve"> - Actividades de saúde humana e apoio social; </t>
    </r>
    <r>
      <rPr>
        <b/>
        <sz val="11"/>
        <rFont val="Calibri"/>
        <family val="2"/>
        <scheme val="minor"/>
      </rPr>
      <t>R</t>
    </r>
    <r>
      <rPr>
        <sz val="11"/>
        <rFont val="Calibri"/>
        <family val="2"/>
        <scheme val="minor"/>
      </rPr>
      <t xml:space="preserve"> - Actividades artísticas, de espectáculos, desportivas e recreativas; </t>
    </r>
    <r>
      <rPr>
        <b/>
        <sz val="11"/>
        <rFont val="Calibri"/>
        <family val="2"/>
        <scheme val="minor"/>
      </rPr>
      <t>S</t>
    </r>
    <r>
      <rPr>
        <sz val="11"/>
        <rFont val="Calibri"/>
        <family val="2"/>
        <scheme val="minor"/>
      </rPr>
      <t xml:space="preserve"> - Outras actividades de serviços; </t>
    </r>
    <r>
      <rPr>
        <b/>
        <sz val="11"/>
        <rFont val="Calibri"/>
        <family val="2"/>
        <scheme val="minor"/>
      </rPr>
      <t>T</t>
    </r>
    <r>
      <rPr>
        <sz val="11"/>
        <rFont val="Calibri"/>
        <family val="2"/>
        <scheme val="minor"/>
      </rPr>
      <t xml:space="preserve"> - Actividades das famílias empregadoras de pessoal doméstico e actividades de produção das famílias para uso próprio; </t>
    </r>
    <r>
      <rPr>
        <b/>
        <sz val="11"/>
        <rFont val="Calibri"/>
        <family val="2"/>
        <scheme val="minor"/>
      </rPr>
      <t>U</t>
    </r>
    <r>
      <rPr>
        <sz val="11"/>
        <rFont val="Calibri"/>
        <family val="2"/>
        <scheme val="minor"/>
      </rPr>
      <t xml:space="preserve"> - Actividades dos organismos internacionais e outras instituições extra-territoriais.</t>
    </r>
  </si>
  <si>
    <r>
      <rPr>
        <b/>
        <sz val="11"/>
        <rFont val="Calibri"/>
        <family val="2"/>
        <scheme val="minor"/>
      </rPr>
      <t>Classificação Portuguesa das Profissões (CPP/2010)</t>
    </r>
    <r>
      <rPr>
        <sz val="11"/>
        <rFont val="Calibri"/>
        <family val="2"/>
        <scheme val="minor"/>
      </rPr>
      <t xml:space="preserve"> - </t>
    </r>
    <r>
      <rPr>
        <b/>
        <sz val="11"/>
        <rFont val="Calibri"/>
        <family val="2"/>
        <scheme val="minor"/>
      </rPr>
      <t>Grande Grupo: 1</t>
    </r>
    <r>
      <rPr>
        <sz val="11"/>
        <rFont val="Calibri"/>
        <family val="2"/>
        <scheme val="minor"/>
      </rPr>
      <t xml:space="preserve"> - Representantes do poder legislativo e de órgãos executivos, dirigentes, directores e gestores executivos; </t>
    </r>
    <r>
      <rPr>
        <b/>
        <sz val="11"/>
        <rFont val="Calibri"/>
        <family val="2"/>
        <scheme val="minor"/>
      </rPr>
      <t>2</t>
    </r>
    <r>
      <rPr>
        <sz val="11"/>
        <rFont val="Calibri"/>
        <family val="2"/>
        <scheme val="minor"/>
      </rPr>
      <t xml:space="preserve"> - Especialistas das actividades intelectuais e científicas; </t>
    </r>
    <r>
      <rPr>
        <b/>
        <sz val="11"/>
        <rFont val="Calibri"/>
        <family val="2"/>
        <scheme val="minor"/>
      </rPr>
      <t>3</t>
    </r>
    <r>
      <rPr>
        <sz val="11"/>
        <rFont val="Calibri"/>
        <family val="2"/>
        <scheme val="minor"/>
      </rPr>
      <t xml:space="preserve"> - Técnicos e profissões de nível intermédio; </t>
    </r>
    <r>
      <rPr>
        <b/>
        <sz val="11"/>
        <rFont val="Calibri"/>
        <family val="2"/>
        <scheme val="minor"/>
      </rPr>
      <t>4</t>
    </r>
    <r>
      <rPr>
        <sz val="11"/>
        <rFont val="Calibri"/>
        <family val="2"/>
        <scheme val="minor"/>
      </rPr>
      <t xml:space="preserve"> - Pessoal administrativo; </t>
    </r>
    <r>
      <rPr>
        <b/>
        <sz val="11"/>
        <rFont val="Calibri"/>
        <family val="2"/>
        <scheme val="minor"/>
      </rPr>
      <t>5</t>
    </r>
    <r>
      <rPr>
        <sz val="11"/>
        <rFont val="Calibri"/>
        <family val="2"/>
        <scheme val="minor"/>
      </rPr>
      <t xml:space="preserve"> - Trabalhadores dos serviços pessoais, de protecção e segurança e vendedores; </t>
    </r>
    <r>
      <rPr>
        <b/>
        <sz val="11"/>
        <rFont val="Calibri"/>
        <family val="2"/>
        <scheme val="minor"/>
      </rPr>
      <t>6</t>
    </r>
    <r>
      <rPr>
        <sz val="11"/>
        <rFont val="Calibri"/>
        <family val="2"/>
        <scheme val="minor"/>
      </rPr>
      <t xml:space="preserve"> - Agricultores e trabalhadores qualificados da agricultura, da pesca e da floresta; </t>
    </r>
    <r>
      <rPr>
        <b/>
        <sz val="11"/>
        <rFont val="Calibri"/>
        <family val="2"/>
        <scheme val="minor"/>
      </rPr>
      <t>7</t>
    </r>
    <r>
      <rPr>
        <sz val="11"/>
        <rFont val="Calibri"/>
        <family val="2"/>
        <scheme val="minor"/>
      </rPr>
      <t xml:space="preserve"> - Trabalhadores qualificados da indústria, construção e artífices; </t>
    </r>
    <r>
      <rPr>
        <b/>
        <sz val="11"/>
        <rFont val="Calibri"/>
        <family val="2"/>
        <scheme val="minor"/>
      </rPr>
      <t>8</t>
    </r>
    <r>
      <rPr>
        <sz val="11"/>
        <rFont val="Calibri"/>
        <family val="2"/>
        <scheme val="minor"/>
      </rPr>
      <t xml:space="preserve"> - Operadores de instalações e máquinas e trabalhadores da montagem; </t>
    </r>
    <r>
      <rPr>
        <b/>
        <sz val="11"/>
        <rFont val="Calibri"/>
        <family val="2"/>
        <scheme val="minor"/>
      </rPr>
      <t>9</t>
    </r>
    <r>
      <rPr>
        <sz val="11"/>
        <rFont val="Calibri"/>
        <family val="2"/>
        <scheme val="minor"/>
      </rPr>
      <t xml:space="preserve"> - Trabalhadores não qualificados.</t>
    </r>
  </si>
  <si>
    <r>
      <rPr>
        <b/>
        <sz val="11"/>
        <rFont val="Calibri"/>
        <family val="2"/>
        <scheme val="minor"/>
      </rPr>
      <t>Remuneração Base</t>
    </r>
    <r>
      <rPr>
        <sz val="11"/>
        <rFont val="Calibri"/>
        <family val="2"/>
        <scheme val="minor"/>
      </rPr>
      <t xml:space="preserve"> - montante ilíquido (antes da dedução de quaisquer descontos) em dinheiro e/ou géneros pago aos trabalhadores, com carácter regular mensal, referente ao mês de outubro e correspondente às horas normais de trabalho.
</t>
    </r>
    <r>
      <rPr>
        <b/>
        <sz val="11"/>
        <rFont val="Calibri"/>
        <family val="2"/>
        <scheme val="minor"/>
      </rPr>
      <t>Remuneração Base horária média</t>
    </r>
    <r>
      <rPr>
        <sz val="11"/>
        <rFont val="Calibri"/>
        <family val="2"/>
        <scheme val="minor"/>
      </rPr>
      <t xml:space="preserve"> - corresponde ao quociente entre a remuneração base mensal e o número de horas mensais remuneradas normais dos TCO em estabelecimentos do Continente.
</t>
    </r>
    <r>
      <rPr>
        <b/>
        <sz val="11"/>
        <rFont val="Calibri"/>
        <family val="2"/>
        <scheme val="minor"/>
      </rPr>
      <t>Remuneração Ganho</t>
    </r>
    <r>
      <rPr>
        <sz val="11"/>
        <rFont val="Calibri"/>
        <family val="2"/>
        <scheme val="minor"/>
      </rPr>
      <t xml:space="preserve"> - montante ilíquido em dinheiro e/ou géneros, pago ao trabalhador com carácter regular em relação ao período de referência por tempo trabalhado ou trabalho fornecido no período normal e extraordinário. Inclui, ainda, o pagamento de horas remuneradas mas não efetuadas (férias, feriados, e outras ausências pagas). Remuneração Ganho = Remuneração Base + Subsídio de refeição + subsídio por turnos + Outros Prémios e Subsídios Regulares + Remuneração de horas suplementares efetuadas em outubro.
</t>
    </r>
    <r>
      <rPr>
        <b/>
        <sz val="11"/>
        <rFont val="Calibri"/>
        <family val="2"/>
        <scheme val="minor"/>
      </rPr>
      <t>Prémios e subsídios regulares</t>
    </r>
    <r>
      <rPr>
        <sz val="11"/>
        <rFont val="Calibri"/>
        <family val="2"/>
        <scheme val="minor"/>
      </rPr>
      <t xml:space="preserve"> -  montante ilíquido pago às pessoas ao serviço, com carácter regular mensal, por subsídio de alimentação, de função, de alojamento ou transporte, diuturnidades ou prémios de antiguidade, de produtividade, de assiduidade, subsídios por trabalhos penosos, perigosos ou sujos, subsídios por trabalho de turnos e noturnos. Exclui os montantes relativos a retroativos, indemnizações, subsídios de Natal ou férias.
</t>
    </r>
    <r>
      <rPr>
        <b/>
        <sz val="11"/>
        <rFont val="Calibri"/>
        <family val="2"/>
        <scheme val="minor"/>
      </rPr>
      <t>Horas mensais remuneradas normais</t>
    </r>
    <r>
      <rPr>
        <sz val="11"/>
        <rFont val="Calibri"/>
        <family val="2"/>
        <scheme val="minor"/>
      </rPr>
      <t xml:space="preserve"> - correspondem às horas pelas quais o trabalhador recebeu uma remuneração. São equivalentes às horas efetivamente trabalhadas, mais as horas pagas e não trabalhadas, como férias anuais, os dias feriados pagos, as faltas por doença remuneradas e outras ausências que não conduzem a perda de remuneração. Não se incluem as horas suplementares.
</t>
    </r>
    <r>
      <rPr>
        <b/>
        <u/>
        <sz val="11"/>
        <rFont val="Calibri"/>
        <family val="2"/>
        <scheme val="minor"/>
      </rPr>
      <t>Nota:</t>
    </r>
    <r>
      <rPr>
        <b/>
        <sz val="11"/>
        <rFont val="Calibri"/>
        <family val="2"/>
        <scheme val="minor"/>
      </rPr>
      <t xml:space="preserve"> </t>
    </r>
    <r>
      <rPr>
        <sz val="11"/>
        <rFont val="Calibri"/>
        <family val="2"/>
        <scheme val="minor"/>
      </rPr>
      <t xml:space="preserve">As </t>
    </r>
    <r>
      <rPr>
        <b/>
        <sz val="11"/>
        <rFont val="Calibri"/>
        <family val="2"/>
        <scheme val="minor"/>
      </rPr>
      <t>remunerações médias</t>
    </r>
    <r>
      <rPr>
        <sz val="11"/>
        <rFont val="Calibri"/>
        <family val="2"/>
        <scheme val="minor"/>
      </rPr>
      <t xml:space="preserve"> mensais são calculadas para os</t>
    </r>
    <r>
      <rPr>
        <b/>
        <sz val="11"/>
        <rFont val="Calibri"/>
        <family val="2"/>
        <scheme val="minor"/>
      </rPr>
      <t xml:space="preserve"> TCO a tempo completo com remuneração completa</t>
    </r>
    <r>
      <rPr>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</si>
</sst>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4" formatCode="_-* #,##0.00\ &quot;€&quot;_-;\-* #,##0.00\ &quot;€&quot;_-;_-* &quot;-&quot;??\ &quot;€&quot;_-;_-@_-"/>
    <numFmt numFmtId="164" formatCode="#,##0;[Red]#,##0"/>
    <numFmt numFmtId="165" formatCode="#,##0.0"/>
    <numFmt numFmtId="166" formatCode="#,##0.0;[Red]#,##0.0"/>
    <numFmt numFmtId="167" formatCode="0.0"/>
    <numFmt numFmtId="168" formatCode="#\ ###\ ##0"/>
    <numFmt numFmtId="169" formatCode="#\ ##0.0"/>
    <numFmt numFmtId="170" formatCode="0.0%"/>
    <numFmt numFmtId="171" formatCode=".\ \ ##;0000000000000000000000000000000000000000000000000000000000000000000000000000000000000000000000000000000000000000000000000000000000000000000000000000000000000000000000000000"/>
    <numFmt numFmtId="172" formatCode=".\ \ ##;0000000000000000000000000000000000000000000000000000000000000000000000000000000000000000000000000000000000000000000000000000000000000000000000000000000000000000000000000000000000000000000000000000000000000000000000000000000000000000000000000000"/>
    <numFmt numFmtId="173" formatCode="#,##0\ &quot;€&quot;"/>
    <numFmt numFmtId="174" formatCode="#,##0.0\ &quot;€&quot;"/>
    <numFmt numFmtId="175" formatCode="#,##0.00\ &quot;€&quot;"/>
    <numFmt numFmtId="176" formatCode="\ \ ;0000000000000000000000000000000000000000000000000000000000000000000000000000000000000000000000000000000000000000000000000000000000000000000000000000000000000000000000000000"/>
    <numFmt numFmtId="177" formatCode="\ \ ;0000000000000000000000000000000000000000000000000000000000000000000000000000000000000000000000000000000000000000000000000000000000000000000000000000000000000000000000000000000000000000000000000000000000000000000000000000000000000000000000000000.00"/>
    <numFmt numFmtId="178" formatCode="0.000"/>
    <numFmt numFmtId="179" formatCode="#,##0.000"/>
    <numFmt numFmtId="180" formatCode="0.0000"/>
    <numFmt numFmtId="181" formatCode="0.000000"/>
  </numFmts>
  <fonts count="1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color indexed="63"/>
      <name val="Arial"/>
      <family val="2"/>
    </font>
    <font>
      <sz val="10"/>
      <color indexed="62"/>
      <name val="Arial"/>
      <family val="2"/>
    </font>
    <font>
      <u/>
      <sz val="10"/>
      <color indexed="12"/>
      <name val="Arial"/>
      <family val="2"/>
    </font>
    <font>
      <b/>
      <sz val="9"/>
      <name val="Arial"/>
      <family val="2"/>
    </font>
    <font>
      <sz val="9"/>
      <name val="Arial"/>
      <family val="2"/>
    </font>
    <font>
      <sz val="8"/>
      <name val="Arial"/>
      <family val="2"/>
    </font>
    <font>
      <b/>
      <sz val="8"/>
      <name val="Arial"/>
      <family val="2"/>
    </font>
    <font>
      <b/>
      <sz val="8"/>
      <color indexed="8"/>
      <name val="Arial"/>
      <family val="2"/>
    </font>
    <font>
      <sz val="10"/>
      <name val="MS Sans Serif"/>
      <family val="2"/>
    </font>
    <font>
      <sz val="8"/>
      <color indexed="8"/>
      <name val="Arial"/>
      <family val="2"/>
    </font>
    <font>
      <sz val="10"/>
      <name val="Arial"/>
      <family val="2"/>
    </font>
    <font>
      <sz val="7"/>
      <name val="Arial"/>
      <family val="2"/>
    </font>
    <font>
      <b/>
      <vertAlign val="superscript"/>
      <sz val="8"/>
      <name val="Arial"/>
      <family val="2"/>
    </font>
    <font>
      <sz val="8"/>
      <name val="Arial"/>
      <family val="2"/>
    </font>
    <font>
      <sz val="10"/>
      <color indexed="9"/>
      <name val="Arial"/>
      <family val="2"/>
    </font>
    <font>
      <b/>
      <sz val="9"/>
      <color indexed="8"/>
      <name val="Arial"/>
      <family val="2"/>
    </font>
    <font>
      <b/>
      <u/>
      <sz val="9"/>
      <name val="Arial"/>
      <family val="2"/>
    </font>
    <font>
      <b/>
      <vertAlign val="superscript"/>
      <sz val="9"/>
      <name val="Arial"/>
      <family val="2"/>
    </font>
    <font>
      <b/>
      <sz val="8"/>
      <color indexed="63"/>
      <name val="Arial"/>
      <family val="2"/>
    </font>
    <font>
      <u/>
      <sz val="10"/>
      <color theme="0"/>
      <name val="Arial"/>
      <family val="2"/>
    </font>
    <font>
      <sz val="10"/>
      <color theme="0"/>
      <name val="Arial"/>
      <family val="2"/>
    </font>
    <font>
      <sz val="8"/>
      <color indexed="63"/>
      <name val="Arial"/>
      <family val="2"/>
    </font>
    <font>
      <sz val="11"/>
      <color theme="1"/>
      <name val="Calibri"/>
      <family val="2"/>
      <scheme val="minor"/>
    </font>
    <font>
      <sz val="8"/>
      <color theme="1" tint="0.499984740745262"/>
      <name val="Arial"/>
      <family val="2"/>
    </font>
    <font>
      <u/>
      <sz val="10"/>
      <color theme="3"/>
      <name val="Arial"/>
      <family val="2"/>
    </font>
    <font>
      <sz val="8"/>
      <name val="Times New Roman"/>
      <family val="1"/>
    </font>
    <font>
      <sz val="8"/>
      <color rgb="FFFF0000"/>
      <name val="Arial"/>
      <family val="2"/>
    </font>
    <font>
      <sz val="10"/>
      <name val="Segoe UI"/>
      <family val="2"/>
    </font>
    <font>
      <sz val="10"/>
      <color theme="3"/>
      <name val="Arial"/>
      <family val="2"/>
    </font>
    <font>
      <b/>
      <sz val="10"/>
      <name val="Segoe UI"/>
      <family val="2"/>
    </font>
    <font>
      <sz val="7"/>
      <color indexed="8"/>
      <name val="Arial"/>
      <family val="2"/>
    </font>
    <font>
      <sz val="11"/>
      <name val="Calibri"/>
      <family val="2"/>
    </font>
    <font>
      <b/>
      <vertAlign val="superscript"/>
      <sz val="8"/>
      <color indexed="8"/>
      <name val="Arial"/>
      <family val="2"/>
    </font>
    <font>
      <b/>
      <sz val="10"/>
      <name val="Arial"/>
      <family val="2"/>
    </font>
    <font>
      <b/>
      <sz val="11"/>
      <color theme="1"/>
      <name val="Calibri"/>
      <family val="2"/>
      <scheme val="minor"/>
    </font>
    <font>
      <b/>
      <sz val="10"/>
      <color theme="1"/>
      <name val="Calibri"/>
      <family val="2"/>
      <scheme val="minor"/>
    </font>
    <font>
      <b/>
      <sz val="8"/>
      <color rgb="FF000000"/>
      <name val="Arial"/>
      <family val="2"/>
    </font>
    <font>
      <b/>
      <sz val="11"/>
      <color theme="1"/>
      <name val="Arial"/>
      <family val="2"/>
    </font>
    <font>
      <sz val="9"/>
      <color theme="1"/>
      <name val="Arial"/>
      <family val="2"/>
    </font>
    <font>
      <sz val="8"/>
      <color theme="1"/>
      <name val="Calibri"/>
      <family val="2"/>
      <scheme val="minor"/>
    </font>
    <font>
      <sz val="10"/>
      <name val="Arial"/>
      <family val="2"/>
    </font>
    <font>
      <b/>
      <sz val="8"/>
      <name val="Calibri"/>
      <family val="2"/>
      <scheme val="minor"/>
    </font>
    <font>
      <b/>
      <sz val="9"/>
      <name val="Calibri"/>
      <family val="2"/>
      <scheme val="minor"/>
    </font>
    <font>
      <sz val="15"/>
      <color rgb="FF556367"/>
      <name val="Arial"/>
      <family val="2"/>
    </font>
    <font>
      <b/>
      <sz val="15"/>
      <color rgb="FF556367"/>
      <name val="Arial"/>
      <family val="2"/>
    </font>
    <font>
      <sz val="13.5"/>
      <name val="Segoe UI"/>
      <family val="2"/>
    </font>
    <font>
      <sz val="8"/>
      <name val="Calibri"/>
      <family val="2"/>
      <scheme val="minor"/>
    </font>
    <font>
      <sz val="9"/>
      <color rgb="FF000000"/>
      <name val="Calibri"/>
      <family val="2"/>
    </font>
    <font>
      <sz val="8"/>
      <color rgb="FF000000"/>
      <name val="Calibri"/>
      <family val="2"/>
    </font>
    <font>
      <sz val="10"/>
      <color rgb="FFFF0000"/>
      <name val="Arial"/>
      <family val="2"/>
    </font>
    <font>
      <sz val="10"/>
      <name val="Calibri"/>
      <family val="2"/>
      <scheme val="minor"/>
    </font>
    <font>
      <b/>
      <sz val="10"/>
      <name val="Calibri"/>
      <family val="2"/>
      <scheme val="minor"/>
    </font>
    <font>
      <sz val="8"/>
      <color rgb="FF1E1E1E"/>
      <name val="Segoe UI"/>
      <family val="2"/>
    </font>
    <font>
      <sz val="6"/>
      <name val="Calibri"/>
      <family val="2"/>
      <scheme val="minor"/>
    </font>
    <font>
      <sz val="10"/>
      <color rgb="FFFF0000"/>
      <name val="Calibri"/>
      <family val="2"/>
      <scheme val="minor"/>
    </font>
    <font>
      <sz val="9"/>
      <name val="Calibri"/>
      <family val="2"/>
      <scheme val="minor"/>
    </font>
    <font>
      <sz val="8"/>
      <color rgb="FF333333"/>
      <name val="Arial"/>
      <family val="2"/>
    </font>
    <font>
      <b/>
      <u/>
      <sz val="9"/>
      <color rgb="FF000000"/>
      <name val="Calibri"/>
      <family val="2"/>
    </font>
    <font>
      <u/>
      <sz val="9"/>
      <name val="Calibri"/>
      <family val="2"/>
      <scheme val="minor"/>
    </font>
    <font>
      <b/>
      <i/>
      <u/>
      <sz val="11"/>
      <name val="Calibri"/>
      <family val="2"/>
    </font>
    <font>
      <b/>
      <u/>
      <sz val="11"/>
      <name val="Calibri"/>
      <family val="2"/>
    </font>
    <font>
      <b/>
      <sz val="11"/>
      <name val="Calibri"/>
      <family val="2"/>
    </font>
    <font>
      <u/>
      <sz val="11"/>
      <name val="Calibri"/>
      <family val="2"/>
    </font>
    <font>
      <sz val="11"/>
      <name val="Calibri"/>
      <family val="2"/>
      <scheme val="minor"/>
    </font>
    <font>
      <b/>
      <u/>
      <sz val="11"/>
      <name val="Calibri"/>
      <family val="2"/>
      <scheme val="minor"/>
    </font>
    <font>
      <b/>
      <sz val="11"/>
      <name val="Calibri"/>
      <family val="2"/>
      <scheme val="minor"/>
    </font>
    <font>
      <u/>
      <sz val="11"/>
      <color rgb="FF0070C0"/>
      <name val="Calibri"/>
      <family val="2"/>
    </font>
    <font>
      <b/>
      <u/>
      <sz val="9"/>
      <name val="Calibri"/>
      <family val="2"/>
      <scheme val="minor"/>
    </font>
    <font>
      <b/>
      <u/>
      <sz val="10"/>
      <name val="Calibri"/>
      <family val="2"/>
      <scheme val="minor"/>
    </font>
    <font>
      <sz val="9"/>
      <color rgb="FF000000"/>
      <name val="Arial"/>
      <family val="2"/>
    </font>
    <font>
      <sz val="10"/>
      <color rgb="FF7F7F7F"/>
      <name val="Calibri"/>
      <family val="2"/>
    </font>
    <font>
      <vertAlign val="subscript"/>
      <sz val="10"/>
      <color rgb="FF7F7F7F"/>
      <name val="Calibri"/>
      <family val="2"/>
    </font>
    <font>
      <sz val="8"/>
      <color rgb="FF00B050"/>
      <name val="Arial"/>
      <family val="2"/>
    </font>
    <font>
      <sz val="10"/>
      <name val="Serif"/>
    </font>
    <font>
      <b/>
      <sz val="9"/>
      <color rgb="FF000000"/>
      <name val="Roboto condensed"/>
    </font>
    <font>
      <sz val="11"/>
      <color rgb="FF000000"/>
      <name val="Source Sans Pro"/>
      <family val="2"/>
    </font>
    <font>
      <b/>
      <sz val="11"/>
      <color rgb="FF000000"/>
      <name val="Source Sans Pro"/>
      <family val="2"/>
    </font>
    <font>
      <u/>
      <sz val="11"/>
      <color theme="10"/>
      <name val="Calibri"/>
      <family val="2"/>
      <scheme val="minor"/>
    </font>
    <font>
      <b/>
      <sz val="14"/>
      <color rgb="FF842F36"/>
      <name val="Arial"/>
      <family val="2"/>
    </font>
    <font>
      <sz val="9"/>
      <color rgb="FF415263"/>
      <name val="Arial"/>
      <family val="2"/>
    </font>
    <font>
      <b/>
      <sz val="9"/>
      <color rgb="FF415263"/>
      <name val="Arial"/>
      <family val="2"/>
    </font>
    <font>
      <i/>
      <sz val="9"/>
      <color rgb="FF415263"/>
      <name val="Arial"/>
      <family val="2"/>
    </font>
    <font>
      <b/>
      <sz val="12"/>
      <color rgb="FF842F36"/>
      <name val="Arial"/>
      <family val="2"/>
    </font>
    <font>
      <sz val="9"/>
      <color theme="0"/>
      <name val="Arial"/>
      <family val="2"/>
    </font>
    <font>
      <sz val="9"/>
      <color rgb="FF415263"/>
      <name val="Calibri"/>
      <family val="2"/>
    </font>
    <font>
      <sz val="6"/>
      <color rgb="FF415263"/>
      <name val="Arial"/>
      <family val="2"/>
    </font>
    <font>
      <u/>
      <sz val="11"/>
      <color indexed="12"/>
      <name val="Calibri"/>
      <family val="2"/>
      <scheme val="minor"/>
    </font>
    <font>
      <sz val="11"/>
      <color rgb="FF0000FF"/>
      <name val="Calibri"/>
      <family val="2"/>
      <scheme val="minor"/>
    </font>
  </fonts>
  <fills count="19">
    <fill>
      <patternFill patternType="none"/>
    </fill>
    <fill>
      <patternFill patternType="gray125"/>
    </fill>
    <fill>
      <patternFill patternType="solid">
        <fgColor indexed="9"/>
        <bgColor indexed="64"/>
      </patternFill>
    </fill>
    <fill>
      <patternFill patternType="solid">
        <fgColor indexed="25"/>
        <bgColor indexed="64"/>
      </patternFill>
    </fill>
    <fill>
      <patternFill patternType="solid">
        <fgColor indexed="26"/>
        <bgColor indexed="64"/>
      </patternFill>
    </fill>
    <fill>
      <patternFill patternType="solid">
        <fgColor indexed="2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A50021"/>
        <bgColor indexed="64"/>
      </patternFill>
    </fill>
    <fill>
      <patternFill patternType="solid">
        <fgColor rgb="FF0070C0"/>
        <bgColor indexed="64"/>
      </patternFill>
    </fill>
    <fill>
      <patternFill patternType="solid">
        <fgColor rgb="FFFFFF00"/>
        <bgColor indexed="64"/>
      </patternFill>
    </fill>
    <fill>
      <patternFill patternType="solid">
        <fgColor rgb="FFD9D9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55"/>
      </patternFill>
    </fill>
    <fill>
      <patternFill patternType="solid">
        <fgColor theme="5" tint="0.79998168889431442"/>
        <bgColor indexed="64"/>
      </patternFill>
    </fill>
    <fill>
      <patternFill patternType="solid">
        <fgColor theme="4" tint="0.79998168889431442"/>
        <bgColor indexed="64"/>
      </patternFill>
    </fill>
    <fill>
      <patternFill patternType="solid">
        <fgColor rgb="FFE1EAEF"/>
        <bgColor indexed="64"/>
      </patternFill>
    </fill>
  </fills>
  <borders count="23">
    <border>
      <left/>
      <right/>
      <top/>
      <bottom/>
      <diagonal/>
    </border>
    <border>
      <left/>
      <right/>
      <top style="thin">
        <color indexed="64"/>
      </top>
      <bottom style="double">
        <color indexed="64"/>
      </bottom>
      <diagonal/>
    </border>
    <border>
      <left/>
      <right/>
      <top/>
      <bottom style="thin">
        <color indexed="64"/>
      </bottom>
      <diagonal/>
    </border>
    <border>
      <left/>
      <right/>
      <top style="double">
        <color indexed="64"/>
      </top>
      <bottom/>
      <diagonal/>
    </border>
    <border>
      <left/>
      <right/>
      <top style="thin">
        <color indexed="64"/>
      </top>
      <bottom/>
      <diagonal/>
    </border>
    <border>
      <left/>
      <right/>
      <top style="double">
        <color indexed="6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499984740745262"/>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style="thick">
        <color theme="0" tint="-0.34998626667073579"/>
      </left>
      <right/>
      <top/>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style="thick">
        <color theme="0" tint="-0.24994659260841701"/>
      </left>
      <right/>
      <top/>
      <bottom/>
      <diagonal/>
    </border>
  </borders>
  <cellStyleXfs count="86">
    <xf numFmtId="0" fontId="0" fillId="0" borderId="0"/>
    <xf numFmtId="44" fontId="11" fillId="0" borderId="0" applyFont="0" applyFill="0" applyBorder="0" applyAlignment="0" applyProtection="0"/>
    <xf numFmtId="0" fontId="14" fillId="0" borderId="0" applyNumberFormat="0" applyFill="0" applyBorder="0" applyAlignment="0" applyProtection="0">
      <alignment vertical="top"/>
      <protection locked="0"/>
    </xf>
    <xf numFmtId="0" fontId="20" fillId="0" borderId="0"/>
    <xf numFmtId="0" fontId="11" fillId="0" borderId="0"/>
    <xf numFmtId="0" fontId="22" fillId="0" borderId="0"/>
    <xf numFmtId="0" fontId="11" fillId="0" borderId="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0" fillId="0" borderId="0"/>
    <xf numFmtId="0" fontId="9" fillId="0" borderId="0"/>
    <xf numFmtId="0" fontId="8" fillId="0" borderId="0"/>
    <xf numFmtId="9" fontId="52" fillId="0" borderId="0" applyFont="0" applyFill="0" applyBorder="0" applyAlignment="0" applyProtection="0"/>
    <xf numFmtId="0" fontId="11" fillId="0" borderId="0"/>
    <xf numFmtId="0" fontId="11" fillId="0" borderId="0"/>
    <xf numFmtId="0" fontId="3" fillId="0" borderId="0"/>
    <xf numFmtId="0" fontId="1" fillId="0" borderId="0"/>
    <xf numFmtId="0" fontId="89" fillId="0" borderId="0" applyNumberFormat="0" applyFill="0" applyBorder="0" applyAlignment="0" applyProtection="0"/>
  </cellStyleXfs>
  <cellXfs count="883">
    <xf numFmtId="0" fontId="0" fillId="0" borderId="0" xfId="0"/>
    <xf numFmtId="0" fontId="12" fillId="0" borderId="0" xfId="0" applyFont="1"/>
    <xf numFmtId="0" fontId="13" fillId="0" borderId="0" xfId="0" applyFont="1"/>
    <xf numFmtId="0" fontId="16" fillId="0" borderId="0" xfId="4" applyFont="1"/>
    <xf numFmtId="0" fontId="17" fillId="0" borderId="0" xfId="4" applyFont="1"/>
    <xf numFmtId="0" fontId="18" fillId="2" borderId="0" xfId="4" applyFont="1" applyFill="1" applyAlignment="1">
      <alignment horizontal="center" vertical="center" wrapText="1"/>
    </xf>
    <xf numFmtId="0" fontId="18" fillId="2" borderId="1" xfId="3" applyNumberFormat="1" applyFont="1" applyFill="1" applyBorder="1" applyAlignment="1">
      <alignment horizontal="right" vertical="center"/>
    </xf>
    <xf numFmtId="3" fontId="18" fillId="2" borderId="0" xfId="4" applyNumberFormat="1" applyFont="1" applyFill="1" applyBorder="1" applyAlignment="1">
      <alignment horizontal="right"/>
    </xf>
    <xf numFmtId="0" fontId="17" fillId="0" borderId="0" xfId="0" applyFont="1"/>
    <xf numFmtId="0" fontId="18" fillId="2" borderId="2" xfId="0" applyFont="1" applyFill="1" applyBorder="1" applyAlignment="1">
      <alignment horizontal="left"/>
    </xf>
    <xf numFmtId="0" fontId="17" fillId="2" borderId="0" xfId="4" applyFont="1" applyFill="1"/>
    <xf numFmtId="0" fontId="18" fillId="2" borderId="0" xfId="4" applyFont="1" applyFill="1" applyAlignment="1">
      <alignment horizontal="center"/>
    </xf>
    <xf numFmtId="0" fontId="17" fillId="2" borderId="0" xfId="4" applyFont="1" applyFill="1" applyAlignment="1">
      <alignment horizontal="center"/>
    </xf>
    <xf numFmtId="0" fontId="19" fillId="2" borderId="0" xfId="4" applyFont="1" applyFill="1" applyAlignment="1">
      <alignment horizontal="left"/>
    </xf>
    <xf numFmtId="0" fontId="17" fillId="2" borderId="0" xfId="4" applyFont="1" applyFill="1" applyAlignment="1"/>
    <xf numFmtId="0" fontId="18" fillId="2" borderId="1" xfId="3" applyFont="1" applyFill="1" applyBorder="1" applyAlignment="1">
      <alignment horizontal="center" vertical="center"/>
    </xf>
    <xf numFmtId="0" fontId="18" fillId="2" borderId="1" xfId="3" applyNumberFormat="1" applyFont="1" applyFill="1" applyBorder="1" applyAlignment="1">
      <alignment vertical="center"/>
    </xf>
    <xf numFmtId="164" fontId="18" fillId="2" borderId="0" xfId="4" applyNumberFormat="1" applyFont="1" applyFill="1" applyBorder="1" applyAlignment="1">
      <alignment horizontal="left"/>
    </xf>
    <xf numFmtId="164" fontId="18" fillId="2" borderId="0" xfId="4" applyNumberFormat="1" applyFont="1" applyFill="1" applyBorder="1" applyAlignment="1"/>
    <xf numFmtId="164" fontId="18" fillId="2" borderId="2" xfId="4" applyNumberFormat="1" applyFont="1" applyFill="1" applyBorder="1" applyAlignment="1">
      <alignment horizontal="left"/>
    </xf>
    <xf numFmtId="0" fontId="17" fillId="0" borderId="0" xfId="4" applyFont="1" applyAlignment="1">
      <alignment vertical="center"/>
    </xf>
    <xf numFmtId="0" fontId="18" fillId="2" borderId="0" xfId="4" applyFont="1" applyFill="1"/>
    <xf numFmtId="0" fontId="17" fillId="0" borderId="0" xfId="4" applyFont="1" applyAlignment="1"/>
    <xf numFmtId="0" fontId="16" fillId="0" borderId="0" xfId="0" applyFont="1"/>
    <xf numFmtId="0" fontId="17" fillId="2" borderId="0" xfId="0" applyFont="1" applyFill="1"/>
    <xf numFmtId="0" fontId="18" fillId="2" borderId="0" xfId="0" applyFont="1" applyFill="1"/>
    <xf numFmtId="1" fontId="18" fillId="2" borderId="1" xfId="0" applyNumberFormat="1" applyFont="1" applyFill="1" applyBorder="1" applyAlignment="1">
      <alignment vertical="center"/>
    </xf>
    <xf numFmtId="3" fontId="18" fillId="2" borderId="0" xfId="0" applyNumberFormat="1" applyFont="1" applyFill="1" applyAlignment="1"/>
    <xf numFmtId="0" fontId="18" fillId="2" borderId="2" xfId="0" applyFont="1" applyFill="1" applyBorder="1" applyAlignment="1"/>
    <xf numFmtId="0" fontId="17" fillId="0" borderId="0" xfId="0" applyFont="1" applyFill="1"/>
    <xf numFmtId="0" fontId="19" fillId="2" borderId="0" xfId="3" applyFont="1" applyFill="1" applyBorder="1" applyAlignment="1">
      <alignment horizontal="left"/>
    </xf>
    <xf numFmtId="0" fontId="18" fillId="2" borderId="0" xfId="4" applyFont="1" applyFill="1" applyBorder="1" applyAlignment="1">
      <alignment horizontal="right"/>
    </xf>
    <xf numFmtId="0" fontId="18" fillId="2" borderId="1" xfId="3" applyFont="1" applyFill="1" applyBorder="1" applyAlignment="1">
      <alignment horizontal="right" vertical="center"/>
    </xf>
    <xf numFmtId="3" fontId="18" fillId="2" borderId="0" xfId="3" applyNumberFormat="1" applyFont="1" applyFill="1" applyBorder="1" applyAlignment="1">
      <alignment horizontal="right"/>
    </xf>
    <xf numFmtId="0" fontId="18" fillId="2" borderId="0" xfId="4" applyFont="1" applyFill="1" applyBorder="1" applyAlignment="1">
      <alignment horizontal="left"/>
    </xf>
    <xf numFmtId="0" fontId="17" fillId="2" borderId="0" xfId="4" applyFont="1" applyFill="1" applyBorder="1" applyAlignment="1">
      <alignment horizontal="left"/>
    </xf>
    <xf numFmtId="0" fontId="18" fillId="2" borderId="2" xfId="4" applyFont="1" applyFill="1" applyBorder="1" applyAlignment="1">
      <alignment horizontal="center"/>
    </xf>
    <xf numFmtId="0" fontId="18" fillId="2" borderId="2" xfId="4" applyFont="1" applyFill="1" applyBorder="1" applyAlignment="1">
      <alignment horizontal="left"/>
    </xf>
    <xf numFmtId="0" fontId="17" fillId="2" borderId="0" xfId="0" applyFont="1" applyFill="1" applyBorder="1" applyAlignment="1"/>
    <xf numFmtId="0" fontId="15" fillId="0" borderId="0" xfId="5" applyFont="1" applyAlignment="1"/>
    <xf numFmtId="0" fontId="18" fillId="2" borderId="0" xfId="5" applyFont="1" applyFill="1" applyAlignment="1"/>
    <xf numFmtId="0" fontId="18" fillId="0" borderId="0" xfId="5" applyFont="1" applyAlignment="1"/>
    <xf numFmtId="0" fontId="17" fillId="2" borderId="0" xfId="5" applyFont="1" applyFill="1" applyAlignment="1">
      <alignment horizontal="center"/>
    </xf>
    <xf numFmtId="0" fontId="18" fillId="2" borderId="1" xfId="5" applyFont="1" applyFill="1" applyBorder="1" applyAlignment="1">
      <alignment vertical="center"/>
    </xf>
    <xf numFmtId="0" fontId="18" fillId="0" borderId="0" xfId="5" applyFont="1" applyAlignment="1">
      <alignment vertical="center"/>
    </xf>
    <xf numFmtId="0" fontId="18" fillId="2" borderId="0" xfId="5" applyFont="1" applyFill="1" applyBorder="1" applyAlignment="1"/>
    <xf numFmtId="164" fontId="23" fillId="2" borderId="0" xfId="5" applyNumberFormat="1" applyFont="1" applyFill="1" applyBorder="1" applyAlignment="1"/>
    <xf numFmtId="0" fontId="17" fillId="0" borderId="0" xfId="5" applyFont="1" applyAlignment="1"/>
    <xf numFmtId="0" fontId="17" fillId="0" borderId="0" xfId="5" applyFont="1" applyAlignment="1">
      <alignment horizontal="center"/>
    </xf>
    <xf numFmtId="0" fontId="15" fillId="0" borderId="0" xfId="5" applyFont="1"/>
    <xf numFmtId="0" fontId="18" fillId="0" borderId="0" xfId="5" applyFont="1"/>
    <xf numFmtId="0" fontId="17" fillId="0" borderId="0" xfId="5" applyFont="1"/>
    <xf numFmtId="0" fontId="17" fillId="0" borderId="0" xfId="5" applyFont="1" applyBorder="1" applyAlignment="1">
      <alignment horizontal="center"/>
    </xf>
    <xf numFmtId="164" fontId="18" fillId="2" borderId="0" xfId="5" applyNumberFormat="1" applyFont="1" applyFill="1" applyAlignment="1">
      <alignment horizontal="center"/>
    </xf>
    <xf numFmtId="0" fontId="18" fillId="2" borderId="0" xfId="0" applyFont="1" applyFill="1" applyBorder="1" applyAlignment="1">
      <alignment horizontal="center"/>
    </xf>
    <xf numFmtId="3" fontId="19" fillId="2" borderId="0" xfId="0" applyNumberFormat="1" applyFont="1" applyFill="1" applyBorder="1" applyAlignment="1">
      <alignment horizontal="right"/>
    </xf>
    <xf numFmtId="0" fontId="18" fillId="2" borderId="0" xfId="0" applyFont="1" applyFill="1" applyBorder="1" applyAlignment="1">
      <alignment horizontal="left"/>
    </xf>
    <xf numFmtId="0" fontId="17" fillId="2" borderId="0" xfId="0" applyFont="1" applyFill="1" applyAlignment="1">
      <alignment horizontal="left"/>
    </xf>
    <xf numFmtId="0" fontId="17" fillId="2" borderId="0" xfId="0" applyFont="1" applyFill="1" applyBorder="1" applyAlignment="1">
      <alignment horizontal="center"/>
    </xf>
    <xf numFmtId="0" fontId="17" fillId="2" borderId="0" xfId="0" applyFont="1" applyFill="1" applyBorder="1" applyAlignment="1">
      <alignment horizontal="left"/>
    </xf>
    <xf numFmtId="0" fontId="17" fillId="2" borderId="2" xfId="0" applyFont="1" applyFill="1" applyBorder="1" applyAlignment="1">
      <alignment horizontal="center"/>
    </xf>
    <xf numFmtId="0" fontId="17" fillId="0" borderId="0" xfId="5" applyFont="1" applyFill="1"/>
    <xf numFmtId="0" fontId="17" fillId="2" borderId="0" xfId="5" applyFont="1" applyFill="1"/>
    <xf numFmtId="0" fontId="16" fillId="0" borderId="0" xfId="5" applyFont="1" applyFill="1"/>
    <xf numFmtId="0" fontId="17" fillId="0" borderId="0" xfId="5" applyFont="1" applyFill="1" applyBorder="1"/>
    <xf numFmtId="0" fontId="18" fillId="2" borderId="0" xfId="5" applyFont="1" applyFill="1" applyAlignment="1">
      <alignment horizontal="center"/>
    </xf>
    <xf numFmtId="0" fontId="17" fillId="2" borderId="0" xfId="5" applyFont="1" applyFill="1" applyAlignment="1"/>
    <xf numFmtId="0" fontId="18" fillId="2" borderId="0" xfId="5" applyFont="1" applyFill="1"/>
    <xf numFmtId="0" fontId="18" fillId="2" borderId="0" xfId="5" applyFont="1" applyFill="1" applyAlignment="1">
      <alignment horizontal="right"/>
    </xf>
    <xf numFmtId="0" fontId="18" fillId="2" borderId="1" xfId="5" applyFont="1" applyFill="1" applyBorder="1" applyAlignment="1">
      <alignment horizontal="right" vertical="center"/>
    </xf>
    <xf numFmtId="3" fontId="18" fillId="2" borderId="0" xfId="5" applyNumberFormat="1" applyFont="1" applyFill="1" applyBorder="1" applyAlignment="1"/>
    <xf numFmtId="0" fontId="17" fillId="0" borderId="0" xfId="5" applyFont="1" applyFill="1" applyBorder="1" applyAlignment="1"/>
    <xf numFmtId="0" fontId="18" fillId="2" borderId="0" xfId="5" applyFont="1" applyFill="1" applyAlignment="1">
      <alignment horizontal="left"/>
    </xf>
    <xf numFmtId="0" fontId="17" fillId="2" borderId="0" xfId="5" applyFont="1" applyFill="1" applyAlignment="1">
      <alignment horizontal="right"/>
    </xf>
    <xf numFmtId="0" fontId="21" fillId="2" borderId="0" xfId="5" applyFont="1" applyFill="1" applyBorder="1" applyAlignment="1">
      <alignment horizontal="left"/>
    </xf>
    <xf numFmtId="0" fontId="18" fillId="2" borderId="0" xfId="5" applyFont="1" applyFill="1" applyBorder="1" applyAlignment="1">
      <alignment horizontal="left"/>
    </xf>
    <xf numFmtId="0" fontId="21" fillId="2" borderId="2" xfId="5" applyFont="1" applyFill="1" applyBorder="1" applyAlignment="1">
      <alignment horizontal="left"/>
    </xf>
    <xf numFmtId="0" fontId="17" fillId="2" borderId="2" xfId="5" applyFont="1" applyFill="1" applyBorder="1" applyAlignment="1">
      <alignment horizontal="right"/>
    </xf>
    <xf numFmtId="0" fontId="17" fillId="0" borderId="0" xfId="5" applyFont="1" applyBorder="1" applyAlignment="1"/>
    <xf numFmtId="0" fontId="17" fillId="0" borderId="0" xfId="0" applyFont="1" applyAlignment="1">
      <alignment vertical="center" wrapText="1"/>
    </xf>
    <xf numFmtId="0" fontId="17" fillId="0" borderId="0" xfId="0" applyFont="1" applyBorder="1" applyAlignment="1">
      <alignment vertical="center" wrapText="1"/>
    </xf>
    <xf numFmtId="0" fontId="17" fillId="0" borderId="0" xfId="0" applyFont="1" applyAlignment="1">
      <alignment vertical="center"/>
    </xf>
    <xf numFmtId="0" fontId="17" fillId="2" borderId="1" xfId="5" applyFont="1" applyFill="1" applyBorder="1" applyAlignment="1">
      <alignment horizontal="center" vertical="center"/>
    </xf>
    <xf numFmtId="165" fontId="18" fillId="2" borderId="0" xfId="5" applyNumberFormat="1" applyFont="1" applyFill="1" applyBorder="1" applyAlignment="1">
      <alignment horizontal="right"/>
    </xf>
    <xf numFmtId="0" fontId="17" fillId="2" borderId="2" xfId="5" applyFont="1" applyFill="1" applyBorder="1"/>
    <xf numFmtId="0" fontId="17" fillId="2" borderId="2" xfId="5" applyFont="1" applyFill="1" applyBorder="1" applyAlignment="1">
      <alignment horizontal="center"/>
    </xf>
    <xf numFmtId="0" fontId="17" fillId="0" borderId="0" xfId="0" applyFont="1" applyAlignment="1">
      <alignment horizontal="right" vertical="center"/>
    </xf>
    <xf numFmtId="165" fontId="19" fillId="2" borderId="0" xfId="0" applyNumberFormat="1" applyFont="1" applyFill="1" applyBorder="1" applyAlignment="1">
      <alignment horizontal="right"/>
    </xf>
    <xf numFmtId="0" fontId="16" fillId="0" borderId="0" xfId="0" applyFont="1" applyAlignment="1">
      <alignment vertical="center"/>
    </xf>
    <xf numFmtId="165" fontId="18" fillId="2" borderId="0" xfId="4" applyNumberFormat="1" applyFont="1" applyFill="1" applyBorder="1" applyAlignment="1"/>
    <xf numFmtId="0" fontId="17" fillId="2" borderId="0" xfId="0" applyFont="1" applyFill="1" applyAlignment="1">
      <alignment vertical="top"/>
    </xf>
    <xf numFmtId="0" fontId="17" fillId="2" borderId="0" xfId="0" applyFont="1" applyFill="1" applyAlignment="1">
      <alignment vertical="center" wrapText="1"/>
    </xf>
    <xf numFmtId="165" fontId="18" fillId="2" borderId="0" xfId="5" applyNumberFormat="1" applyFont="1" applyFill="1" applyBorder="1" applyAlignment="1"/>
    <xf numFmtId="165" fontId="17" fillId="2" borderId="0" xfId="5" applyNumberFormat="1" applyFont="1" applyFill="1" applyBorder="1" applyAlignment="1"/>
    <xf numFmtId="0" fontId="17" fillId="2" borderId="0" xfId="5" applyFont="1" applyFill="1" applyBorder="1" applyAlignment="1">
      <alignment horizontal="right"/>
    </xf>
    <xf numFmtId="0" fontId="17" fillId="2" borderId="0" xfId="0" applyFont="1" applyFill="1" applyBorder="1" applyAlignment="1">
      <alignment horizontal="left" vertical="top"/>
    </xf>
    <xf numFmtId="0" fontId="17" fillId="2" borderId="0" xfId="0" applyFont="1" applyFill="1" applyBorder="1" applyAlignment="1">
      <alignment vertical="center" wrapText="1"/>
    </xf>
    <xf numFmtId="0" fontId="17" fillId="2" borderId="0" xfId="4" applyFont="1" applyFill="1" applyBorder="1" applyAlignment="1">
      <alignment horizontal="right"/>
    </xf>
    <xf numFmtId="165" fontId="18" fillId="2" borderId="0" xfId="4" applyNumberFormat="1" applyFont="1" applyFill="1" applyBorder="1" applyAlignment="1">
      <alignment horizontal="right"/>
    </xf>
    <xf numFmtId="0" fontId="17" fillId="0" borderId="0" xfId="0" applyFont="1" applyBorder="1" applyAlignment="1">
      <alignment vertical="center"/>
    </xf>
    <xf numFmtId="0" fontId="16" fillId="0" borderId="0" xfId="0" applyFont="1" applyBorder="1" applyAlignment="1">
      <alignment vertical="center" wrapText="1"/>
    </xf>
    <xf numFmtId="0" fontId="17" fillId="0" borderId="0" xfId="0" applyFont="1" applyBorder="1" applyAlignment="1">
      <alignment wrapText="1"/>
    </xf>
    <xf numFmtId="3" fontId="18" fillId="2" borderId="0" xfId="0" applyNumberFormat="1" applyFont="1" applyFill="1" applyBorder="1" applyAlignment="1">
      <alignment horizontal="right" vertical="center"/>
    </xf>
    <xf numFmtId="0" fontId="18" fillId="2" borderId="0" xfId="0" applyFont="1" applyFill="1" applyBorder="1" applyAlignment="1">
      <alignment horizontal="center" vertical="top" wrapText="1"/>
    </xf>
    <xf numFmtId="0" fontId="26" fillId="0" borderId="0" xfId="0" applyFont="1"/>
    <xf numFmtId="0" fontId="17" fillId="2" borderId="0" xfId="4" applyFont="1" applyFill="1" applyBorder="1" applyAlignment="1"/>
    <xf numFmtId="0" fontId="0" fillId="2" borderId="0" xfId="0" applyFill="1" applyBorder="1" applyAlignment="1">
      <alignment horizontal="left" vertical="top"/>
    </xf>
    <xf numFmtId="0" fontId="18" fillId="2" borderId="1" xfId="3" applyFont="1" applyFill="1" applyBorder="1" applyAlignment="1">
      <alignment horizontal="left"/>
    </xf>
    <xf numFmtId="1" fontId="16" fillId="0" borderId="0" xfId="0" applyNumberFormat="1" applyFont="1" applyFill="1" applyBorder="1" applyAlignment="1">
      <alignment horizontal="right" vertical="top"/>
    </xf>
    <xf numFmtId="0" fontId="17" fillId="0" borderId="0" xfId="4" applyFont="1" applyBorder="1" applyAlignment="1"/>
    <xf numFmtId="0" fontId="18" fillId="2" borderId="0" xfId="0" applyFont="1" applyFill="1" applyBorder="1" applyAlignment="1">
      <alignment horizontal="left" wrapText="1"/>
    </xf>
    <xf numFmtId="0" fontId="18" fillId="2" borderId="0" xfId="0" applyFont="1" applyFill="1" applyBorder="1" applyAlignment="1">
      <alignment vertical="top" wrapText="1"/>
    </xf>
    <xf numFmtId="0" fontId="18" fillId="2" borderId="2" xfId="0" applyFont="1" applyFill="1" applyBorder="1" applyAlignment="1">
      <alignment horizontal="center" wrapText="1"/>
    </xf>
    <xf numFmtId="0" fontId="17" fillId="2" borderId="1" xfId="0" applyFont="1" applyFill="1" applyBorder="1" applyAlignment="1">
      <alignment horizontal="left" vertical="center"/>
    </xf>
    <xf numFmtId="1" fontId="18" fillId="2" borderId="1" xfId="0" applyNumberFormat="1" applyFont="1" applyFill="1" applyBorder="1" applyAlignment="1">
      <alignment horizontal="right" vertical="center"/>
    </xf>
    <xf numFmtId="0" fontId="17" fillId="0" borderId="0" xfId="0" applyFont="1" applyBorder="1" applyAlignment="1">
      <alignment vertical="top"/>
    </xf>
    <xf numFmtId="164" fontId="18" fillId="2" borderId="0" xfId="4" applyNumberFormat="1" applyFont="1" applyFill="1" applyBorder="1" applyAlignment="1">
      <alignment horizontal="center"/>
    </xf>
    <xf numFmtId="0" fontId="17" fillId="2" borderId="2" xfId="5" applyFont="1" applyFill="1" applyBorder="1" applyAlignment="1"/>
    <xf numFmtId="0" fontId="17" fillId="0" borderId="0" xfId="4" applyFont="1" applyFill="1"/>
    <xf numFmtId="0" fontId="17" fillId="0" borderId="0" xfId="5" applyFont="1" applyFill="1" applyAlignment="1"/>
    <xf numFmtId="0" fontId="15" fillId="0" borderId="0" xfId="5" applyFont="1" applyFill="1"/>
    <xf numFmtId="0" fontId="18" fillId="0" borderId="0" xfId="5" applyFont="1" applyFill="1"/>
    <xf numFmtId="0" fontId="18" fillId="0" borderId="0" xfId="5" applyFont="1" applyFill="1" applyAlignment="1">
      <alignment horizontal="right" vertical="center"/>
    </xf>
    <xf numFmtId="0" fontId="17" fillId="0" borderId="0" xfId="0" applyFont="1" applyFill="1" applyAlignment="1">
      <alignment wrapText="1"/>
    </xf>
    <xf numFmtId="0" fontId="17" fillId="0" borderId="0" xfId="0" applyFont="1" applyFill="1" applyAlignment="1"/>
    <xf numFmtId="0" fontId="17" fillId="0" borderId="0" xfId="5" applyFont="1" applyFill="1" applyAlignment="1">
      <alignment horizontal="right"/>
    </xf>
    <xf numFmtId="0" fontId="18" fillId="0" borderId="0" xfId="5" applyFont="1" applyFill="1" applyAlignment="1"/>
    <xf numFmtId="0" fontId="18" fillId="0" borderId="0" xfId="5" applyFont="1" applyFill="1" applyBorder="1" applyAlignment="1"/>
    <xf numFmtId="0" fontId="17" fillId="0" borderId="0" xfId="5" applyFont="1" applyFill="1" applyBorder="1" applyAlignment="1">
      <alignment horizontal="right"/>
    </xf>
    <xf numFmtId="0" fontId="16" fillId="0" borderId="0" xfId="4" applyFont="1" applyFill="1"/>
    <xf numFmtId="0" fontId="17" fillId="0" borderId="0" xfId="4" applyFont="1" applyFill="1" applyAlignment="1"/>
    <xf numFmtId="0" fontId="16" fillId="0" borderId="0" xfId="0" applyFont="1" applyFill="1" applyAlignment="1">
      <alignment vertical="center"/>
    </xf>
    <xf numFmtId="0" fontId="17" fillId="0" borderId="0" xfId="0" applyFont="1" applyFill="1" applyAlignment="1">
      <alignment vertical="center"/>
    </xf>
    <xf numFmtId="0" fontId="17" fillId="0" borderId="0" xfId="0" applyFont="1" applyFill="1" applyBorder="1" applyAlignment="1"/>
    <xf numFmtId="0" fontId="17" fillId="0" borderId="0" xfId="4" applyFont="1" applyFill="1" applyAlignment="1">
      <alignment horizontal="right"/>
    </xf>
    <xf numFmtId="0" fontId="17" fillId="0" borderId="0" xfId="5" applyFont="1" applyFill="1" applyAlignment="1">
      <alignment horizontal="center"/>
    </xf>
    <xf numFmtId="0" fontId="17" fillId="0" borderId="0" xfId="0" applyFont="1" applyFill="1" applyBorder="1" applyAlignment="1">
      <alignment vertical="center"/>
    </xf>
    <xf numFmtId="0" fontId="16" fillId="0" borderId="0" xfId="0" applyFont="1" applyFill="1" applyAlignment="1">
      <alignment vertical="center" wrapText="1"/>
    </xf>
    <xf numFmtId="0" fontId="17" fillId="0" borderId="0" xfId="0" applyFont="1" applyFill="1" applyAlignment="1">
      <alignment vertical="center" wrapText="1"/>
    </xf>
    <xf numFmtId="0" fontId="18" fillId="0" borderId="0" xfId="0" applyFont="1" applyFill="1" applyBorder="1" applyAlignment="1">
      <alignment horizontal="left" vertical="top" wrapText="1"/>
    </xf>
    <xf numFmtId="0" fontId="17" fillId="0" borderId="0" xfId="0" applyFont="1" applyFill="1" applyBorder="1" applyAlignment="1">
      <alignment vertical="center" wrapText="1"/>
    </xf>
    <xf numFmtId="0" fontId="17" fillId="0" borderId="0" xfId="0" applyFont="1" applyFill="1" applyAlignment="1">
      <alignment horizontal="center" vertical="center"/>
    </xf>
    <xf numFmtId="0" fontId="17" fillId="0" borderId="0" xfId="0" applyFont="1" applyFill="1" applyAlignment="1">
      <alignment horizontal="right" vertical="center"/>
    </xf>
    <xf numFmtId="0" fontId="17" fillId="6" borderId="0" xfId="4" applyFont="1" applyFill="1"/>
    <xf numFmtId="0" fontId="17" fillId="0" borderId="0" xfId="5" applyFont="1" applyFill="1" applyAlignment="1"/>
    <xf numFmtId="0" fontId="18" fillId="2" borderId="2" xfId="0" applyFont="1" applyFill="1" applyBorder="1" applyAlignment="1">
      <alignment horizontal="right" wrapText="1"/>
    </xf>
    <xf numFmtId="0" fontId="17" fillId="6" borderId="0" xfId="5" applyFont="1" applyFill="1" applyAlignment="1"/>
    <xf numFmtId="3" fontId="19" fillId="6" borderId="0" xfId="0" applyNumberFormat="1" applyFont="1" applyFill="1" applyBorder="1" applyAlignment="1">
      <alignment horizontal="right"/>
    </xf>
    <xf numFmtId="0" fontId="30" fillId="0" borderId="0" xfId="0" applyFont="1" applyBorder="1" applyAlignment="1">
      <alignment horizontal="center" vertical="center" wrapText="1"/>
    </xf>
    <xf numFmtId="0" fontId="18" fillId="6" borderId="0" xfId="5" applyFont="1" applyFill="1" applyBorder="1" applyAlignment="1"/>
    <xf numFmtId="0" fontId="18" fillId="2" borderId="1" xfId="5" applyFont="1" applyFill="1" applyBorder="1" applyAlignment="1">
      <alignment horizontal="left" vertical="center"/>
    </xf>
    <xf numFmtId="165" fontId="17" fillId="2" borderId="0" xfId="0" applyNumberFormat="1" applyFont="1" applyFill="1" applyBorder="1" applyAlignment="1">
      <alignment horizontal="right"/>
    </xf>
    <xf numFmtId="0" fontId="18" fillId="7" borderId="0" xfId="5" applyFont="1" applyFill="1" applyBorder="1" applyAlignment="1">
      <alignment horizontal="left" vertical="center"/>
    </xf>
    <xf numFmtId="0" fontId="17" fillId="7" borderId="0" xfId="0" applyFont="1" applyFill="1" applyBorder="1" applyAlignment="1">
      <alignment wrapText="1"/>
    </xf>
    <xf numFmtId="0" fontId="18" fillId="2" borderId="0" xfId="5" applyFont="1" applyFill="1" applyBorder="1" applyAlignment="1">
      <alignment vertical="center"/>
    </xf>
    <xf numFmtId="0" fontId="18" fillId="2" borderId="0" xfId="5" applyFont="1" applyFill="1" applyBorder="1" applyAlignment="1">
      <alignment horizontal="left" vertical="top"/>
    </xf>
    <xf numFmtId="0" fontId="17" fillId="6" borderId="0" xfId="0" applyFont="1" applyFill="1"/>
    <xf numFmtId="0" fontId="18" fillId="6" borderId="0" xfId="4" applyFont="1" applyFill="1" applyBorder="1" applyAlignment="1">
      <alignment horizontal="left"/>
    </xf>
    <xf numFmtId="0" fontId="18" fillId="6" borderId="0" xfId="5" applyFont="1" applyFill="1" applyAlignment="1"/>
    <xf numFmtId="0" fontId="18" fillId="6" borderId="0" xfId="0" applyFont="1" applyFill="1" applyBorder="1" applyAlignment="1">
      <alignment horizontal="left"/>
    </xf>
    <xf numFmtId="0" fontId="18" fillId="6" borderId="1" xfId="5" applyFont="1" applyFill="1" applyBorder="1" applyAlignment="1">
      <alignment vertical="center"/>
    </xf>
    <xf numFmtId="165" fontId="17" fillId="6" borderId="0" xfId="0" applyNumberFormat="1" applyFont="1" applyFill="1" applyBorder="1" applyAlignment="1"/>
    <xf numFmtId="165" fontId="17" fillId="6" borderId="2" xfId="0" applyNumberFormat="1" applyFont="1" applyFill="1" applyBorder="1" applyAlignment="1"/>
    <xf numFmtId="0" fontId="18" fillId="6" borderId="1" xfId="5" applyFont="1" applyFill="1" applyBorder="1" applyAlignment="1">
      <alignment horizontal="right" vertical="center"/>
    </xf>
    <xf numFmtId="0" fontId="32" fillId="0" borderId="0" xfId="0" applyFont="1"/>
    <xf numFmtId="0" fontId="17" fillId="0" borderId="0" xfId="5" applyFont="1" applyFill="1" applyAlignment="1"/>
    <xf numFmtId="0" fontId="17" fillId="0" borderId="0" xfId="0" applyFont="1" applyAlignment="1"/>
    <xf numFmtId="165" fontId="18" fillId="6" borderId="0" xfId="4" applyNumberFormat="1" applyFont="1" applyFill="1" applyBorder="1" applyAlignment="1">
      <alignment horizontal="right"/>
    </xf>
    <xf numFmtId="0" fontId="17" fillId="6" borderId="0" xfId="4" applyFont="1" applyFill="1" applyBorder="1" applyAlignment="1">
      <alignment horizontal="right"/>
    </xf>
    <xf numFmtId="0" fontId="15" fillId="0" borderId="0" xfId="5" applyFont="1" applyBorder="1" applyAlignment="1"/>
    <xf numFmtId="0" fontId="17" fillId="0" borderId="0" xfId="0" applyFont="1" applyBorder="1" applyAlignment="1"/>
    <xf numFmtId="0" fontId="18" fillId="6" borderId="0" xfId="0" applyFont="1" applyFill="1" applyBorder="1" applyAlignment="1"/>
    <xf numFmtId="0" fontId="18" fillId="6" borderId="1" xfId="3" applyNumberFormat="1" applyFont="1" applyFill="1" applyBorder="1" applyAlignment="1">
      <alignment horizontal="right" vertical="center"/>
    </xf>
    <xf numFmtId="1" fontId="18" fillId="6" borderId="1" xfId="0" applyNumberFormat="1" applyFont="1" applyFill="1" applyBorder="1" applyAlignment="1">
      <alignment vertical="center"/>
    </xf>
    <xf numFmtId="3" fontId="18" fillId="6" borderId="0" xfId="0" applyNumberFormat="1" applyFont="1" applyFill="1" applyAlignment="1"/>
    <xf numFmtId="0" fontId="17" fillId="0" borderId="0" xfId="5" applyFont="1" applyFill="1" applyAlignment="1"/>
    <xf numFmtId="0" fontId="17" fillId="6" borderId="0" xfId="4" applyFont="1" applyFill="1" applyBorder="1"/>
    <xf numFmtId="0" fontId="19" fillId="6" borderId="0" xfId="3" applyFont="1" applyFill="1" applyBorder="1" applyAlignment="1">
      <alignment horizontal="left"/>
    </xf>
    <xf numFmtId="0" fontId="18" fillId="6" borderId="0" xfId="4" applyFont="1" applyFill="1" applyBorder="1" applyAlignment="1">
      <alignment horizontal="center" vertical="center" wrapText="1"/>
    </xf>
    <xf numFmtId="0" fontId="18" fillId="6" borderId="0" xfId="4" applyFont="1" applyFill="1" applyBorder="1"/>
    <xf numFmtId="3" fontId="0" fillId="0" borderId="0" xfId="0" applyNumberFormat="1"/>
    <xf numFmtId="3" fontId="17" fillId="0" borderId="0" xfId="4" applyNumberFormat="1" applyFont="1" applyFill="1"/>
    <xf numFmtId="0" fontId="17" fillId="6" borderId="0" xfId="5" applyFont="1" applyFill="1"/>
    <xf numFmtId="0" fontId="18" fillId="6" borderId="0" xfId="4" applyFont="1" applyFill="1" applyAlignment="1">
      <alignment horizontal="center"/>
    </xf>
    <xf numFmtId="0" fontId="17" fillId="6" borderId="0" xfId="4" applyFont="1" applyFill="1" applyAlignment="1">
      <alignment horizontal="center"/>
    </xf>
    <xf numFmtId="0" fontId="19" fillId="6" borderId="0" xfId="4" applyFont="1" applyFill="1" applyAlignment="1">
      <alignment horizontal="left"/>
    </xf>
    <xf numFmtId="0" fontId="17" fillId="6" borderId="0" xfId="4" applyFont="1" applyFill="1" applyAlignment="1"/>
    <xf numFmtId="0" fontId="18" fillId="6" borderId="0" xfId="5" applyFont="1" applyFill="1"/>
    <xf numFmtId="0" fontId="18" fillId="6" borderId="0" xfId="5" applyFont="1" applyFill="1" applyAlignment="1">
      <alignment horizontal="right"/>
    </xf>
    <xf numFmtId="164" fontId="18" fillId="6" borderId="0" xfId="5" applyNumberFormat="1" applyFont="1" applyFill="1" applyAlignment="1">
      <alignment horizontal="center"/>
    </xf>
    <xf numFmtId="0" fontId="18" fillId="2" borderId="2" xfId="0" applyFont="1" applyFill="1" applyBorder="1" applyAlignment="1">
      <alignment horizontal="right" wrapText="1"/>
    </xf>
    <xf numFmtId="0" fontId="18" fillId="6" borderId="2" xfId="5" applyFont="1" applyFill="1" applyBorder="1" applyAlignment="1"/>
    <xf numFmtId="164" fontId="17" fillId="6" borderId="0" xfId="5" applyNumberFormat="1" applyFont="1" applyFill="1" applyAlignment="1"/>
    <xf numFmtId="0" fontId="18" fillId="2" borderId="2" xfId="0" applyFont="1" applyFill="1" applyBorder="1" applyAlignment="1">
      <alignment horizontal="right" wrapText="1"/>
    </xf>
    <xf numFmtId="4" fontId="18" fillId="6" borderId="0" xfId="4" applyNumberFormat="1" applyFont="1" applyFill="1" applyBorder="1" applyAlignment="1">
      <alignment horizontal="left"/>
    </xf>
    <xf numFmtId="0" fontId="18" fillId="0" borderId="0" xfId="5" applyFont="1" applyBorder="1" applyAlignment="1"/>
    <xf numFmtId="0" fontId="18" fillId="2" borderId="0" xfId="0" applyFont="1" applyFill="1" applyBorder="1" applyAlignment="1">
      <alignment wrapText="1"/>
    </xf>
    <xf numFmtId="0" fontId="18" fillId="0" borderId="0" xfId="5" applyFont="1" applyBorder="1" applyAlignment="1">
      <alignment vertical="center"/>
    </xf>
    <xf numFmtId="0" fontId="17" fillId="0" borderId="0" xfId="0" applyFont="1" applyBorder="1"/>
    <xf numFmtId="0" fontId="17" fillId="0" borderId="0" xfId="5" applyFont="1" applyFill="1" applyAlignment="1"/>
    <xf numFmtId="3" fontId="17" fillId="0" borderId="0" xfId="4" applyNumberFormat="1" applyFont="1" applyFill="1" applyAlignment="1"/>
    <xf numFmtId="3" fontId="17" fillId="0" borderId="0" xfId="5" applyNumberFormat="1" applyFont="1" applyFill="1" applyAlignment="1"/>
    <xf numFmtId="3" fontId="17" fillId="0" borderId="0" xfId="0" applyNumberFormat="1" applyFont="1"/>
    <xf numFmtId="165" fontId="17" fillId="0" borderId="0" xfId="4" applyNumberFormat="1" applyFont="1" applyFill="1"/>
    <xf numFmtId="0" fontId="18" fillId="2" borderId="4" xfId="3" applyNumberFormat="1" applyFont="1" applyFill="1" applyBorder="1" applyAlignment="1">
      <alignment horizontal="right" vertical="center"/>
    </xf>
    <xf numFmtId="0" fontId="0" fillId="6" borderId="0" xfId="0" applyFill="1" applyBorder="1"/>
    <xf numFmtId="0" fontId="16" fillId="6" borderId="0" xfId="0" applyFont="1" applyFill="1" applyBorder="1"/>
    <xf numFmtId="0" fontId="35" fillId="6" borderId="0" xfId="0" applyFont="1" applyFill="1" applyBorder="1" applyAlignment="1">
      <alignment horizontal="center" vertical="center" wrapText="1"/>
    </xf>
    <xf numFmtId="0" fontId="18" fillId="2" borderId="0" xfId="4" applyFont="1" applyFill="1" applyBorder="1" applyAlignment="1">
      <alignment horizontal="center"/>
    </xf>
    <xf numFmtId="0" fontId="18" fillId="0" borderId="0" xfId="4" applyFont="1" applyFill="1" applyAlignment="1">
      <alignment horizontal="left" wrapText="1"/>
    </xf>
    <xf numFmtId="0" fontId="18" fillId="2" borderId="1" xfId="3" applyNumberFormat="1" applyFont="1" applyFill="1" applyBorder="1" applyAlignment="1">
      <alignment horizontal="left" vertical="center"/>
    </xf>
    <xf numFmtId="0" fontId="17" fillId="0" borderId="0" xfId="5" applyFont="1" applyFill="1" applyAlignment="1"/>
    <xf numFmtId="0" fontId="18" fillId="0" borderId="0" xfId="4" applyFont="1" applyFill="1" applyAlignment="1">
      <alignment wrapText="1"/>
    </xf>
    <xf numFmtId="0" fontId="36" fillId="7" borderId="0" xfId="2" applyFont="1" applyFill="1" applyAlignment="1" applyProtection="1">
      <alignment vertical="center" wrapText="1"/>
    </xf>
    <xf numFmtId="0" fontId="36" fillId="0" borderId="0" xfId="2" applyFont="1" applyFill="1" applyAlignment="1" applyProtection="1">
      <alignment vertical="center" wrapText="1"/>
    </xf>
    <xf numFmtId="0" fontId="37" fillId="0" borderId="0" xfId="0" applyFont="1" applyFill="1" applyBorder="1"/>
    <xf numFmtId="0" fontId="36" fillId="8" borderId="0" xfId="2" applyFont="1" applyFill="1" applyAlignment="1" applyProtection="1">
      <alignment vertical="center" wrapText="1"/>
    </xf>
    <xf numFmtId="0" fontId="14" fillId="0" borderId="0" xfId="2" applyFill="1" applyAlignment="1" applyProtection="1">
      <alignment vertical="center" wrapText="1"/>
    </xf>
    <xf numFmtId="3" fontId="17" fillId="0" borderId="0" xfId="0" applyNumberFormat="1" applyFont="1" applyFill="1" applyAlignment="1"/>
    <xf numFmtId="0" fontId="18" fillId="6" borderId="0" xfId="0" applyFont="1" applyFill="1"/>
    <xf numFmtId="0" fontId="18" fillId="6" borderId="2" xfId="0" applyFont="1" applyFill="1" applyBorder="1" applyAlignment="1"/>
    <xf numFmtId="3" fontId="17" fillId="6" borderId="0" xfId="0" applyNumberFormat="1" applyFont="1" applyFill="1" applyBorder="1" applyAlignment="1"/>
    <xf numFmtId="0" fontId="18" fillId="6" borderId="0" xfId="4" applyFont="1" applyFill="1"/>
    <xf numFmtId="165" fontId="17" fillId="2" borderId="2" xfId="0" applyNumberFormat="1" applyFont="1" applyFill="1" applyBorder="1" applyAlignment="1">
      <alignment horizontal="right"/>
    </xf>
    <xf numFmtId="0" fontId="18" fillId="2" borderId="2" xfId="0" applyFont="1" applyFill="1" applyBorder="1" applyAlignment="1">
      <alignment horizontal="right" wrapText="1"/>
    </xf>
    <xf numFmtId="0" fontId="18" fillId="6" borderId="0" xfId="0" applyFont="1" applyFill="1" applyBorder="1" applyAlignment="1">
      <alignment horizontal="center"/>
    </xf>
    <xf numFmtId="0" fontId="17" fillId="6" borderId="0" xfId="0" applyFont="1" applyFill="1" applyAlignment="1"/>
    <xf numFmtId="0" fontId="18" fillId="2" borderId="2" xfId="0" applyFont="1" applyFill="1" applyBorder="1" applyAlignment="1">
      <alignment horizontal="right" wrapText="1"/>
    </xf>
    <xf numFmtId="0" fontId="16" fillId="6" borderId="0" xfId="0" applyFont="1" applyFill="1" applyAlignment="1">
      <alignment vertical="center" wrapText="1"/>
    </xf>
    <xf numFmtId="0" fontId="38" fillId="6" borderId="0" xfId="0" applyFont="1" applyFill="1" applyAlignment="1"/>
    <xf numFmtId="0" fontId="17" fillId="6" borderId="0" xfId="0" applyFont="1" applyFill="1" applyAlignment="1">
      <alignment vertical="center"/>
    </xf>
    <xf numFmtId="4" fontId="19" fillId="2" borderId="0" xfId="0" applyNumberFormat="1" applyFont="1" applyFill="1" applyBorder="1" applyAlignment="1">
      <alignment horizontal="right"/>
    </xf>
    <xf numFmtId="0" fontId="18" fillId="2" borderId="0" xfId="4" applyFont="1" applyFill="1" applyBorder="1" applyAlignment="1">
      <alignment horizontal="left"/>
    </xf>
    <xf numFmtId="0" fontId="18" fillId="2" borderId="2" xfId="0" applyFont="1" applyFill="1" applyBorder="1" applyAlignment="1">
      <alignment horizontal="right" wrapText="1"/>
    </xf>
    <xf numFmtId="0" fontId="39" fillId="0" borderId="0" xfId="0" applyNumberFormat="1" applyFont="1" applyFill="1" applyBorder="1" applyAlignment="1" applyProtection="1"/>
    <xf numFmtId="0" fontId="18" fillId="2" borderId="2" xfId="0" applyFont="1" applyFill="1" applyBorder="1" applyAlignment="1">
      <alignment horizontal="right" wrapText="1"/>
    </xf>
    <xf numFmtId="0" fontId="15" fillId="0" borderId="0" xfId="74" applyFont="1" applyAlignment="1"/>
    <xf numFmtId="0" fontId="18" fillId="6" borderId="0" xfId="74" applyFont="1" applyFill="1" applyBorder="1" applyAlignment="1"/>
    <xf numFmtId="0" fontId="18" fillId="2" borderId="0" xfId="74" applyFont="1" applyFill="1" applyAlignment="1"/>
    <xf numFmtId="0" fontId="18" fillId="0" borderId="0" xfId="74" applyFont="1" applyAlignment="1"/>
    <xf numFmtId="0" fontId="18" fillId="2" borderId="1" xfId="74" applyFont="1" applyFill="1" applyBorder="1" applyAlignment="1">
      <alignment horizontal="left" vertical="center"/>
    </xf>
    <xf numFmtId="0" fontId="18" fillId="2" borderId="1" xfId="74" applyFont="1" applyFill="1" applyBorder="1" applyAlignment="1">
      <alignment vertical="center"/>
    </xf>
    <xf numFmtId="0" fontId="18" fillId="0" borderId="0" xfId="74" applyFont="1" applyAlignment="1">
      <alignment vertical="center"/>
    </xf>
    <xf numFmtId="0" fontId="18" fillId="7" borderId="0" xfId="74" applyFont="1" applyFill="1" applyBorder="1" applyAlignment="1">
      <alignment horizontal="left" vertical="center"/>
    </xf>
    <xf numFmtId="0" fontId="17" fillId="0" borderId="0" xfId="74" applyFont="1" applyAlignment="1"/>
    <xf numFmtId="0" fontId="18" fillId="2" borderId="0" xfId="74" applyFont="1" applyFill="1" applyBorder="1" applyAlignment="1">
      <alignment horizontal="left" vertical="top"/>
    </xf>
    <xf numFmtId="0" fontId="18" fillId="2" borderId="0" xfId="74" applyFont="1" applyFill="1" applyBorder="1" applyAlignment="1">
      <alignment vertical="center"/>
    </xf>
    <xf numFmtId="0" fontId="16" fillId="0" borderId="0" xfId="74" applyFont="1" applyFill="1"/>
    <xf numFmtId="0" fontId="18" fillId="2" borderId="0" xfId="74" applyFont="1" applyFill="1" applyAlignment="1">
      <alignment horizontal="center"/>
    </xf>
    <xf numFmtId="0" fontId="17" fillId="0" borderId="0" xfId="74" applyFont="1" applyFill="1"/>
    <xf numFmtId="167" fontId="39" fillId="0" borderId="0" xfId="0" applyNumberFormat="1" applyFont="1" applyFill="1" applyBorder="1" applyAlignment="1" applyProtection="1"/>
    <xf numFmtId="0" fontId="17" fillId="0" borderId="0" xfId="74" applyFont="1" applyFill="1" applyBorder="1"/>
    <xf numFmtId="0" fontId="17" fillId="0" borderId="0" xfId="74" applyFont="1" applyFill="1" applyAlignment="1"/>
    <xf numFmtId="0" fontId="16" fillId="0" borderId="0" xfId="0" applyFont="1" applyFill="1" applyBorder="1" applyAlignment="1">
      <alignment vertical="center" wrapText="1"/>
    </xf>
    <xf numFmtId="0" fontId="18" fillId="2" borderId="0" xfId="74" applyFont="1" applyFill="1"/>
    <xf numFmtId="0" fontId="18" fillId="2" borderId="0" xfId="74" applyFont="1" applyFill="1" applyAlignment="1">
      <alignment horizontal="right"/>
    </xf>
    <xf numFmtId="0" fontId="17" fillId="2" borderId="0" xfId="74" applyFont="1" applyFill="1" applyAlignment="1"/>
    <xf numFmtId="0" fontId="17" fillId="2" borderId="0" xfId="74" applyFont="1" applyFill="1"/>
    <xf numFmtId="0" fontId="18" fillId="2" borderId="1" xfId="74" applyFont="1" applyFill="1" applyBorder="1" applyAlignment="1">
      <alignment horizontal="right" vertical="center"/>
    </xf>
    <xf numFmtId="0" fontId="18" fillId="0" borderId="0" xfId="74" applyFont="1" applyFill="1" applyBorder="1" applyAlignment="1">
      <alignment horizontal="right" vertical="center"/>
    </xf>
    <xf numFmtId="0" fontId="18" fillId="0" borderId="0" xfId="74" applyFont="1" applyFill="1" applyAlignment="1">
      <alignment horizontal="right" vertical="center"/>
    </xf>
    <xf numFmtId="165" fontId="18" fillId="2" borderId="0" xfId="74" applyNumberFormat="1" applyFont="1" applyFill="1" applyBorder="1" applyAlignment="1"/>
    <xf numFmtId="0" fontId="17" fillId="0" borderId="0" xfId="74" applyFont="1" applyFill="1" applyBorder="1" applyAlignment="1"/>
    <xf numFmtId="0" fontId="18" fillId="2" borderId="0" xfId="74" applyFont="1" applyFill="1" applyAlignment="1">
      <alignment horizontal="left"/>
    </xf>
    <xf numFmtId="0" fontId="18" fillId="0" borderId="0" xfId="74" applyFont="1" applyFill="1" applyBorder="1" applyAlignment="1"/>
    <xf numFmtId="0" fontId="18" fillId="0" borderId="0" xfId="74" applyFont="1" applyFill="1" applyAlignment="1"/>
    <xf numFmtId="0" fontId="21" fillId="2" borderId="0" xfId="74" applyFont="1" applyFill="1" applyBorder="1" applyAlignment="1">
      <alignment horizontal="left"/>
    </xf>
    <xf numFmtId="0" fontId="18" fillId="2" borderId="0" xfId="74" applyFont="1" applyFill="1" applyBorder="1" applyAlignment="1">
      <alignment horizontal="left"/>
    </xf>
    <xf numFmtId="0" fontId="21" fillId="2" borderId="2" xfId="74" applyFont="1" applyFill="1" applyBorder="1" applyAlignment="1">
      <alignment horizontal="left"/>
    </xf>
    <xf numFmtId="0" fontId="17" fillId="2" borderId="2" xfId="74" applyFont="1" applyFill="1" applyBorder="1" applyAlignment="1">
      <alignment horizontal="right"/>
    </xf>
    <xf numFmtId="0" fontId="17" fillId="2" borderId="0" xfId="74" applyFont="1" applyFill="1" applyBorder="1" applyAlignment="1">
      <alignment horizontal="right"/>
    </xf>
    <xf numFmtId="0" fontId="17" fillId="2" borderId="0" xfId="74" applyFont="1" applyFill="1" applyBorder="1" applyAlignment="1"/>
    <xf numFmtId="0" fontId="18" fillId="2" borderId="2" xfId="0" applyFont="1" applyFill="1" applyBorder="1" applyAlignment="1">
      <alignment horizontal="right" wrapText="1"/>
    </xf>
    <xf numFmtId="0" fontId="18" fillId="6" borderId="0" xfId="74" applyFont="1" applyFill="1"/>
    <xf numFmtId="0" fontId="18" fillId="0" borderId="0" xfId="74" applyFont="1" applyFill="1"/>
    <xf numFmtId="0" fontId="18" fillId="6" borderId="0" xfId="74" applyFont="1" applyFill="1" applyAlignment="1">
      <alignment horizontal="right" vertical="center"/>
    </xf>
    <xf numFmtId="0" fontId="17" fillId="6" borderId="0" xfId="74" applyFont="1" applyFill="1" applyBorder="1" applyAlignment="1"/>
    <xf numFmtId="0" fontId="18" fillId="6" borderId="0" xfId="74" applyFont="1" applyFill="1" applyAlignment="1"/>
    <xf numFmtId="0" fontId="17" fillId="6" borderId="0" xfId="74" applyFont="1" applyFill="1" applyAlignment="1"/>
    <xf numFmtId="0" fontId="15" fillId="0" borderId="0" xfId="74" applyFont="1" applyFill="1"/>
    <xf numFmtId="0" fontId="17" fillId="2" borderId="0" xfId="74" applyFont="1" applyFill="1" applyAlignment="1">
      <alignment horizontal="center"/>
    </xf>
    <xf numFmtId="0" fontId="17" fillId="2" borderId="1" xfId="74" applyFont="1" applyFill="1" applyBorder="1" applyAlignment="1">
      <alignment horizontal="center" vertical="center"/>
    </xf>
    <xf numFmtId="165" fontId="18" fillId="2" borderId="0" xfId="74" applyNumberFormat="1" applyFont="1" applyFill="1" applyBorder="1" applyAlignment="1">
      <alignment horizontal="right"/>
    </xf>
    <xf numFmtId="0" fontId="17" fillId="2" borderId="2" xfId="74" applyFont="1" applyFill="1" applyBorder="1"/>
    <xf numFmtId="0" fontId="17" fillId="2" borderId="2" xfId="74" applyFont="1" applyFill="1" applyBorder="1" applyAlignment="1">
      <alignment horizontal="center"/>
    </xf>
    <xf numFmtId="0" fontId="18" fillId="2" borderId="0" xfId="74" applyFont="1" applyFill="1" applyBorder="1" applyAlignment="1"/>
    <xf numFmtId="0" fontId="18" fillId="2" borderId="2" xfId="74" applyFont="1" applyFill="1" applyBorder="1" applyAlignment="1"/>
    <xf numFmtId="0" fontId="17" fillId="6" borderId="0" xfId="0" applyFont="1" applyFill="1" applyAlignment="1">
      <alignment vertical="top"/>
    </xf>
    <xf numFmtId="0" fontId="17" fillId="6" borderId="0" xfId="0" applyFont="1" applyFill="1" applyAlignment="1">
      <alignment vertical="center" wrapText="1"/>
    </xf>
    <xf numFmtId="0" fontId="18" fillId="6" borderId="0" xfId="74" applyFont="1" applyFill="1" applyAlignment="1">
      <alignment horizontal="center"/>
    </xf>
    <xf numFmtId="0" fontId="17" fillId="6" borderId="0" xfId="74" applyFont="1" applyFill="1"/>
    <xf numFmtId="0" fontId="18" fillId="6" borderId="0" xfId="4" applyFont="1" applyFill="1" applyBorder="1" applyAlignment="1">
      <alignment horizontal="center"/>
    </xf>
    <xf numFmtId="0" fontId="17" fillId="6" borderId="0" xfId="4" applyFont="1" applyFill="1" applyBorder="1" applyAlignment="1">
      <alignment horizontal="center"/>
    </xf>
    <xf numFmtId="0" fontId="17" fillId="6" borderId="0" xfId="0" applyFont="1" applyFill="1" applyBorder="1" applyAlignment="1">
      <alignment wrapText="1"/>
    </xf>
    <xf numFmtId="0" fontId="17" fillId="6" borderId="0" xfId="0" applyFont="1" applyFill="1" applyAlignment="1">
      <alignment wrapText="1"/>
    </xf>
    <xf numFmtId="166" fontId="17" fillId="6" borderId="0" xfId="74" applyNumberFormat="1" applyFont="1" applyFill="1" applyBorder="1" applyAlignment="1"/>
    <xf numFmtId="0" fontId="18" fillId="6" borderId="0" xfId="4" applyFont="1" applyFill="1" applyAlignment="1">
      <alignment horizontal="center" vertical="center" wrapText="1"/>
    </xf>
    <xf numFmtId="3" fontId="39" fillId="0" borderId="0" xfId="0" applyNumberFormat="1" applyFont="1" applyFill="1" applyBorder="1" applyAlignment="1" applyProtection="1"/>
    <xf numFmtId="165" fontId="17" fillId="0" borderId="0" xfId="74" applyNumberFormat="1" applyFont="1" applyFill="1" applyBorder="1" applyAlignment="1"/>
    <xf numFmtId="165" fontId="18" fillId="0" borderId="0" xfId="74" applyNumberFormat="1" applyFont="1" applyFill="1"/>
    <xf numFmtId="0" fontId="0" fillId="6" borderId="0" xfId="0" applyFill="1"/>
    <xf numFmtId="0" fontId="18" fillId="2" borderId="0" xfId="4" applyFont="1" applyFill="1" applyBorder="1" applyAlignment="1">
      <alignment horizontal="justify" vertical="center"/>
    </xf>
    <xf numFmtId="0" fontId="18" fillId="2" borderId="0" xfId="0" applyFont="1" applyFill="1" applyBorder="1" applyAlignment="1">
      <alignment horizontal="justify" vertical="center"/>
    </xf>
    <xf numFmtId="3" fontId="18" fillId="6" borderId="0" xfId="0" applyNumberFormat="1" applyFont="1" applyFill="1" applyBorder="1" applyAlignment="1">
      <alignment horizontal="right" vertical="center"/>
    </xf>
    <xf numFmtId="0" fontId="18" fillId="6" borderId="0" xfId="0" applyFont="1" applyFill="1" applyBorder="1" applyAlignment="1">
      <alignment horizontal="justify" vertical="center"/>
    </xf>
    <xf numFmtId="165" fontId="18" fillId="6" borderId="0" xfId="0" applyNumberFormat="1" applyFont="1" applyFill="1" applyBorder="1" applyAlignment="1">
      <alignment vertical="center"/>
    </xf>
    <xf numFmtId="0" fontId="18" fillId="6" borderId="2" xfId="0" applyFont="1" applyFill="1" applyBorder="1" applyAlignment="1">
      <alignment horizontal="left" wrapText="1"/>
    </xf>
    <xf numFmtId="0" fontId="18" fillId="2" borderId="0" xfId="0" applyFont="1" applyFill="1" applyBorder="1" applyAlignment="1">
      <alignment horizontal="left" vertical="center" wrapText="1"/>
    </xf>
    <xf numFmtId="0" fontId="17" fillId="6" borderId="0" xfId="5" applyFont="1" applyFill="1" applyBorder="1" applyAlignment="1"/>
    <xf numFmtId="165" fontId="18" fillId="6" borderId="0" xfId="4" applyNumberFormat="1" applyFont="1" applyFill="1" applyBorder="1" applyAlignment="1"/>
    <xf numFmtId="167" fontId="17" fillId="6" borderId="0" xfId="0" applyNumberFormat="1" applyFont="1" applyFill="1" applyAlignment="1"/>
    <xf numFmtId="0" fontId="31" fillId="9" borderId="0" xfId="2" applyFont="1" applyFill="1" applyAlignment="1" applyProtection="1"/>
    <xf numFmtId="0" fontId="18" fillId="2" borderId="2" xfId="0" applyFont="1" applyFill="1" applyBorder="1" applyAlignment="1">
      <alignment horizontal="right" wrapText="1"/>
    </xf>
    <xf numFmtId="0" fontId="18" fillId="6" borderId="2" xfId="0" applyFont="1" applyFill="1" applyBorder="1" applyAlignment="1">
      <alignment horizontal="right" wrapText="1"/>
    </xf>
    <xf numFmtId="0" fontId="18" fillId="6" borderId="4" xfId="4" applyFont="1" applyFill="1" applyBorder="1" applyAlignment="1"/>
    <xf numFmtId="0" fontId="33" fillId="0" borderId="0" xfId="0" applyFont="1" applyBorder="1" applyAlignment="1">
      <alignment horizontal="right" vertical="center" wrapText="1"/>
    </xf>
    <xf numFmtId="0" fontId="17" fillId="0" borderId="0" xfId="0" applyFont="1" applyFill="1" applyBorder="1"/>
    <xf numFmtId="165" fontId="18" fillId="0" borderId="0" xfId="0" applyNumberFormat="1" applyFont="1" applyFill="1" applyBorder="1" applyAlignment="1">
      <alignment horizontal="right"/>
    </xf>
    <xf numFmtId="3" fontId="17" fillId="0" borderId="0" xfId="0" applyNumberFormat="1" applyFont="1" applyFill="1" applyBorder="1"/>
    <xf numFmtId="167" fontId="17" fillId="0" borderId="0" xfId="0" applyNumberFormat="1" applyFont="1" applyBorder="1"/>
    <xf numFmtId="0" fontId="18" fillId="2" borderId="2" xfId="0" applyFont="1" applyFill="1" applyBorder="1" applyAlignment="1">
      <alignment horizontal="right" wrapText="1"/>
    </xf>
    <xf numFmtId="0" fontId="31" fillId="5" borderId="0" xfId="2" applyFont="1" applyFill="1" applyAlignment="1" applyProtection="1"/>
    <xf numFmtId="0" fontId="36" fillId="3" borderId="0" xfId="2" applyFont="1" applyFill="1" applyAlignment="1" applyProtection="1"/>
    <xf numFmtId="0" fontId="40" fillId="0" borderId="0" xfId="0" applyFont="1"/>
    <xf numFmtId="0" fontId="36" fillId="4" borderId="0" xfId="2" applyFont="1" applyFill="1" applyAlignment="1" applyProtection="1"/>
    <xf numFmtId="0" fontId="36" fillId="6" borderId="0" xfId="2" applyFont="1" applyFill="1" applyAlignment="1" applyProtection="1"/>
    <xf numFmtId="0" fontId="18" fillId="2" borderId="0" xfId="4" applyFont="1" applyFill="1" applyBorder="1" applyAlignment="1">
      <alignment horizontal="left"/>
    </xf>
    <xf numFmtId="0" fontId="18" fillId="2" borderId="2" xfId="0" applyFont="1" applyFill="1" applyBorder="1" applyAlignment="1">
      <alignment horizontal="right" wrapText="1"/>
    </xf>
    <xf numFmtId="0" fontId="18" fillId="6" borderId="2" xfId="0" applyFont="1" applyFill="1" applyBorder="1" applyAlignment="1">
      <alignment horizontal="right" wrapText="1"/>
    </xf>
    <xf numFmtId="0" fontId="18" fillId="0" borderId="0" xfId="0" applyFont="1" applyBorder="1" applyAlignment="1">
      <alignment horizontal="center" vertical="center" wrapText="1"/>
    </xf>
    <xf numFmtId="0" fontId="18" fillId="0" borderId="0" xfId="0" applyFont="1" applyBorder="1" applyAlignment="1">
      <alignment horizontal="center" wrapText="1"/>
    </xf>
    <xf numFmtId="0" fontId="18" fillId="6" borderId="0" xfId="0" applyFont="1" applyFill="1" applyBorder="1" applyAlignment="1">
      <alignment horizontal="center" wrapText="1"/>
    </xf>
    <xf numFmtId="0" fontId="18" fillId="2" borderId="2" xfId="0" applyFont="1" applyFill="1" applyBorder="1" applyAlignment="1">
      <alignment wrapText="1"/>
    </xf>
    <xf numFmtId="0" fontId="18" fillId="2" borderId="4" xfId="4" applyFont="1" applyFill="1" applyBorder="1" applyAlignment="1"/>
    <xf numFmtId="0" fontId="18" fillId="2" borderId="0" xfId="4" applyFont="1" applyFill="1" applyBorder="1" applyAlignment="1"/>
    <xf numFmtId="0" fontId="30" fillId="6" borderId="0" xfId="0" applyFont="1" applyFill="1" applyBorder="1" applyAlignment="1">
      <alignment horizontal="center" vertical="center" wrapText="1"/>
    </xf>
    <xf numFmtId="0" fontId="18" fillId="2" borderId="2" xfId="0" applyFont="1" applyFill="1" applyBorder="1" applyAlignment="1">
      <alignment horizontal="right" wrapText="1"/>
    </xf>
    <xf numFmtId="0" fontId="18" fillId="0" borderId="0" xfId="0" applyFont="1"/>
    <xf numFmtId="165" fontId="18" fillId="2" borderId="0" xfId="0" applyNumberFormat="1" applyFont="1" applyFill="1" applyBorder="1" applyAlignment="1">
      <alignment horizontal="right"/>
    </xf>
    <xf numFmtId="0" fontId="41" fillId="0" borderId="0" xfId="0" applyNumberFormat="1" applyFont="1" applyFill="1" applyBorder="1" applyAlignment="1" applyProtection="1"/>
    <xf numFmtId="168" fontId="18" fillId="2" borderId="3" xfId="3" applyNumberFormat="1" applyFont="1" applyFill="1" applyBorder="1" applyAlignment="1">
      <alignment horizontal="right"/>
    </xf>
    <xf numFmtId="168" fontId="18" fillId="2" borderId="0" xfId="3" applyNumberFormat="1" applyFont="1" applyFill="1" applyBorder="1" applyAlignment="1">
      <alignment horizontal="right"/>
    </xf>
    <xf numFmtId="168" fontId="17" fillId="2" borderId="0" xfId="3" applyNumberFormat="1" applyFont="1" applyFill="1" applyBorder="1" applyAlignment="1">
      <alignment horizontal="right"/>
    </xf>
    <xf numFmtId="168" fontId="18" fillId="2" borderId="2" xfId="3" applyNumberFormat="1" applyFont="1" applyFill="1" applyBorder="1" applyAlignment="1">
      <alignment horizontal="right"/>
    </xf>
    <xf numFmtId="168" fontId="18" fillId="6" borderId="3" xfId="0" applyNumberFormat="1" applyFont="1" applyFill="1" applyBorder="1" applyAlignment="1"/>
    <xf numFmtId="168" fontId="17" fillId="6" borderId="0" xfId="0" applyNumberFormat="1" applyFont="1" applyFill="1" applyBorder="1" applyAlignment="1"/>
    <xf numFmtId="168" fontId="17" fillId="6" borderId="2" xfId="0" applyNumberFormat="1" applyFont="1" applyFill="1" applyBorder="1" applyAlignment="1"/>
    <xf numFmtId="168" fontId="18" fillId="2" borderId="0" xfId="4" applyNumberFormat="1" applyFont="1" applyFill="1" applyBorder="1" applyAlignment="1"/>
    <xf numFmtId="168" fontId="17" fillId="2" borderId="0" xfId="4" applyNumberFormat="1" applyFont="1" applyFill="1" applyBorder="1" applyAlignment="1"/>
    <xf numFmtId="168" fontId="17" fillId="2" borderId="2" xfId="4" applyNumberFormat="1" applyFont="1" applyFill="1" applyBorder="1" applyAlignment="1"/>
    <xf numFmtId="168" fontId="18" fillId="2" borderId="3" xfId="0" applyNumberFormat="1" applyFont="1" applyFill="1" applyBorder="1" applyAlignment="1"/>
    <xf numFmtId="168" fontId="17" fillId="2" borderId="0" xfId="0" applyNumberFormat="1" applyFont="1" applyFill="1" applyBorder="1" applyAlignment="1"/>
    <xf numFmtId="168" fontId="17" fillId="2" borderId="2" xfId="0" applyNumberFormat="1" applyFont="1" applyFill="1" applyBorder="1" applyAlignment="1"/>
    <xf numFmtId="168" fontId="18" fillId="2" borderId="3" xfId="4" applyNumberFormat="1" applyFont="1" applyFill="1" applyBorder="1" applyAlignment="1"/>
    <xf numFmtId="168" fontId="18" fillId="2" borderId="0" xfId="4" applyNumberFormat="1" applyFont="1" applyFill="1" applyBorder="1" applyAlignment="1">
      <alignment horizontal="right"/>
    </xf>
    <xf numFmtId="168" fontId="17" fillId="2" borderId="0" xfId="4" applyNumberFormat="1" applyFont="1" applyFill="1" applyBorder="1" applyAlignment="1">
      <alignment horizontal="right"/>
    </xf>
    <xf numFmtId="168" fontId="18" fillId="2" borderId="2" xfId="4" applyNumberFormat="1" applyFont="1" applyFill="1" applyBorder="1" applyAlignment="1">
      <alignment horizontal="right"/>
    </xf>
    <xf numFmtId="168" fontId="18" fillId="6" borderId="3" xfId="0" applyNumberFormat="1" applyFont="1" applyFill="1" applyBorder="1"/>
    <xf numFmtId="168" fontId="17" fillId="6" borderId="0" xfId="0" applyNumberFormat="1" applyFont="1" applyFill="1" applyBorder="1"/>
    <xf numFmtId="168" fontId="17" fillId="6" borderId="2" xfId="0" applyNumberFormat="1" applyFont="1" applyFill="1" applyBorder="1"/>
    <xf numFmtId="168" fontId="18" fillId="2" borderId="0" xfId="5" applyNumberFormat="1" applyFont="1" applyFill="1" applyBorder="1" applyAlignment="1"/>
    <xf numFmtId="168" fontId="18" fillId="2" borderId="3" xfId="5" applyNumberFormat="1" applyFont="1" applyFill="1" applyBorder="1" applyAlignment="1"/>
    <xf numFmtId="168" fontId="17" fillId="2" borderId="0" xfId="5" applyNumberFormat="1" applyFont="1" applyFill="1" applyBorder="1" applyAlignment="1"/>
    <xf numFmtId="168" fontId="17" fillId="2" borderId="2" xfId="5" applyNumberFormat="1" applyFont="1" applyFill="1" applyBorder="1" applyAlignment="1"/>
    <xf numFmtId="168" fontId="19" fillId="2" borderId="0" xfId="0" applyNumberFormat="1" applyFont="1" applyFill="1" applyBorder="1" applyAlignment="1">
      <alignment horizontal="right"/>
    </xf>
    <xf numFmtId="168" fontId="19" fillId="2" borderId="3" xfId="0" applyNumberFormat="1" applyFont="1" applyFill="1" applyBorder="1" applyAlignment="1">
      <alignment horizontal="right"/>
    </xf>
    <xf numFmtId="168" fontId="21" fillId="2" borderId="0" xfId="0" applyNumberFormat="1" applyFont="1" applyFill="1" applyBorder="1" applyAlignment="1">
      <alignment horizontal="right"/>
    </xf>
    <xf numFmtId="168" fontId="21" fillId="2" borderId="2" xfId="0" applyNumberFormat="1" applyFont="1" applyFill="1" applyBorder="1" applyAlignment="1">
      <alignment horizontal="right"/>
    </xf>
    <xf numFmtId="168" fontId="23" fillId="6" borderId="0" xfId="5" applyNumberFormat="1" applyFont="1" applyFill="1" applyBorder="1" applyAlignment="1"/>
    <xf numFmtId="168" fontId="23" fillId="6" borderId="2" xfId="5" applyNumberFormat="1" applyFont="1" applyFill="1" applyBorder="1" applyAlignment="1"/>
    <xf numFmtId="168" fontId="18" fillId="6" borderId="0" xfId="0" applyNumberFormat="1" applyFont="1" applyFill="1" applyBorder="1" applyAlignment="1">
      <alignment horizontal="right"/>
    </xf>
    <xf numFmtId="168" fontId="17" fillId="2" borderId="0" xfId="0" applyNumberFormat="1" applyFont="1" applyFill="1" applyBorder="1" applyAlignment="1">
      <alignment horizontal="right"/>
    </xf>
    <xf numFmtId="168" fontId="17" fillId="6" borderId="0" xfId="0" applyNumberFormat="1" applyFont="1" applyFill="1" applyBorder="1" applyAlignment="1">
      <alignment horizontal="right"/>
    </xf>
    <xf numFmtId="169" fontId="18" fillId="2" borderId="0" xfId="4" applyNumberFormat="1" applyFont="1" applyFill="1" applyBorder="1" applyAlignment="1">
      <alignment horizontal="right"/>
    </xf>
    <xf numFmtId="169" fontId="18" fillId="6" borderId="0" xfId="4" applyNumberFormat="1" applyFont="1" applyFill="1" applyBorder="1" applyAlignment="1">
      <alignment horizontal="right"/>
    </xf>
    <xf numFmtId="169" fontId="17" fillId="2" borderId="0" xfId="4" applyNumberFormat="1" applyFont="1" applyFill="1" applyBorder="1" applyAlignment="1">
      <alignment horizontal="right"/>
    </xf>
    <xf numFmtId="169" fontId="17" fillId="6" borderId="0" xfId="4" applyNumberFormat="1" applyFont="1" applyFill="1" applyBorder="1" applyAlignment="1">
      <alignment horizontal="right"/>
    </xf>
    <xf numFmtId="169" fontId="18" fillId="2" borderId="2" xfId="4" applyNumberFormat="1" applyFont="1" applyFill="1" applyBorder="1" applyAlignment="1">
      <alignment horizontal="right"/>
    </xf>
    <xf numFmtId="169" fontId="18" fillId="6" borderId="2" xfId="4" applyNumberFormat="1" applyFont="1" applyFill="1" applyBorder="1" applyAlignment="1">
      <alignment horizontal="right"/>
    </xf>
    <xf numFmtId="169" fontId="18" fillId="6" borderId="3" xfId="74" applyNumberFormat="1" applyFont="1" applyFill="1" applyBorder="1" applyAlignment="1"/>
    <xf numFmtId="169" fontId="18" fillId="6" borderId="0" xfId="74" applyNumberFormat="1" applyFont="1" applyFill="1" applyBorder="1" applyAlignment="1"/>
    <xf numFmtId="169" fontId="17" fillId="6" borderId="0" xfId="74" applyNumberFormat="1" applyFont="1" applyFill="1" applyBorder="1" applyAlignment="1"/>
    <xf numFmtId="169" fontId="17" fillId="6" borderId="2" xfId="74" applyNumberFormat="1" applyFont="1" applyFill="1" applyBorder="1" applyAlignment="1"/>
    <xf numFmtId="169" fontId="18" fillId="6" borderId="3" xfId="4" applyNumberFormat="1" applyFont="1" applyFill="1" applyBorder="1" applyAlignment="1"/>
    <xf numFmtId="169" fontId="17" fillId="2" borderId="0" xfId="4" applyNumberFormat="1" applyFont="1" applyFill="1" applyBorder="1" applyAlignment="1"/>
    <xf numFmtId="169" fontId="17" fillId="6" borderId="0" xfId="4" applyNumberFormat="1" applyFont="1" applyFill="1" applyBorder="1" applyAlignment="1"/>
    <xf numFmtId="169" fontId="17" fillId="2" borderId="2" xfId="4" applyNumberFormat="1" applyFont="1" applyFill="1" applyBorder="1" applyAlignment="1"/>
    <xf numFmtId="169" fontId="17" fillId="6" borderId="2" xfId="4" applyNumberFormat="1" applyFont="1" applyFill="1" applyBorder="1" applyAlignment="1"/>
    <xf numFmtId="169" fontId="19" fillId="2" borderId="0" xfId="0" applyNumberFormat="1" applyFont="1" applyFill="1" applyBorder="1" applyAlignment="1">
      <alignment horizontal="right"/>
    </xf>
    <xf numFmtId="169" fontId="19" fillId="6" borderId="0" xfId="0" applyNumberFormat="1" applyFont="1" applyFill="1" applyBorder="1" applyAlignment="1">
      <alignment horizontal="right"/>
    </xf>
    <xf numFmtId="169" fontId="21" fillId="2" borderId="0" xfId="0" applyNumberFormat="1" applyFont="1" applyFill="1" applyBorder="1" applyAlignment="1">
      <alignment horizontal="right"/>
    </xf>
    <xf numFmtId="169" fontId="21" fillId="6" borderId="0" xfId="0" applyNumberFormat="1" applyFont="1" applyFill="1" applyBorder="1" applyAlignment="1">
      <alignment horizontal="right"/>
    </xf>
    <xf numFmtId="169" fontId="19" fillId="6" borderId="3" xfId="74" applyNumberFormat="1" applyFont="1" applyFill="1" applyBorder="1" applyAlignment="1">
      <alignment horizontal="right"/>
    </xf>
    <xf numFmtId="169" fontId="19" fillId="6" borderId="0" xfId="74" applyNumberFormat="1" applyFont="1" applyFill="1" applyBorder="1" applyAlignment="1">
      <alignment horizontal="right"/>
    </xf>
    <xf numFmtId="169" fontId="18" fillId="6" borderId="0" xfId="74" applyNumberFormat="1" applyFont="1" applyFill="1" applyBorder="1" applyAlignment="1">
      <alignment horizontal="right"/>
    </xf>
    <xf numFmtId="169" fontId="17" fillId="6" borderId="0" xfId="74" applyNumberFormat="1" applyFont="1" applyFill="1" applyBorder="1" applyAlignment="1">
      <alignment horizontal="right"/>
    </xf>
    <xf numFmtId="169" fontId="17" fillId="6" borderId="2" xfId="74" applyNumberFormat="1" applyFont="1" applyFill="1" applyBorder="1" applyAlignment="1">
      <alignment horizontal="right"/>
    </xf>
    <xf numFmtId="168" fontId="18" fillId="2" borderId="0" xfId="0" applyNumberFormat="1" applyFont="1" applyFill="1" applyBorder="1" applyAlignment="1">
      <alignment horizontal="right" vertical="center"/>
    </xf>
    <xf numFmtId="168" fontId="18" fillId="6" borderId="0" xfId="0" applyNumberFormat="1" applyFont="1" applyFill="1" applyBorder="1" applyAlignment="1">
      <alignment horizontal="right" vertical="center"/>
    </xf>
    <xf numFmtId="169" fontId="18" fillId="2" borderId="3" xfId="4" applyNumberFormat="1" applyFont="1" applyFill="1" applyBorder="1" applyAlignment="1">
      <alignment horizontal="right"/>
    </xf>
    <xf numFmtId="169" fontId="18" fillId="2" borderId="0" xfId="5" applyNumberFormat="1" applyFont="1" applyFill="1" applyBorder="1" applyAlignment="1"/>
    <xf numFmtId="169" fontId="18" fillId="2" borderId="3" xfId="5" applyNumberFormat="1" applyFont="1" applyFill="1" applyBorder="1" applyAlignment="1"/>
    <xf numFmtId="169" fontId="17" fillId="2" borderId="0" xfId="5" applyNumberFormat="1" applyFont="1" applyFill="1" applyBorder="1" applyAlignment="1"/>
    <xf numFmtId="169" fontId="17" fillId="2" borderId="2" xfId="5" applyNumberFormat="1" applyFont="1" applyFill="1" applyBorder="1" applyAlignment="1"/>
    <xf numFmtId="169" fontId="18" fillId="2" borderId="3" xfId="4" applyNumberFormat="1" applyFont="1" applyFill="1" applyBorder="1" applyAlignment="1"/>
    <xf numFmtId="169" fontId="21" fillId="2" borderId="2" xfId="0" applyNumberFormat="1" applyFont="1" applyFill="1" applyBorder="1" applyAlignment="1">
      <alignment horizontal="right"/>
    </xf>
    <xf numFmtId="169" fontId="19" fillId="2" borderId="0" xfId="5" applyNumberFormat="1" applyFont="1" applyFill="1" applyBorder="1" applyAlignment="1">
      <alignment horizontal="right"/>
    </xf>
    <xf numFmtId="169" fontId="18" fillId="2" borderId="0" xfId="5" applyNumberFormat="1" applyFont="1" applyFill="1" applyBorder="1" applyAlignment="1">
      <alignment horizontal="right"/>
    </xf>
    <xf numFmtId="169" fontId="17" fillId="2" borderId="0" xfId="5" applyNumberFormat="1" applyFont="1" applyFill="1" applyBorder="1" applyAlignment="1">
      <alignment horizontal="right"/>
    </xf>
    <xf numFmtId="169" fontId="17" fillId="2" borderId="2" xfId="5" applyNumberFormat="1" applyFont="1" applyFill="1" applyBorder="1" applyAlignment="1">
      <alignment horizontal="right"/>
    </xf>
    <xf numFmtId="169" fontId="21" fillId="6" borderId="5" xfId="75" applyNumberFormat="1" applyFont="1" applyFill="1" applyBorder="1" applyAlignment="1">
      <alignment horizontal="right" vertical="center" wrapText="1"/>
    </xf>
    <xf numFmtId="169" fontId="21" fillId="6" borderId="5" xfId="75" applyNumberFormat="1" applyFont="1" applyFill="1" applyBorder="1" applyAlignment="1">
      <alignment horizontal="right" vertical="center"/>
    </xf>
    <xf numFmtId="169" fontId="17" fillId="6" borderId="5" xfId="75" applyNumberFormat="1" applyFont="1" applyFill="1" applyBorder="1" applyAlignment="1">
      <alignment horizontal="right" vertical="center"/>
    </xf>
    <xf numFmtId="169" fontId="21" fillId="6" borderId="6" xfId="75" applyNumberFormat="1" applyFont="1" applyFill="1" applyBorder="1" applyAlignment="1">
      <alignment horizontal="right" vertical="center" wrapText="1"/>
    </xf>
    <xf numFmtId="169" fontId="21" fillId="6" borderId="6" xfId="75" applyNumberFormat="1" applyFont="1" applyFill="1" applyBorder="1" applyAlignment="1">
      <alignment horizontal="right" vertical="center"/>
    </xf>
    <xf numFmtId="169" fontId="17" fillId="6" borderId="6" xfId="75" applyNumberFormat="1" applyFont="1" applyFill="1" applyBorder="1" applyAlignment="1">
      <alignment horizontal="right" vertical="center"/>
    </xf>
    <xf numFmtId="169" fontId="21" fillId="6" borderId="8" xfId="75" applyNumberFormat="1" applyFont="1" applyFill="1" applyBorder="1" applyAlignment="1">
      <alignment horizontal="right" vertical="center" wrapText="1"/>
    </xf>
    <xf numFmtId="169" fontId="21" fillId="6" borderId="8" xfId="75" applyNumberFormat="1" applyFont="1" applyFill="1" applyBorder="1" applyAlignment="1">
      <alignment horizontal="right" vertical="center"/>
    </xf>
    <xf numFmtId="169" fontId="17" fillId="6" borderId="8" xfId="75" applyNumberFormat="1" applyFont="1" applyFill="1" applyBorder="1" applyAlignment="1">
      <alignment horizontal="right" vertical="center"/>
    </xf>
    <xf numFmtId="168" fontId="42" fillId="6" borderId="9" xfId="75" applyNumberFormat="1" applyFont="1" applyFill="1" applyBorder="1" applyAlignment="1">
      <alignment horizontal="right" vertical="center" wrapText="1"/>
    </xf>
    <xf numFmtId="168" fontId="42" fillId="6" borderId="9" xfId="75" applyNumberFormat="1" applyFont="1" applyFill="1" applyBorder="1" applyAlignment="1">
      <alignment horizontal="right" vertical="center"/>
    </xf>
    <xf numFmtId="168" fontId="23" fillId="6" borderId="9" xfId="75" applyNumberFormat="1" applyFont="1" applyFill="1" applyBorder="1" applyAlignment="1">
      <alignment horizontal="right" vertical="center"/>
    </xf>
    <xf numFmtId="168" fontId="42" fillId="6" borderId="7" xfId="75" applyNumberFormat="1" applyFont="1" applyFill="1" applyBorder="1" applyAlignment="1">
      <alignment horizontal="right" vertical="center" wrapText="1"/>
    </xf>
    <xf numFmtId="168" fontId="42" fillId="6" borderId="7" xfId="75" applyNumberFormat="1" applyFont="1" applyFill="1" applyBorder="1" applyAlignment="1">
      <alignment horizontal="right" vertical="center"/>
    </xf>
    <xf numFmtId="168" fontId="23" fillId="6" borderId="7" xfId="75" applyNumberFormat="1" applyFont="1" applyFill="1" applyBorder="1" applyAlignment="1">
      <alignment horizontal="right" vertical="center"/>
    </xf>
    <xf numFmtId="169" fontId="17" fillId="2" borderId="0" xfId="0" applyNumberFormat="1" applyFont="1" applyFill="1" applyAlignment="1"/>
    <xf numFmtId="169" fontId="17" fillId="2" borderId="2" xfId="0" applyNumberFormat="1" applyFont="1" applyFill="1" applyBorder="1" applyAlignment="1"/>
    <xf numFmtId="0" fontId="18" fillId="2" borderId="2" xfId="0" applyFont="1" applyFill="1" applyBorder="1" applyAlignment="1">
      <alignment horizontal="right" wrapText="1"/>
    </xf>
    <xf numFmtId="0" fontId="18" fillId="2" borderId="2" xfId="4" applyFont="1" applyFill="1" applyBorder="1" applyAlignment="1"/>
    <xf numFmtId="169" fontId="18" fillId="0" borderId="0" xfId="5" applyNumberFormat="1" applyFont="1" applyFill="1" applyAlignment="1">
      <alignment horizontal="right" vertical="center"/>
    </xf>
    <xf numFmtId="168" fontId="14" fillId="0" borderId="0" xfId="2" applyNumberFormat="1" applyFill="1" applyAlignment="1" applyProtection="1"/>
    <xf numFmtId="0" fontId="21" fillId="6" borderId="8" xfId="75" applyFont="1" applyFill="1" applyBorder="1" applyAlignment="1">
      <alignment horizontal="left" vertical="center" wrapText="1"/>
    </xf>
    <xf numFmtId="0" fontId="21" fillId="6" borderId="6" xfId="75" applyFont="1" applyFill="1" applyBorder="1" applyAlignment="1">
      <alignment horizontal="left" vertical="center" wrapText="1"/>
    </xf>
    <xf numFmtId="0" fontId="21" fillId="6" borderId="5" xfId="75" applyFont="1" applyFill="1" applyBorder="1" applyAlignment="1">
      <alignment horizontal="left" vertical="center" wrapText="1"/>
    </xf>
    <xf numFmtId="0" fontId="18" fillId="2" borderId="0" xfId="0" applyFont="1" applyFill="1" applyBorder="1" applyAlignment="1"/>
    <xf numFmtId="0" fontId="18" fillId="2" borderId="0" xfId="5" applyFont="1" applyFill="1" applyBorder="1" applyAlignment="1">
      <alignment horizontal="right"/>
    </xf>
    <xf numFmtId="168" fontId="18" fillId="0" borderId="0" xfId="5" applyNumberFormat="1" applyFont="1" applyFill="1" applyAlignment="1">
      <alignment horizontal="right" vertical="center"/>
    </xf>
    <xf numFmtId="0" fontId="18" fillId="2" borderId="0" xfId="5" applyFont="1" applyFill="1" applyBorder="1" applyAlignment="1">
      <alignment horizontal="center"/>
    </xf>
    <xf numFmtId="0" fontId="17" fillId="2" borderId="0" xfId="5" applyFont="1" applyFill="1" applyBorder="1" applyAlignment="1">
      <alignment horizontal="center"/>
    </xf>
    <xf numFmtId="168" fontId="18" fillId="6" borderId="0" xfId="5" applyNumberFormat="1" applyFont="1" applyFill="1" applyBorder="1" applyAlignment="1"/>
    <xf numFmtId="0" fontId="18" fillId="2" borderId="0" xfId="74" applyFont="1" applyFill="1" applyBorder="1" applyAlignment="1">
      <alignment horizontal="right"/>
    </xf>
    <xf numFmtId="0" fontId="18" fillId="2" borderId="0" xfId="74" applyFont="1" applyFill="1" applyBorder="1" applyAlignment="1">
      <alignment horizontal="center"/>
    </xf>
    <xf numFmtId="0" fontId="17" fillId="2" borderId="0" xfId="74" applyFont="1" applyFill="1" applyBorder="1" applyAlignment="1">
      <alignment horizontal="center"/>
    </xf>
    <xf numFmtId="0" fontId="18" fillId="2" borderId="0" xfId="3" applyFont="1" applyFill="1" applyBorder="1" applyAlignment="1">
      <alignment horizontal="left"/>
    </xf>
    <xf numFmtId="167" fontId="18" fillId="2" borderId="3" xfId="74" applyNumberFormat="1" applyFont="1" applyFill="1" applyBorder="1" applyAlignment="1">
      <alignment vertical="center"/>
    </xf>
    <xf numFmtId="169" fontId="17" fillId="2" borderId="0" xfId="0" applyNumberFormat="1" applyFont="1" applyFill="1" applyBorder="1" applyAlignment="1"/>
    <xf numFmtId="169" fontId="18" fillId="2" borderId="0" xfId="0" applyNumberFormat="1" applyFont="1" applyFill="1" applyAlignment="1"/>
    <xf numFmtId="0" fontId="10" fillId="0" borderId="0" xfId="77"/>
    <xf numFmtId="0" fontId="43" fillId="0" borderId="0" xfId="0" applyFont="1" applyFill="1" applyAlignment="1">
      <alignment vertical="center"/>
    </xf>
    <xf numFmtId="0" fontId="9" fillId="10" borderId="0" xfId="78" applyFill="1"/>
    <xf numFmtId="0" fontId="9" fillId="0" borderId="0" xfId="78"/>
    <xf numFmtId="0" fontId="18" fillId="6" borderId="2" xfId="0" applyFont="1" applyFill="1" applyBorder="1" applyAlignment="1">
      <alignment horizontal="right" wrapText="1"/>
    </xf>
    <xf numFmtId="0" fontId="18" fillId="0" borderId="0" xfId="4" applyFont="1" applyFill="1" applyAlignment="1">
      <alignment horizontal="left" wrapText="1"/>
    </xf>
    <xf numFmtId="168" fontId="15" fillId="0" borderId="0" xfId="5" applyNumberFormat="1" applyFont="1" applyBorder="1" applyAlignment="1"/>
    <xf numFmtId="0" fontId="0" fillId="0" borderId="0" xfId="0" applyAlignment="1"/>
    <xf numFmtId="0" fontId="11" fillId="0" borderId="0" xfId="0" applyFont="1" applyAlignment="1">
      <alignment vertical="center"/>
    </xf>
    <xf numFmtId="0" fontId="11" fillId="0" borderId="0" xfId="0" applyFont="1"/>
    <xf numFmtId="0" fontId="45" fillId="0" borderId="0" xfId="0" applyFont="1"/>
    <xf numFmtId="0" fontId="46" fillId="0" borderId="10" xfId="0" applyFont="1" applyBorder="1" applyAlignment="1">
      <alignment horizontal="center" vertical="center" wrapText="1"/>
    </xf>
    <xf numFmtId="0" fontId="11" fillId="0" borderId="0" xfId="81"/>
    <xf numFmtId="0" fontId="45" fillId="0" borderId="0" xfId="0" applyFont="1" applyAlignment="1"/>
    <xf numFmtId="0" fontId="0" fillId="0" borderId="10" xfId="0" applyBorder="1" applyAlignment="1">
      <alignment vertical="center"/>
    </xf>
    <xf numFmtId="0" fontId="0" fillId="0" borderId="10" xfId="0" applyBorder="1" applyAlignment="1">
      <alignment horizontal="center" vertical="center"/>
    </xf>
    <xf numFmtId="0" fontId="0" fillId="0" borderId="10" xfId="0" applyBorder="1" applyAlignment="1">
      <alignment horizontal="left" vertical="center" indent="1"/>
    </xf>
    <xf numFmtId="0" fontId="45" fillId="0" borderId="0" xfId="81" applyFont="1"/>
    <xf numFmtId="0" fontId="11" fillId="7" borderId="10" xfId="81" applyFill="1" applyBorder="1" applyAlignment="1">
      <alignment horizontal="right"/>
    </xf>
    <xf numFmtId="3" fontId="11" fillId="0" borderId="0" xfId="81" applyNumberFormat="1"/>
    <xf numFmtId="168" fontId="17" fillId="0" borderId="0" xfId="4" applyNumberFormat="1" applyFont="1" applyFill="1"/>
    <xf numFmtId="0" fontId="18" fillId="0" borderId="0" xfId="4" applyFont="1" applyFill="1"/>
    <xf numFmtId="168" fontId="17" fillId="2" borderId="3" xfId="3" applyNumberFormat="1" applyFont="1" applyFill="1" applyBorder="1" applyAlignment="1">
      <alignment horizontal="right"/>
    </xf>
    <xf numFmtId="170" fontId="0" fillId="0" borderId="0" xfId="80" applyNumberFormat="1" applyFont="1"/>
    <xf numFmtId="0" fontId="53" fillId="0" borderId="0" xfId="0" applyFont="1" applyAlignment="1">
      <alignment vertical="center"/>
    </xf>
    <xf numFmtId="0" fontId="54" fillId="0" borderId="0" xfId="4" applyFont="1" applyFill="1" applyAlignment="1">
      <alignment vertical="center" wrapText="1"/>
    </xf>
    <xf numFmtId="0" fontId="54" fillId="0" borderId="0" xfId="4" applyFont="1" applyFill="1" applyAlignment="1">
      <alignment vertical="center"/>
    </xf>
    <xf numFmtId="0" fontId="14" fillId="0" borderId="0" xfId="2" applyAlignment="1" applyProtection="1"/>
    <xf numFmtId="0" fontId="55" fillId="0" borderId="0" xfId="0" applyFont="1" applyAlignment="1">
      <alignment vertical="center"/>
    </xf>
    <xf numFmtId="0" fontId="14" fillId="0" borderId="0" xfId="2" applyAlignment="1" applyProtection="1">
      <alignment vertical="center"/>
    </xf>
    <xf numFmtId="0" fontId="0" fillId="0" borderId="0" xfId="0" applyAlignment="1">
      <alignment vertical="center"/>
    </xf>
    <xf numFmtId="0" fontId="57" fillId="0" borderId="0" xfId="0" applyFont="1" applyAlignment="1">
      <alignment vertical="center"/>
    </xf>
    <xf numFmtId="0" fontId="18" fillId="2" borderId="0" xfId="3" applyNumberFormat="1" applyFont="1" applyFill="1" applyBorder="1" applyAlignment="1">
      <alignment horizontal="right" vertical="center"/>
    </xf>
    <xf numFmtId="0" fontId="0" fillId="0" borderId="0" xfId="0" pivotButton="1"/>
    <xf numFmtId="0" fontId="0" fillId="0" borderId="0" xfId="0" applyAlignment="1">
      <alignment horizontal="left"/>
    </xf>
    <xf numFmtId="0" fontId="0" fillId="0" borderId="0" xfId="0" applyNumberFormat="1"/>
    <xf numFmtId="2" fontId="0" fillId="0" borderId="0" xfId="0" applyNumberFormat="1"/>
    <xf numFmtId="0" fontId="18" fillId="0" borderId="0" xfId="0" applyFont="1" applyFill="1" applyAlignment="1">
      <alignment vertical="center"/>
    </xf>
    <xf numFmtId="2" fontId="17" fillId="0" borderId="0" xfId="74" applyNumberFormat="1" applyFont="1" applyFill="1" applyBorder="1" applyAlignment="1"/>
    <xf numFmtId="0" fontId="11" fillId="0" borderId="0" xfId="0" applyFont="1" applyFill="1"/>
    <xf numFmtId="171" fontId="17" fillId="2" borderId="3" xfId="3" applyNumberFormat="1" applyFont="1" applyFill="1" applyBorder="1" applyAlignment="1">
      <alignment horizontal="right"/>
    </xf>
    <xf numFmtId="172" fontId="17" fillId="0" borderId="0" xfId="4" applyNumberFormat="1" applyFont="1" applyFill="1"/>
    <xf numFmtId="0" fontId="58" fillId="0" borderId="0" xfId="0" applyFont="1"/>
    <xf numFmtId="9" fontId="0" fillId="0" borderId="0" xfId="80" applyNumberFormat="1" applyFont="1"/>
    <xf numFmtId="2" fontId="0" fillId="0" borderId="0" xfId="80" applyNumberFormat="1" applyFont="1"/>
    <xf numFmtId="0" fontId="59" fillId="0" borderId="0" xfId="0" applyFont="1" applyAlignment="1">
      <alignment horizontal="left" vertical="center"/>
    </xf>
    <xf numFmtId="167" fontId="0" fillId="0" borderId="0" xfId="0" applyNumberFormat="1"/>
    <xf numFmtId="170" fontId="0" fillId="0" borderId="0" xfId="0" applyNumberFormat="1"/>
    <xf numFmtId="167" fontId="0" fillId="0" borderId="0" xfId="80" applyNumberFormat="1" applyFont="1"/>
    <xf numFmtId="0" fontId="60" fillId="0" borderId="0" xfId="0" applyFont="1" applyAlignment="1">
      <alignment horizontal="left" vertical="center"/>
    </xf>
    <xf numFmtId="168" fontId="17" fillId="0" borderId="0" xfId="4" applyNumberFormat="1" applyFont="1"/>
    <xf numFmtId="0" fontId="11" fillId="11" borderId="0" xfId="0" applyFont="1" applyFill="1"/>
    <xf numFmtId="0" fontId="62" fillId="0" borderId="0" xfId="0" applyFont="1"/>
    <xf numFmtId="0" fontId="63" fillId="0" borderId="0" xfId="0" applyFont="1"/>
    <xf numFmtId="0" fontId="54" fillId="0" borderId="0" xfId="0" applyFont="1"/>
    <xf numFmtId="0" fontId="54" fillId="12" borderId="0" xfId="0" applyFont="1" applyFill="1"/>
    <xf numFmtId="1" fontId="54" fillId="0" borderId="0" xfId="0" applyNumberFormat="1" applyFont="1"/>
    <xf numFmtId="2" fontId="62" fillId="0" borderId="0" xfId="0" applyNumberFormat="1" applyFont="1"/>
    <xf numFmtId="4" fontId="17" fillId="2" borderId="3" xfId="3" applyNumberFormat="1" applyFont="1" applyFill="1" applyBorder="1" applyAlignment="1">
      <alignment horizontal="right"/>
    </xf>
    <xf numFmtId="4" fontId="17" fillId="0" borderId="0" xfId="4" applyNumberFormat="1" applyFont="1" applyFill="1"/>
    <xf numFmtId="0" fontId="64" fillId="0" borderId="0" xfId="0" applyFont="1"/>
    <xf numFmtId="0" fontId="63" fillId="12" borderId="0" xfId="0" applyFont="1" applyFill="1"/>
    <xf numFmtId="0" fontId="54" fillId="0" borderId="0" xfId="0" applyFont="1" applyAlignment="1">
      <alignment horizontal="left"/>
    </xf>
    <xf numFmtId="0" fontId="62" fillId="0" borderId="0" xfId="0" applyFont="1" applyAlignment="1">
      <alignment horizontal="left"/>
    </xf>
    <xf numFmtId="3" fontId="62" fillId="0" borderId="0" xfId="0" applyNumberFormat="1" applyFont="1"/>
    <xf numFmtId="173" fontId="62" fillId="0" borderId="0" xfId="0" applyNumberFormat="1" applyFont="1"/>
    <xf numFmtId="0" fontId="62" fillId="0" borderId="0" xfId="0" applyFont="1" applyFill="1"/>
    <xf numFmtId="1" fontId="62" fillId="0" borderId="0" xfId="0" applyNumberFormat="1" applyFont="1"/>
    <xf numFmtId="0" fontId="54" fillId="0" borderId="0" xfId="0" applyFont="1" applyAlignment="1">
      <alignment wrapText="1"/>
    </xf>
    <xf numFmtId="0" fontId="65" fillId="0" borderId="0" xfId="0" applyFont="1"/>
    <xf numFmtId="174" fontId="0" fillId="0" borderId="0" xfId="0" applyNumberFormat="1"/>
    <xf numFmtId="167" fontId="18" fillId="6" borderId="0" xfId="4" applyNumberFormat="1" applyFont="1" applyFill="1" applyBorder="1" applyAlignment="1">
      <alignment horizontal="right"/>
    </xf>
    <xf numFmtId="167" fontId="0" fillId="0" borderId="0" xfId="0" applyNumberFormat="1" applyFill="1"/>
    <xf numFmtId="0" fontId="0" fillId="11" borderId="0" xfId="0" applyFill="1"/>
    <xf numFmtId="0" fontId="62" fillId="11" borderId="0" xfId="0" applyFont="1" applyFill="1"/>
    <xf numFmtId="168" fontId="62" fillId="0" borderId="0" xfId="0" applyNumberFormat="1" applyFont="1"/>
    <xf numFmtId="49" fontId="62" fillId="0" borderId="0" xfId="0" applyNumberFormat="1" applyFont="1"/>
    <xf numFmtId="3" fontId="17" fillId="2" borderId="3" xfId="3" applyNumberFormat="1" applyFont="1" applyFill="1" applyBorder="1" applyAlignment="1">
      <alignment horizontal="right"/>
    </xf>
    <xf numFmtId="167" fontId="62" fillId="0" borderId="0" xfId="0" applyNumberFormat="1" applyFont="1"/>
    <xf numFmtId="0" fontId="62" fillId="0" borderId="0" xfId="0" applyFont="1" applyAlignment="1">
      <alignment vertical="center" wrapText="1"/>
    </xf>
    <xf numFmtId="165" fontId="62" fillId="0" borderId="0" xfId="0" applyNumberFormat="1" applyFont="1"/>
    <xf numFmtId="0" fontId="53" fillId="0" borderId="0" xfId="0" applyFont="1" applyAlignment="1">
      <alignment vertical="center" wrapText="1"/>
    </xf>
    <xf numFmtId="0" fontId="53" fillId="11" borderId="0" xfId="0" applyFont="1" applyFill="1" applyAlignment="1">
      <alignment vertical="center" wrapText="1"/>
    </xf>
    <xf numFmtId="0" fontId="66" fillId="0" borderId="0" xfId="0" applyFont="1"/>
    <xf numFmtId="49" fontId="62" fillId="0" borderId="0" xfId="0" applyNumberFormat="1" applyFont="1" applyAlignment="1">
      <alignment vertical="center" wrapText="1"/>
    </xf>
    <xf numFmtId="0" fontId="67" fillId="0" borderId="0" xfId="0" applyFont="1"/>
    <xf numFmtId="0" fontId="67" fillId="11" borderId="0" xfId="0" applyFont="1" applyFill="1"/>
    <xf numFmtId="0" fontId="54" fillId="11" borderId="0" xfId="0" applyFont="1" applyFill="1"/>
    <xf numFmtId="168" fontId="17" fillId="0" borderId="0" xfId="0" applyNumberFormat="1" applyFont="1" applyFill="1" applyAlignment="1"/>
    <xf numFmtId="169" fontId="17" fillId="0" borderId="0" xfId="0" applyNumberFormat="1" applyFont="1" applyFill="1" applyAlignment="1"/>
    <xf numFmtId="2" fontId="67" fillId="0" borderId="0" xfId="0" applyNumberFormat="1" applyFont="1"/>
    <xf numFmtId="10" fontId="67" fillId="0" borderId="0" xfId="0" applyNumberFormat="1" applyFont="1"/>
    <xf numFmtId="0" fontId="67" fillId="13" borderId="0" xfId="0" applyFont="1" applyFill="1"/>
    <xf numFmtId="0" fontId="67" fillId="14" borderId="0" xfId="0" applyFont="1" applyFill="1"/>
    <xf numFmtId="3" fontId="67" fillId="0" borderId="0" xfId="0" applyNumberFormat="1" applyFont="1"/>
    <xf numFmtId="175" fontId="67" fillId="0" borderId="0" xfId="0" applyNumberFormat="1" applyFont="1"/>
    <xf numFmtId="0" fontId="67" fillId="0" borderId="0" xfId="0" applyFont="1" applyAlignment="1">
      <alignment horizontal="center"/>
    </xf>
    <xf numFmtId="0" fontId="67" fillId="0" borderId="0" xfId="0" applyFont="1" applyAlignment="1">
      <alignment horizontal="center" vertical="center"/>
    </xf>
    <xf numFmtId="0" fontId="53" fillId="0" borderId="0" xfId="0" applyFont="1"/>
    <xf numFmtId="0" fontId="54" fillId="13" borderId="0" xfId="0" applyFont="1" applyFill="1"/>
    <xf numFmtId="0" fontId="54" fillId="14" borderId="0" xfId="0" applyFont="1" applyFill="1"/>
    <xf numFmtId="168" fontId="33" fillId="0" borderId="0" xfId="0" applyNumberFormat="1" applyFont="1" applyBorder="1" applyAlignment="1">
      <alignment horizontal="right" vertical="center" wrapText="1"/>
    </xf>
    <xf numFmtId="4" fontId="67" fillId="0" borderId="0" xfId="0" applyNumberFormat="1" applyFont="1"/>
    <xf numFmtId="0" fontId="67" fillId="0" borderId="0" xfId="0" applyFont="1" applyAlignment="1">
      <alignment vertical="center"/>
    </xf>
    <xf numFmtId="4" fontId="0" fillId="0" borderId="0" xfId="0" applyNumberFormat="1"/>
    <xf numFmtId="167" fontId="67" fillId="0" borderId="0" xfId="0" applyNumberFormat="1" applyFont="1"/>
    <xf numFmtId="3" fontId="54" fillId="0" borderId="0" xfId="0" applyNumberFormat="1" applyFont="1"/>
    <xf numFmtId="170" fontId="67" fillId="0" borderId="0" xfId="80" applyNumberFormat="1" applyFont="1"/>
    <xf numFmtId="0" fontId="18" fillId="6" borderId="0" xfId="5" applyFont="1" applyFill="1" applyBorder="1" applyAlignment="1">
      <alignment vertical="center"/>
    </xf>
    <xf numFmtId="170" fontId="17" fillId="0" borderId="0" xfId="80" applyNumberFormat="1" applyFont="1" applyBorder="1" applyAlignment="1"/>
    <xf numFmtId="165" fontId="68" fillId="15" borderId="0" xfId="82" applyNumberFormat="1" applyFont="1" applyFill="1" applyBorder="1" applyAlignment="1">
      <alignment horizontal="left" vertical="center" indent="2"/>
    </xf>
    <xf numFmtId="0" fontId="62" fillId="0" borderId="0" xfId="0" applyFont="1" applyAlignment="1">
      <alignment horizontal="center"/>
    </xf>
    <xf numFmtId="0" fontId="63" fillId="0" borderId="0" xfId="0" applyFont="1" applyAlignment="1">
      <alignment horizontal="center"/>
    </xf>
    <xf numFmtId="0" fontId="62" fillId="0" borderId="0" xfId="0" applyFont="1" applyBorder="1"/>
    <xf numFmtId="0" fontId="18" fillId="6" borderId="0" xfId="5" applyFont="1" applyFill="1" applyBorder="1" applyAlignment="1">
      <alignment horizontal="right" vertical="center"/>
    </xf>
    <xf numFmtId="9" fontId="67" fillId="0" borderId="0" xfId="80" applyFont="1"/>
    <xf numFmtId="167" fontId="67" fillId="0" borderId="0" xfId="80" applyNumberFormat="1" applyFont="1"/>
    <xf numFmtId="165" fontId="67" fillId="0" borderId="0" xfId="0" applyNumberFormat="1" applyFont="1"/>
    <xf numFmtId="170" fontId="67" fillId="0" borderId="0" xfId="0" applyNumberFormat="1" applyFont="1"/>
    <xf numFmtId="9" fontId="67" fillId="0" borderId="0" xfId="0" applyNumberFormat="1" applyFont="1"/>
    <xf numFmtId="0" fontId="67" fillId="0" borderId="0" xfId="0" applyNumberFormat="1" applyFont="1"/>
    <xf numFmtId="165" fontId="0" fillId="0" borderId="0" xfId="0" applyNumberFormat="1"/>
    <xf numFmtId="174" fontId="0" fillId="11" borderId="0" xfId="0" applyNumberFormat="1" applyFill="1"/>
    <xf numFmtId="176" fontId="17" fillId="2" borderId="3" xfId="3" applyNumberFormat="1" applyFont="1" applyFill="1" applyBorder="1" applyAlignment="1">
      <alignment horizontal="right"/>
    </xf>
    <xf numFmtId="177" fontId="17" fillId="0" borderId="0" xfId="4" applyNumberFormat="1" applyFont="1" applyFill="1"/>
    <xf numFmtId="1" fontId="0" fillId="0" borderId="0" xfId="0" applyNumberFormat="1"/>
    <xf numFmtId="0" fontId="11" fillId="0" borderId="0" xfId="0" applyFont="1" applyAlignment="1"/>
    <xf numFmtId="0" fontId="11" fillId="17" borderId="0" xfId="0" applyFont="1" applyFill="1"/>
    <xf numFmtId="0" fontId="11" fillId="16" borderId="0" xfId="0" applyFont="1" applyFill="1"/>
    <xf numFmtId="0" fontId="67" fillId="0" borderId="0" xfId="0" applyFont="1" applyAlignment="1">
      <alignment horizontal="left" vertical="center" wrapText="1"/>
    </xf>
    <xf numFmtId="0" fontId="69" fillId="0" borderId="0" xfId="0" applyFont="1"/>
    <xf numFmtId="0" fontId="59" fillId="0" borderId="0" xfId="0" applyFont="1"/>
    <xf numFmtId="0" fontId="70" fillId="0" borderId="0" xfId="0" applyFont="1"/>
    <xf numFmtId="0" fontId="69" fillId="0" borderId="0" xfId="0" quotePrefix="1" applyFont="1"/>
    <xf numFmtId="167" fontId="11" fillId="0" borderId="0" xfId="0" applyNumberFormat="1" applyFont="1"/>
    <xf numFmtId="0" fontId="62" fillId="0" borderId="0" xfId="0" applyNumberFormat="1" applyFont="1"/>
    <xf numFmtId="0" fontId="54" fillId="0" borderId="0" xfId="0" applyFont="1" applyAlignment="1">
      <alignment vertical="center"/>
    </xf>
    <xf numFmtId="0" fontId="67" fillId="0" borderId="0" xfId="0" applyFont="1" applyAlignment="1">
      <alignment vertical="center" wrapText="1"/>
    </xf>
    <xf numFmtId="0" fontId="67" fillId="0" borderId="0" xfId="0" applyFont="1" applyAlignment="1">
      <alignment wrapText="1"/>
    </xf>
    <xf numFmtId="170" fontId="0" fillId="11" borderId="0" xfId="80" applyNumberFormat="1" applyFont="1" applyFill="1"/>
    <xf numFmtId="0" fontId="18" fillId="0" borderId="1" xfId="3" applyNumberFormat="1" applyFont="1" applyFill="1" applyBorder="1" applyAlignment="1">
      <alignment horizontal="right" vertical="center"/>
    </xf>
    <xf numFmtId="0" fontId="59" fillId="0" borderId="0" xfId="0" applyFont="1" applyAlignment="1">
      <alignment vertical="center"/>
    </xf>
    <xf numFmtId="0" fontId="0" fillId="0" borderId="0" xfId="0" applyFill="1"/>
    <xf numFmtId="0" fontId="54" fillId="0" borderId="0" xfId="0" applyFont="1" applyFill="1"/>
    <xf numFmtId="0" fontId="17" fillId="2" borderId="0" xfId="0" applyFont="1" applyFill="1" applyBorder="1" applyAlignment="1">
      <alignment horizontal="left" vertical="top"/>
    </xf>
    <xf numFmtId="0" fontId="11" fillId="11" borderId="10" xfId="81" applyFill="1" applyBorder="1" applyAlignment="1">
      <alignment horizontal="right"/>
    </xf>
    <xf numFmtId="3" fontId="11" fillId="0" borderId="0" xfId="81" applyNumberFormat="1" applyFill="1"/>
    <xf numFmtId="0" fontId="79" fillId="0" borderId="0" xfId="0" applyFont="1" applyAlignment="1">
      <alignment horizontal="left"/>
    </xf>
    <xf numFmtId="0" fontId="11" fillId="0" borderId="0" xfId="0" applyFont="1" applyAlignment="1">
      <alignment horizontal="center" vertical="center"/>
    </xf>
    <xf numFmtId="170" fontId="0" fillId="11" borderId="13" xfId="80" applyNumberFormat="1" applyFont="1" applyFill="1" applyBorder="1"/>
    <xf numFmtId="9" fontId="0" fillId="11" borderId="14" xfId="80" applyNumberFormat="1" applyFont="1" applyFill="1" applyBorder="1"/>
    <xf numFmtId="170" fontId="0" fillId="0" borderId="13" xfId="80" applyNumberFormat="1" applyFont="1" applyBorder="1"/>
    <xf numFmtId="9" fontId="0" fillId="0" borderId="14" xfId="80" applyNumberFormat="1" applyFont="1" applyFill="1" applyBorder="1"/>
    <xf numFmtId="170" fontId="0" fillId="0" borderId="15" xfId="80" applyNumberFormat="1" applyFont="1" applyBorder="1"/>
    <xf numFmtId="9" fontId="0" fillId="0" borderId="16" xfId="80" applyNumberFormat="1" applyFont="1" applyBorder="1"/>
    <xf numFmtId="9" fontId="0" fillId="0" borderId="14" xfId="80" applyNumberFormat="1" applyFont="1" applyBorder="1"/>
    <xf numFmtId="0" fontId="61" fillId="0" borderId="0" xfId="0" applyFont="1"/>
    <xf numFmtId="9" fontId="0" fillId="11" borderId="0" xfId="0" applyNumberFormat="1" applyFill="1"/>
    <xf numFmtId="0" fontId="0" fillId="0" borderId="0" xfId="0" applyAlignment="1">
      <alignment wrapText="1"/>
    </xf>
    <xf numFmtId="168" fontId="17" fillId="11" borderId="3" xfId="3" applyNumberFormat="1" applyFont="1" applyFill="1" applyBorder="1" applyAlignment="1">
      <alignment horizontal="right"/>
    </xf>
    <xf numFmtId="168" fontId="17" fillId="11" borderId="0" xfId="4" applyNumberFormat="1" applyFont="1" applyFill="1"/>
    <xf numFmtId="168" fontId="0" fillId="11" borderId="0" xfId="0" applyNumberFormat="1" applyFill="1"/>
    <xf numFmtId="171" fontId="17" fillId="11" borderId="3" xfId="3" applyNumberFormat="1" applyFont="1" applyFill="1" applyBorder="1" applyAlignment="1">
      <alignment horizontal="right"/>
    </xf>
    <xf numFmtId="172" fontId="17" fillId="11" borderId="0" xfId="4" applyNumberFormat="1" applyFont="1" applyFill="1"/>
    <xf numFmtId="1" fontId="0" fillId="11" borderId="0" xfId="0" applyNumberFormat="1" applyFill="1" applyAlignment="1">
      <alignment horizontal="left" indent="2"/>
    </xf>
    <xf numFmtId="0" fontId="61" fillId="11" borderId="0" xfId="0" applyFont="1" applyFill="1"/>
    <xf numFmtId="173" fontId="0" fillId="0" borderId="0" xfId="0" applyNumberFormat="1"/>
    <xf numFmtId="178" fontId="0" fillId="11" borderId="0" xfId="0" applyNumberFormat="1" applyFill="1"/>
    <xf numFmtId="178" fontId="0" fillId="0" borderId="0" xfId="0" applyNumberFormat="1"/>
    <xf numFmtId="0" fontId="80" fillId="0" borderId="0" xfId="0" applyFont="1"/>
    <xf numFmtId="2" fontId="67" fillId="0" borderId="0" xfId="80" applyNumberFormat="1" applyFont="1"/>
    <xf numFmtId="0" fontId="67" fillId="0" borderId="0" xfId="0" applyFont="1" applyFill="1"/>
    <xf numFmtId="179" fontId="67" fillId="0" borderId="0" xfId="0" applyNumberFormat="1" applyFont="1"/>
    <xf numFmtId="175" fontId="67" fillId="0" borderId="0" xfId="0" applyNumberFormat="1" applyFont="1" applyFill="1"/>
    <xf numFmtId="178" fontId="67" fillId="0" borderId="0" xfId="0" applyNumberFormat="1" applyFont="1"/>
    <xf numFmtId="0" fontId="54" fillId="0" borderId="0" xfId="0" applyFont="1" applyAlignment="1">
      <alignment vertical="center" wrapText="1"/>
    </xf>
    <xf numFmtId="0" fontId="54" fillId="0" borderId="0" xfId="0" applyFont="1" applyAlignment="1"/>
    <xf numFmtId="178" fontId="67" fillId="0" borderId="0" xfId="80" applyNumberFormat="1" applyFont="1"/>
    <xf numFmtId="180" fontId="67" fillId="0" borderId="0" xfId="80" applyNumberFormat="1" applyFont="1"/>
    <xf numFmtId="170" fontId="67" fillId="11" borderId="0" xfId="0" applyNumberFormat="1" applyFont="1" applyFill="1"/>
    <xf numFmtId="0" fontId="63" fillId="0" borderId="0" xfId="0" applyFont="1" applyFill="1"/>
    <xf numFmtId="165" fontId="62" fillId="0" borderId="0" xfId="0" applyNumberFormat="1" applyFont="1" applyFill="1"/>
    <xf numFmtId="0" fontId="66" fillId="11" borderId="0" xfId="0" applyFont="1" applyFill="1"/>
    <xf numFmtId="167" fontId="62" fillId="11" borderId="0" xfId="0" applyNumberFormat="1" applyFont="1" applyFill="1" applyAlignment="1">
      <alignment horizontal="right"/>
    </xf>
    <xf numFmtId="0" fontId="63" fillId="11" borderId="0" xfId="0" applyFont="1" applyFill="1"/>
    <xf numFmtId="173" fontId="62" fillId="11" borderId="0" xfId="0" applyNumberFormat="1" applyFont="1" applyFill="1"/>
    <xf numFmtId="2" fontId="62" fillId="11" borderId="0" xfId="0" applyNumberFormat="1" applyFont="1" applyFill="1"/>
    <xf numFmtId="0" fontId="82" fillId="0" borderId="0" xfId="0" applyFont="1"/>
    <xf numFmtId="173" fontId="63" fillId="0" borderId="0" xfId="0" applyNumberFormat="1" applyFont="1"/>
    <xf numFmtId="173" fontId="63" fillId="11" borderId="0" xfId="0" applyNumberFormat="1" applyFont="1" applyFill="1"/>
    <xf numFmtId="178" fontId="0" fillId="0" borderId="0" xfId="0" applyNumberFormat="1" applyFill="1"/>
    <xf numFmtId="0" fontId="45" fillId="0" borderId="0" xfId="0" applyFont="1" applyAlignment="1">
      <alignment horizontal="right"/>
    </xf>
    <xf numFmtId="179" fontId="0" fillId="0" borderId="0" xfId="0" applyNumberFormat="1"/>
    <xf numFmtId="0" fontId="0" fillId="0" borderId="0" xfId="0" applyFill="1" applyAlignment="1">
      <alignment vertical="center"/>
    </xf>
    <xf numFmtId="168" fontId="17" fillId="0" borderId="0" xfId="0" applyNumberFormat="1" applyFont="1"/>
    <xf numFmtId="167" fontId="17" fillId="0" borderId="0" xfId="0" applyNumberFormat="1" applyFont="1"/>
    <xf numFmtId="181" fontId="17" fillId="0" borderId="0" xfId="0" applyNumberFormat="1" applyFont="1"/>
    <xf numFmtId="167" fontId="17" fillId="0" borderId="0" xfId="4" applyNumberFormat="1" applyFont="1" applyFill="1" applyAlignment="1"/>
    <xf numFmtId="170" fontId="0" fillId="11" borderId="0" xfId="0" applyNumberFormat="1" applyFill="1"/>
    <xf numFmtId="169" fontId="17" fillId="0" borderId="0" xfId="4" applyNumberFormat="1" applyFont="1" applyFill="1"/>
    <xf numFmtId="167" fontId="17" fillId="0" borderId="0" xfId="4" applyNumberFormat="1" applyFont="1"/>
    <xf numFmtId="0" fontId="18" fillId="0" borderId="0" xfId="4" applyFont="1"/>
    <xf numFmtId="167" fontId="18" fillId="0" borderId="0" xfId="5" applyNumberFormat="1" applyFont="1" applyAlignment="1"/>
    <xf numFmtId="2" fontId="18" fillId="0" borderId="0" xfId="5" applyNumberFormat="1" applyFont="1" applyFill="1"/>
    <xf numFmtId="2" fontId="30" fillId="0" borderId="0" xfId="0" applyNumberFormat="1" applyFont="1" applyBorder="1" applyAlignment="1">
      <alignment horizontal="center" vertical="center" wrapText="1"/>
    </xf>
    <xf numFmtId="165" fontId="18" fillId="0" borderId="0" xfId="0" applyNumberFormat="1" applyFont="1" applyBorder="1" applyAlignment="1">
      <alignment horizontal="center" wrapText="1"/>
    </xf>
    <xf numFmtId="179" fontId="18" fillId="0" borderId="0" xfId="0" applyNumberFormat="1" applyFont="1" applyBorder="1" applyAlignment="1">
      <alignment horizontal="center" wrapText="1"/>
    </xf>
    <xf numFmtId="179" fontId="18" fillId="6" borderId="0" xfId="0" applyNumberFormat="1" applyFont="1" applyFill="1" applyBorder="1" applyAlignment="1">
      <alignment horizontal="center" wrapText="1"/>
    </xf>
    <xf numFmtId="167" fontId="15" fillId="0" borderId="0" xfId="5" applyNumberFormat="1" applyFont="1" applyBorder="1" applyAlignment="1"/>
    <xf numFmtId="167" fontId="18" fillId="0" borderId="0" xfId="74" applyNumberFormat="1" applyFont="1" applyFill="1" applyAlignment="1"/>
    <xf numFmtId="2" fontId="84" fillId="0" borderId="0" xfId="74" applyNumberFormat="1" applyFont="1" applyFill="1" applyBorder="1" applyAlignment="1"/>
    <xf numFmtId="0" fontId="18" fillId="11" borderId="0" xfId="74" applyFont="1" applyFill="1"/>
    <xf numFmtId="167" fontId="84" fillId="0" borderId="0" xfId="74" applyNumberFormat="1" applyFont="1" applyFill="1" applyBorder="1" applyAlignment="1"/>
    <xf numFmtId="0" fontId="17" fillId="11" borderId="0" xfId="74" applyFont="1" applyFill="1"/>
    <xf numFmtId="164" fontId="18" fillId="2" borderId="0" xfId="4" applyNumberFormat="1" applyFont="1" applyFill="1" applyBorder="1" applyAlignment="1">
      <alignment horizontal="left" indent="1"/>
    </xf>
    <xf numFmtId="0" fontId="17" fillId="0" borderId="0" xfId="4" applyNumberFormat="1" applyFont="1"/>
    <xf numFmtId="168" fontId="18" fillId="2" borderId="2" xfId="4" applyNumberFormat="1" applyFont="1" applyFill="1" applyBorder="1" applyAlignment="1"/>
    <xf numFmtId="0" fontId="16" fillId="0" borderId="0" xfId="81" applyFont="1" applyAlignment="1">
      <alignment vertical="center"/>
    </xf>
    <xf numFmtId="0" fontId="18" fillId="2" borderId="2" xfId="81" applyFont="1" applyFill="1" applyBorder="1" applyAlignment="1">
      <alignment horizontal="right" wrapText="1"/>
    </xf>
    <xf numFmtId="0" fontId="18" fillId="2" borderId="2" xfId="81" applyFont="1" applyFill="1" applyBorder="1" applyAlignment="1">
      <alignment wrapText="1"/>
    </xf>
    <xf numFmtId="169" fontId="18" fillId="6" borderId="0" xfId="4" applyNumberFormat="1" applyFont="1" applyFill="1" applyBorder="1" applyAlignment="1"/>
    <xf numFmtId="165" fontId="17" fillId="0" borderId="0" xfId="4" applyNumberFormat="1" applyFont="1"/>
    <xf numFmtId="169" fontId="18" fillId="6" borderId="2" xfId="4" applyNumberFormat="1" applyFont="1" applyFill="1" applyBorder="1" applyAlignment="1"/>
    <xf numFmtId="0" fontId="17" fillId="0" borderId="0" xfId="81" applyFont="1" applyAlignment="1">
      <alignment vertical="center"/>
    </xf>
    <xf numFmtId="0" fontId="17" fillId="0" borderId="0" xfId="81" applyFont="1" applyAlignment="1">
      <alignment horizontal="right" vertical="center"/>
    </xf>
    <xf numFmtId="0" fontId="17" fillId="0" borderId="0" xfId="81" applyFont="1"/>
    <xf numFmtId="170" fontId="0" fillId="0" borderId="13" xfId="80" applyNumberFormat="1" applyFont="1" applyFill="1" applyBorder="1"/>
    <xf numFmtId="0" fontId="85" fillId="0" borderId="0" xfId="0" applyFont="1"/>
    <xf numFmtId="173" fontId="62" fillId="0" borderId="0" xfId="0" applyNumberFormat="1" applyFont="1" applyFill="1"/>
    <xf numFmtId="0" fontId="86" fillId="0" borderId="0" xfId="84" applyFont="1" applyAlignment="1">
      <alignment horizontal="left" vertical="center"/>
    </xf>
    <xf numFmtId="0" fontId="1" fillId="0" borderId="0" xfId="84"/>
    <xf numFmtId="0" fontId="86" fillId="0" borderId="0" xfId="84" applyFont="1" applyAlignment="1">
      <alignment vertical="center"/>
    </xf>
    <xf numFmtId="0" fontId="1" fillId="0" borderId="0" xfId="84" applyAlignment="1">
      <alignment horizontal="left" vertical="center"/>
    </xf>
    <xf numFmtId="0" fontId="87" fillId="0" borderId="0" xfId="84" applyFont="1" applyAlignment="1">
      <alignment horizontal="left" vertical="center"/>
    </xf>
    <xf numFmtId="0" fontId="89" fillId="0" borderId="0" xfId="85" applyAlignment="1">
      <alignment horizontal="left" vertical="center"/>
    </xf>
    <xf numFmtId="4" fontId="62" fillId="0" borderId="0" xfId="0" applyNumberFormat="1" applyFont="1"/>
    <xf numFmtId="0" fontId="53" fillId="11" borderId="0" xfId="0" applyFont="1" applyFill="1" applyAlignment="1">
      <alignment vertical="center"/>
    </xf>
    <xf numFmtId="0" fontId="62" fillId="0" borderId="0" xfId="0" applyFont="1" applyAlignment="1"/>
    <xf numFmtId="0" fontId="63" fillId="0" borderId="0" xfId="0" applyFont="1" applyAlignment="1">
      <alignment vertical="center" wrapText="1"/>
    </xf>
    <xf numFmtId="0" fontId="63" fillId="0" borderId="0" xfId="0" applyFont="1" applyAlignment="1">
      <alignment horizontal="center" vertical="center" wrapText="1"/>
    </xf>
    <xf numFmtId="3" fontId="62" fillId="11" borderId="0" xfId="0" applyNumberFormat="1" applyFont="1" applyFill="1"/>
    <xf numFmtId="3" fontId="62" fillId="17" borderId="0" xfId="0" applyNumberFormat="1" applyFont="1" applyFill="1"/>
    <xf numFmtId="1" fontId="62" fillId="0" borderId="0" xfId="0" applyNumberFormat="1" applyFont="1" applyAlignment="1">
      <alignment vertical="center" wrapText="1"/>
    </xf>
    <xf numFmtId="165" fontId="17" fillId="0" borderId="0" xfId="0" applyNumberFormat="1" applyFont="1"/>
    <xf numFmtId="1" fontId="62" fillId="11" borderId="0" xfId="0" applyNumberFormat="1" applyFont="1" applyFill="1" applyAlignment="1">
      <alignment vertical="center"/>
    </xf>
    <xf numFmtId="0" fontId="18" fillId="0" borderId="0" xfId="4" applyFont="1" applyFill="1" applyAlignment="1">
      <alignment horizontal="left" wrapText="1"/>
    </xf>
    <xf numFmtId="0" fontId="16" fillId="0" borderId="0" xfId="81" applyFont="1" applyFill="1" applyAlignment="1">
      <alignment vertical="center"/>
    </xf>
    <xf numFmtId="0" fontId="18" fillId="2" borderId="0" xfId="81" applyFont="1" applyFill="1" applyBorder="1" applyAlignment="1">
      <alignment horizontal="center" vertical="center" wrapText="1"/>
    </xf>
    <xf numFmtId="0" fontId="18" fillId="2" borderId="0" xfId="81" applyFont="1" applyFill="1" applyBorder="1" applyAlignment="1">
      <alignment horizontal="center" vertical="top" wrapText="1"/>
    </xf>
    <xf numFmtId="0" fontId="17" fillId="0" borderId="0" xfId="81" applyFont="1" applyFill="1" applyAlignment="1">
      <alignment vertical="center"/>
    </xf>
    <xf numFmtId="0" fontId="19" fillId="2" borderId="0" xfId="3" applyFont="1" applyFill="1" applyBorder="1" applyAlignment="1">
      <alignment horizontal="left" vertical="center"/>
    </xf>
    <xf numFmtId="0" fontId="18" fillId="2" borderId="0" xfId="4" applyFont="1" applyFill="1" applyAlignment="1">
      <alignment wrapText="1"/>
    </xf>
    <xf numFmtId="0" fontId="18" fillId="2" borderId="1" xfId="3" applyFont="1" applyFill="1" applyBorder="1" applyAlignment="1">
      <alignment horizontal="right" vertical="center" wrapText="1"/>
    </xf>
    <xf numFmtId="0" fontId="18" fillId="2" borderId="0" xfId="4" applyFont="1" applyFill="1" applyBorder="1" applyAlignment="1">
      <alignment horizontal="center" vertical="center"/>
    </xf>
    <xf numFmtId="0" fontId="18" fillId="2" borderId="0" xfId="4" applyFont="1" applyFill="1" applyBorder="1" applyAlignment="1">
      <alignment horizontal="center" vertical="center" wrapText="1"/>
    </xf>
    <xf numFmtId="3" fontId="18" fillId="2" borderId="3" xfId="4" applyNumberFormat="1" applyFont="1" applyFill="1" applyBorder="1" applyAlignment="1">
      <alignment horizontal="right"/>
    </xf>
    <xf numFmtId="0" fontId="18" fillId="2" borderId="0" xfId="4" applyFont="1" applyFill="1" applyBorder="1" applyAlignment="1">
      <alignment horizontal="left" vertical="center" wrapText="1"/>
    </xf>
    <xf numFmtId="0" fontId="17" fillId="2" borderId="0" xfId="4" applyFont="1" applyFill="1" applyBorder="1" applyAlignment="1">
      <alignment horizontal="center" vertical="center"/>
    </xf>
    <xf numFmtId="0" fontId="17" fillId="2" borderId="0" xfId="4" applyFont="1" applyFill="1" applyBorder="1" applyAlignment="1">
      <alignment horizontal="left" wrapText="1" indent="1"/>
    </xf>
    <xf numFmtId="3" fontId="17" fillId="2" borderId="0" xfId="4" applyNumberFormat="1" applyFont="1" applyFill="1" applyBorder="1" applyAlignment="1">
      <alignment horizontal="right"/>
    </xf>
    <xf numFmtId="0" fontId="18" fillId="2" borderId="0" xfId="81" applyFont="1" applyFill="1" applyBorder="1" applyAlignment="1">
      <alignment horizontal="center" vertical="center"/>
    </xf>
    <xf numFmtId="0" fontId="18" fillId="2" borderId="0" xfId="4" applyFont="1" applyFill="1" applyBorder="1" applyAlignment="1">
      <alignment vertical="center" wrapText="1"/>
    </xf>
    <xf numFmtId="0" fontId="17" fillId="2" borderId="0" xfId="81" applyFont="1" applyFill="1" applyBorder="1" applyAlignment="1">
      <alignment horizontal="center" vertical="center"/>
    </xf>
    <xf numFmtId="0" fontId="17" fillId="2" borderId="0" xfId="4" applyFont="1" applyFill="1" applyBorder="1" applyAlignment="1">
      <alignment horizontal="left" vertical="center" wrapText="1" indent="1"/>
    </xf>
    <xf numFmtId="0" fontId="18" fillId="2" borderId="0" xfId="4" applyFont="1" applyFill="1" applyBorder="1" applyAlignment="1">
      <alignment horizontal="left" vertical="center"/>
    </xf>
    <xf numFmtId="0" fontId="18" fillId="2" borderId="0" xfId="4" applyFont="1" applyFill="1" applyBorder="1" applyAlignment="1">
      <alignment horizontal="left" wrapText="1"/>
    </xf>
    <xf numFmtId="0" fontId="17" fillId="2" borderId="2" xfId="4" applyFont="1" applyFill="1" applyBorder="1" applyAlignment="1">
      <alignment horizontal="center" vertical="center"/>
    </xf>
    <xf numFmtId="0" fontId="17" fillId="2" borderId="2" xfId="4" applyFont="1" applyFill="1" applyBorder="1" applyAlignment="1">
      <alignment horizontal="left" wrapText="1" indent="1"/>
    </xf>
    <xf numFmtId="3" fontId="17" fillId="2" borderId="2" xfId="4" applyNumberFormat="1" applyFont="1" applyFill="1" applyBorder="1" applyAlignment="1">
      <alignment horizontal="right"/>
    </xf>
    <xf numFmtId="0" fontId="18" fillId="2" borderId="0" xfId="4" applyFont="1" applyFill="1" applyAlignment="1">
      <alignment horizontal="left" vertical="center"/>
    </xf>
    <xf numFmtId="0" fontId="17" fillId="2" borderId="0" xfId="4" applyFont="1" applyFill="1" applyAlignment="1">
      <alignment wrapText="1"/>
    </xf>
    <xf numFmtId="0" fontId="17" fillId="0" borderId="0" xfId="81" applyFont="1" applyFill="1" applyAlignment="1">
      <alignment horizontal="center" vertical="center"/>
    </xf>
    <xf numFmtId="0" fontId="17" fillId="0" borderId="0" xfId="81" applyFont="1" applyFill="1" applyAlignment="1">
      <alignment vertical="center" wrapText="1"/>
    </xf>
    <xf numFmtId="0" fontId="18" fillId="2" borderId="0" xfId="3" applyFont="1" applyFill="1" applyBorder="1" applyAlignment="1">
      <alignment horizontal="left" vertical="center"/>
    </xf>
    <xf numFmtId="0" fontId="18" fillId="2" borderId="0" xfId="3" applyFont="1" applyFill="1" applyBorder="1" applyAlignment="1">
      <alignment horizontal="center" vertical="center" wrapText="1"/>
    </xf>
    <xf numFmtId="165" fontId="18" fillId="2" borderId="3" xfId="3" applyNumberFormat="1" applyFont="1" applyFill="1" applyBorder="1" applyAlignment="1">
      <alignment horizontal="right" vertical="center"/>
    </xf>
    <xf numFmtId="165" fontId="18" fillId="2" borderId="0" xfId="4" applyNumberFormat="1" applyFont="1" applyFill="1" applyBorder="1" applyAlignment="1">
      <alignment horizontal="right" vertical="center"/>
    </xf>
    <xf numFmtId="165" fontId="17" fillId="2" borderId="0" xfId="4" applyNumberFormat="1" applyFont="1" applyFill="1" applyBorder="1" applyAlignment="1">
      <alignment horizontal="right" vertical="center"/>
    </xf>
    <xf numFmtId="0" fontId="18" fillId="2" borderId="0" xfId="4" applyFont="1" applyFill="1" applyBorder="1" applyAlignment="1">
      <alignment wrapText="1"/>
    </xf>
    <xf numFmtId="0" fontId="17" fillId="2" borderId="2" xfId="4" applyFont="1" applyFill="1" applyBorder="1" applyAlignment="1">
      <alignment horizontal="left" vertical="center" wrapText="1" indent="1"/>
    </xf>
    <xf numFmtId="165" fontId="17" fillId="2" borderId="2" xfId="4" applyNumberFormat="1" applyFont="1" applyFill="1" applyBorder="1" applyAlignment="1">
      <alignment horizontal="right" vertical="center"/>
    </xf>
    <xf numFmtId="4" fontId="18" fillId="2" borderId="3" xfId="3" applyNumberFormat="1" applyFont="1" applyFill="1" applyBorder="1" applyAlignment="1">
      <alignment horizontal="right" vertical="center"/>
    </xf>
    <xf numFmtId="4" fontId="18" fillId="2" borderId="0" xfId="4" applyNumberFormat="1" applyFont="1" applyFill="1" applyBorder="1" applyAlignment="1">
      <alignment horizontal="right" vertical="center"/>
    </xf>
    <xf numFmtId="0" fontId="17" fillId="2" borderId="0" xfId="4" applyFont="1" applyFill="1" applyBorder="1" applyAlignment="1">
      <alignment horizontal="center"/>
    </xf>
    <xf numFmtId="4" fontId="17" fillId="2" borderId="0" xfId="4" applyNumberFormat="1" applyFont="1" applyFill="1" applyBorder="1" applyAlignment="1">
      <alignment horizontal="right" vertical="center"/>
    </xf>
    <xf numFmtId="0" fontId="18" fillId="2" borderId="0" xfId="81" applyFont="1" applyFill="1" applyBorder="1" applyAlignment="1">
      <alignment horizontal="center" vertical="top"/>
    </xf>
    <xf numFmtId="0" fontId="17" fillId="2" borderId="0" xfId="81" applyFont="1" applyFill="1" applyBorder="1" applyAlignment="1">
      <alignment horizontal="center" vertical="top"/>
    </xf>
    <xf numFmtId="4" fontId="17" fillId="2" borderId="2" xfId="4" applyNumberFormat="1" applyFont="1" applyFill="1" applyBorder="1" applyAlignment="1">
      <alignment horizontal="right" vertical="center"/>
    </xf>
    <xf numFmtId="0" fontId="18" fillId="2" borderId="0" xfId="4" applyFont="1" applyFill="1" applyAlignment="1">
      <alignment horizontal="left"/>
    </xf>
    <xf numFmtId="0" fontId="18" fillId="2" borderId="2" xfId="4" applyFont="1" applyFill="1" applyBorder="1" applyAlignment="1">
      <alignment horizontal="center" vertical="center"/>
    </xf>
    <xf numFmtId="0" fontId="45" fillId="11" borderId="0" xfId="0" applyFont="1" applyFill="1"/>
    <xf numFmtId="175" fontId="0" fillId="0" borderId="0" xfId="0" applyNumberFormat="1"/>
    <xf numFmtId="0" fontId="15" fillId="0" borderId="0" xfId="0" applyFont="1"/>
    <xf numFmtId="3" fontId="16" fillId="0" borderId="0" xfId="0" applyNumberFormat="1" applyFont="1"/>
    <xf numFmtId="175" fontId="16" fillId="0" borderId="0" xfId="0" applyNumberFormat="1" applyFont="1"/>
    <xf numFmtId="178" fontId="16" fillId="0" borderId="0" xfId="80" applyNumberFormat="1" applyFont="1"/>
    <xf numFmtId="168" fontId="17" fillId="0" borderId="0" xfId="4" applyNumberFormat="1" applyFont="1" applyFill="1" applyAlignment="1"/>
    <xf numFmtId="0" fontId="91" fillId="6" borderId="0" xfId="0" applyFont="1" applyFill="1" applyAlignment="1">
      <alignment vertical="justify" wrapText="1"/>
    </xf>
    <xf numFmtId="0" fontId="91" fillId="6" borderId="0" xfId="0" applyFont="1" applyFill="1" applyAlignment="1">
      <alignment horizontal="justify" vertical="center" wrapText="1"/>
    </xf>
    <xf numFmtId="170" fontId="0" fillId="0" borderId="0" xfId="80" applyNumberFormat="1" applyFont="1" applyFill="1"/>
    <xf numFmtId="170" fontId="62" fillId="0" borderId="0" xfId="80" applyNumberFormat="1" applyFont="1"/>
    <xf numFmtId="0" fontId="90" fillId="18" borderId="17" xfId="0" applyFont="1" applyFill="1" applyBorder="1" applyAlignment="1">
      <alignment horizontal="center" vertical="center"/>
    </xf>
    <xf numFmtId="0" fontId="90" fillId="18" borderId="18" xfId="0" applyFont="1" applyFill="1" applyBorder="1" applyAlignment="1">
      <alignment horizontal="center" vertical="center"/>
    </xf>
    <xf numFmtId="0" fontId="90" fillId="18" borderId="19" xfId="0" applyFont="1" applyFill="1" applyBorder="1" applyAlignment="1">
      <alignment horizontal="center" vertical="center"/>
    </xf>
    <xf numFmtId="0" fontId="90" fillId="18" borderId="0" xfId="0" applyFont="1" applyFill="1" applyBorder="1" applyAlignment="1">
      <alignment horizontal="center" vertical="center"/>
    </xf>
    <xf numFmtId="0" fontId="91" fillId="18" borderId="0" xfId="0" applyFont="1" applyFill="1" applyBorder="1" applyAlignment="1">
      <alignment horizontal="justify" vertical="center" wrapText="1"/>
    </xf>
    <xf numFmtId="0" fontId="0" fillId="18" borderId="0" xfId="0" applyFill="1" applyBorder="1" applyAlignment="1">
      <alignment horizontal="justify" vertical="center"/>
    </xf>
    <xf numFmtId="0" fontId="91" fillId="6" borderId="0" xfId="0" applyFont="1" applyFill="1" applyBorder="1" applyAlignment="1">
      <alignment horizontal="justify" vertical="center" wrapText="1"/>
    </xf>
    <xf numFmtId="0" fontId="91" fillId="6" borderId="0" xfId="0" applyFont="1" applyFill="1" applyBorder="1" applyAlignment="1">
      <alignment horizontal="justify" vertical="center"/>
    </xf>
    <xf numFmtId="0" fontId="45" fillId="0" borderId="11" xfId="0" applyFont="1" applyBorder="1" applyAlignment="1">
      <alignment horizontal="center"/>
    </xf>
    <xf numFmtId="0" fontId="45" fillId="0" borderId="12" xfId="0" applyFont="1" applyBorder="1" applyAlignment="1">
      <alignment horizontal="center"/>
    </xf>
    <xf numFmtId="0" fontId="11" fillId="0" borderId="0" xfId="0" applyFont="1" applyAlignment="1">
      <alignment horizontal="center"/>
    </xf>
    <xf numFmtId="0" fontId="0" fillId="0" borderId="0" xfId="0" applyAlignment="1">
      <alignment horizontal="center"/>
    </xf>
    <xf numFmtId="0" fontId="15" fillId="2" borderId="0" xfId="5" applyFont="1" applyFill="1" applyAlignment="1">
      <alignment horizontal="center" vertical="top" wrapText="1"/>
    </xf>
    <xf numFmtId="0" fontId="18" fillId="2" borderId="4" xfId="4" applyFont="1" applyFill="1" applyBorder="1" applyAlignment="1">
      <alignment horizontal="left" wrapText="1"/>
    </xf>
    <xf numFmtId="0" fontId="15" fillId="11" borderId="0" xfId="5" applyFont="1" applyFill="1" applyAlignment="1">
      <alignment horizontal="left" vertical="center" wrapText="1"/>
    </xf>
    <xf numFmtId="0" fontId="18" fillId="0" borderId="0" xfId="5" applyFont="1" applyFill="1" applyAlignment="1">
      <alignment horizontal="left" vertical="center" wrapText="1"/>
    </xf>
    <xf numFmtId="0" fontId="18" fillId="0" borderId="0" xfId="5" applyFont="1" applyFill="1" applyAlignment="1">
      <alignment horizontal="left" vertical="center"/>
    </xf>
    <xf numFmtId="0" fontId="15" fillId="6" borderId="0" xfId="0" applyFont="1" applyFill="1" applyBorder="1" applyAlignment="1">
      <alignment horizontal="center" vertical="top" wrapText="1"/>
    </xf>
    <xf numFmtId="0" fontId="17" fillId="2" borderId="0" xfId="4" applyFont="1" applyFill="1" applyAlignment="1">
      <alignment horizontal="left" vertical="top" wrapText="1"/>
    </xf>
    <xf numFmtId="0" fontId="15" fillId="2" borderId="0" xfId="0" applyFont="1" applyFill="1" applyBorder="1" applyAlignment="1">
      <alignment horizontal="center" vertical="top" wrapText="1"/>
    </xf>
    <xf numFmtId="0" fontId="17" fillId="2" borderId="0" xfId="4" applyFont="1" applyFill="1" applyAlignment="1">
      <alignment horizontal="left" vertical="center" wrapText="1"/>
    </xf>
    <xf numFmtId="2" fontId="62" fillId="0" borderId="0" xfId="0" applyNumberFormat="1" applyFont="1" applyAlignment="1">
      <alignment horizontal="left" vertical="center" wrapText="1"/>
    </xf>
    <xf numFmtId="0" fontId="62" fillId="0" borderId="0" xfId="0" applyFont="1" applyAlignment="1">
      <alignment horizontal="left" vertical="center" wrapText="1"/>
    </xf>
    <xf numFmtId="1" fontId="62" fillId="0" borderId="0" xfId="0" applyNumberFormat="1" applyFont="1" applyAlignment="1">
      <alignment horizontal="left" vertical="center" wrapText="1"/>
    </xf>
    <xf numFmtId="0" fontId="62" fillId="0" borderId="0" xfId="0" applyFont="1" applyAlignment="1">
      <alignment horizontal="left" wrapText="1"/>
    </xf>
    <xf numFmtId="0" fontId="62" fillId="0" borderId="0" xfId="0" applyFont="1" applyAlignment="1">
      <alignment horizontal="center"/>
    </xf>
    <xf numFmtId="0" fontId="63" fillId="0" borderId="0" xfId="0" applyFont="1" applyAlignment="1">
      <alignment horizontal="center" vertical="center" wrapText="1"/>
    </xf>
    <xf numFmtId="0" fontId="67" fillId="0" borderId="0" xfId="0" applyFont="1" applyAlignment="1">
      <alignment horizontal="left" vertical="center" wrapText="1"/>
    </xf>
    <xf numFmtId="0" fontId="67" fillId="0" borderId="0" xfId="0" applyFont="1" applyAlignment="1">
      <alignment horizontal="left" wrapText="1"/>
    </xf>
    <xf numFmtId="0" fontId="54" fillId="0" borderId="0" xfId="0" applyFont="1" applyAlignment="1">
      <alignment horizontal="center"/>
    </xf>
    <xf numFmtId="0" fontId="15" fillId="6" borderId="0" xfId="5" applyFont="1" applyFill="1" applyAlignment="1">
      <alignment horizontal="center" vertical="top" wrapText="1"/>
    </xf>
    <xf numFmtId="0" fontId="17" fillId="0" borderId="0" xfId="4" applyFont="1" applyFill="1" applyAlignment="1">
      <alignment horizontal="left" vertical="center" wrapText="1"/>
    </xf>
    <xf numFmtId="0" fontId="17" fillId="0" borderId="0" xfId="4" applyFont="1" applyFill="1" applyAlignment="1">
      <alignment horizontal="left" wrapText="1"/>
    </xf>
    <xf numFmtId="0" fontId="67" fillId="0" borderId="0" xfId="0" applyFont="1" applyAlignment="1">
      <alignment horizontal="center"/>
    </xf>
    <xf numFmtId="0" fontId="0" fillId="13" borderId="0" xfId="0" applyFill="1" applyAlignment="1">
      <alignment horizontal="left" vertical="center" wrapText="1"/>
    </xf>
    <xf numFmtId="0" fontId="0" fillId="13" borderId="0" xfId="0" applyFill="1" applyAlignment="1">
      <alignment horizontal="left" wrapText="1"/>
    </xf>
    <xf numFmtId="0" fontId="66" fillId="0" borderId="0" xfId="0" applyFont="1" applyFill="1" applyAlignment="1">
      <alignment horizontal="center" wrapText="1"/>
    </xf>
    <xf numFmtId="0" fontId="62" fillId="0" borderId="0" xfId="0" applyFont="1" applyFill="1" applyAlignment="1">
      <alignment horizontal="center" vertical="center" wrapText="1"/>
    </xf>
    <xf numFmtId="0" fontId="63" fillId="0" borderId="0" xfId="0" applyFont="1" applyAlignment="1">
      <alignment horizontal="center"/>
    </xf>
    <xf numFmtId="0" fontId="63" fillId="0" borderId="0" xfId="0" applyFont="1" applyAlignment="1">
      <alignment horizontal="center" vertical="center"/>
    </xf>
    <xf numFmtId="0" fontId="62" fillId="11" borderId="0" xfId="0" applyFont="1" applyFill="1" applyAlignment="1">
      <alignment horizontal="left" vertical="center" wrapText="1"/>
    </xf>
    <xf numFmtId="0" fontId="15" fillId="2" borderId="0" xfId="4" applyFont="1" applyFill="1" applyAlignment="1">
      <alignment horizontal="center" vertical="top" wrapText="1"/>
    </xf>
    <xf numFmtId="0" fontId="15" fillId="6" borderId="0" xfId="0" applyFont="1" applyFill="1" applyAlignment="1">
      <alignment horizontal="center" vertical="top"/>
    </xf>
    <xf numFmtId="0" fontId="15" fillId="2" borderId="0" xfId="4" applyFont="1" applyFill="1" applyAlignment="1">
      <alignment horizontal="center" vertical="top"/>
    </xf>
    <xf numFmtId="0" fontId="15" fillId="2" borderId="0" xfId="4" applyFont="1" applyFill="1" applyAlignment="1">
      <alignment horizontal="center" vertical="center"/>
    </xf>
    <xf numFmtId="0" fontId="15" fillId="6" borderId="0" xfId="4" applyFont="1" applyFill="1" applyAlignment="1">
      <alignment horizontal="center" vertical="top" wrapText="1"/>
    </xf>
    <xf numFmtId="0" fontId="15" fillId="2" borderId="0" xfId="0" applyFont="1" applyFill="1" applyAlignment="1">
      <alignment horizontal="center" vertical="top"/>
    </xf>
    <xf numFmtId="0" fontId="15" fillId="6" borderId="0" xfId="4" applyFont="1" applyFill="1" applyBorder="1" applyAlignment="1">
      <alignment horizontal="center" vertical="top" wrapText="1"/>
    </xf>
    <xf numFmtId="0" fontId="15" fillId="2" borderId="0" xfId="4" applyFont="1" applyFill="1" applyAlignment="1">
      <alignment horizontal="center" vertical="center" wrapText="1"/>
    </xf>
    <xf numFmtId="0" fontId="15" fillId="2" borderId="0" xfId="81" applyFont="1" applyFill="1" applyBorder="1" applyAlignment="1">
      <alignment horizontal="center" vertical="center" wrapText="1"/>
    </xf>
    <xf numFmtId="0" fontId="17" fillId="2" borderId="0" xfId="0" applyFont="1" applyFill="1" applyBorder="1" applyAlignment="1">
      <alignment horizontal="left" wrapText="1"/>
    </xf>
    <xf numFmtId="0" fontId="15" fillId="6" borderId="0" xfId="74" applyFont="1" applyFill="1" applyAlignment="1">
      <alignment horizontal="center" vertical="top" wrapText="1"/>
    </xf>
    <xf numFmtId="0" fontId="18" fillId="6" borderId="4" xfId="4" applyFont="1" applyFill="1" applyBorder="1" applyAlignment="1">
      <alignment horizontal="left" vertical="center" wrapText="1"/>
    </xf>
    <xf numFmtId="0" fontId="18" fillId="6" borderId="0" xfId="4" applyFont="1" applyFill="1" applyAlignment="1">
      <alignment horizontal="left" wrapText="1"/>
    </xf>
    <xf numFmtId="0" fontId="18" fillId="2" borderId="2" xfId="4" applyFont="1" applyFill="1" applyBorder="1" applyAlignment="1">
      <alignment horizontal="right"/>
    </xf>
    <xf numFmtId="0" fontId="18" fillId="6" borderId="0" xfId="4" applyFont="1" applyFill="1" applyAlignment="1">
      <alignment horizontal="left" vertical="top" wrapText="1"/>
    </xf>
    <xf numFmtId="0" fontId="15" fillId="6" borderId="0" xfId="81" applyFont="1" applyFill="1" applyBorder="1" applyAlignment="1">
      <alignment horizontal="center" vertical="center" wrapText="1"/>
    </xf>
    <xf numFmtId="0" fontId="15" fillId="2" borderId="0" xfId="74" applyFont="1" applyFill="1" applyAlignment="1">
      <alignment horizontal="center" vertical="top" wrapText="1"/>
    </xf>
    <xf numFmtId="0" fontId="18" fillId="0" borderId="0" xfId="4" applyFont="1" applyFill="1" applyAlignment="1">
      <alignment horizontal="left" wrapText="1"/>
    </xf>
    <xf numFmtId="0" fontId="17" fillId="6" borderId="0" xfId="0" applyFont="1" applyFill="1" applyBorder="1" applyAlignment="1">
      <alignment horizontal="left" vertical="top" wrapText="1"/>
    </xf>
    <xf numFmtId="0" fontId="18" fillId="6" borderId="0" xfId="4" applyFont="1" applyFill="1" applyAlignment="1">
      <alignment horizontal="left" vertical="center" wrapText="1"/>
    </xf>
    <xf numFmtId="0" fontId="17" fillId="6" borderId="4" xfId="4" applyFont="1" applyFill="1" applyBorder="1" applyAlignment="1">
      <alignment horizontal="left" vertical="center" wrapText="1"/>
    </xf>
    <xf numFmtId="0" fontId="15" fillId="6" borderId="0" xfId="5" applyFont="1" applyFill="1" applyBorder="1" applyAlignment="1">
      <alignment horizontal="center" vertical="top" wrapText="1"/>
    </xf>
    <xf numFmtId="0" fontId="15" fillId="2" borderId="0" xfId="5" applyFont="1" applyFill="1" applyAlignment="1">
      <alignment horizontal="center" vertical="top"/>
    </xf>
    <xf numFmtId="0" fontId="17" fillId="2" borderId="0" xfId="4" applyFont="1" applyFill="1" applyAlignment="1">
      <alignment horizontal="left"/>
    </xf>
    <xf numFmtId="0" fontId="15" fillId="2" borderId="0" xfId="5" applyFont="1" applyFill="1" applyBorder="1" applyAlignment="1">
      <alignment horizontal="center" vertical="top" wrapText="1"/>
    </xf>
    <xf numFmtId="0" fontId="19" fillId="6" borderId="8" xfId="75" applyFont="1" applyFill="1" applyBorder="1" applyAlignment="1">
      <alignment horizontal="left" vertical="top" wrapText="1"/>
    </xf>
    <xf numFmtId="0" fontId="19" fillId="6" borderId="6" xfId="75" applyFont="1" applyFill="1" applyBorder="1" applyAlignment="1">
      <alignment horizontal="left" vertical="top" wrapText="1"/>
    </xf>
    <xf numFmtId="0" fontId="19" fillId="6" borderId="7" xfId="75" applyFont="1" applyFill="1" applyBorder="1" applyAlignment="1">
      <alignment horizontal="left" vertical="top" wrapText="1"/>
    </xf>
    <xf numFmtId="0" fontId="21" fillId="6" borderId="8" xfId="75" applyFont="1" applyFill="1" applyBorder="1" applyAlignment="1">
      <alignment horizontal="left" vertical="center" wrapText="1"/>
    </xf>
    <xf numFmtId="0" fontId="21" fillId="6" borderId="6" xfId="75" applyFont="1" applyFill="1" applyBorder="1" applyAlignment="1">
      <alignment horizontal="left" vertical="center" wrapText="1"/>
    </xf>
    <xf numFmtId="0" fontId="42" fillId="6" borderId="7" xfId="75" applyFont="1" applyFill="1" applyBorder="1" applyAlignment="1">
      <alignment horizontal="left" vertical="center" wrapText="1"/>
    </xf>
    <xf numFmtId="0" fontId="42" fillId="6" borderId="9" xfId="75" applyFont="1" applyFill="1" applyBorder="1" applyAlignment="1">
      <alignment horizontal="left" vertical="center" wrapText="1"/>
    </xf>
    <xf numFmtId="0" fontId="19" fillId="6" borderId="9" xfId="75" applyFont="1" applyFill="1" applyBorder="1" applyAlignment="1">
      <alignment horizontal="left" vertical="top" wrapText="1"/>
    </xf>
    <xf numFmtId="0" fontId="19" fillId="6" borderId="5" xfId="75" applyFont="1" applyFill="1" applyBorder="1" applyAlignment="1">
      <alignment horizontal="left" vertical="top" wrapText="1"/>
    </xf>
    <xf numFmtId="0" fontId="21" fillId="6" borderId="5" xfId="75" applyFont="1" applyFill="1" applyBorder="1" applyAlignment="1">
      <alignment horizontal="left" vertical="center" wrapText="1"/>
    </xf>
    <xf numFmtId="0" fontId="17" fillId="0" borderId="0" xfId="0" applyFont="1" applyBorder="1" applyAlignment="1">
      <alignment horizontal="left" vertical="center" wrapText="1"/>
    </xf>
    <xf numFmtId="0" fontId="17" fillId="2" borderId="0" xfId="0" applyFont="1" applyFill="1" applyBorder="1" applyAlignment="1">
      <alignment horizontal="left" vertical="top"/>
    </xf>
    <xf numFmtId="0" fontId="17" fillId="2" borderId="0" xfId="0" applyFont="1" applyFill="1" applyBorder="1" applyAlignment="1">
      <alignment horizontal="left" vertical="top" wrapText="1"/>
    </xf>
    <xf numFmtId="0" fontId="91" fillId="6" borderId="0" xfId="0" applyFont="1" applyFill="1" applyAlignment="1">
      <alignment horizontal="justify" vertical="center" wrapText="1"/>
    </xf>
    <xf numFmtId="0" fontId="94" fillId="18" borderId="20" xfId="0" applyFont="1" applyFill="1" applyBorder="1" applyAlignment="1">
      <alignment horizontal="left" vertical="center"/>
    </xf>
    <xf numFmtId="0" fontId="94" fillId="18" borderId="21" xfId="0" applyFont="1" applyFill="1" applyBorder="1" applyAlignment="1">
      <alignment horizontal="left" vertical="center"/>
    </xf>
    <xf numFmtId="0" fontId="94" fillId="18" borderId="22" xfId="0" applyFont="1" applyFill="1" applyBorder="1" applyAlignment="1">
      <alignment horizontal="left" vertical="center"/>
    </xf>
    <xf numFmtId="0" fontId="94" fillId="18" borderId="0" xfId="0" applyFont="1" applyFill="1" applyBorder="1" applyAlignment="1">
      <alignment horizontal="left" vertical="center"/>
    </xf>
    <xf numFmtId="0" fontId="91" fillId="6" borderId="0" xfId="0" applyFont="1" applyFill="1" applyAlignment="1">
      <alignment horizontal="justify" vertical="justify" wrapText="1"/>
    </xf>
    <xf numFmtId="0" fontId="91" fillId="6" borderId="0" xfId="0" applyFont="1" applyFill="1" applyAlignment="1">
      <alignment horizontal="justify" vertical="justify"/>
    </xf>
    <xf numFmtId="0" fontId="92" fillId="6" borderId="0" xfId="0" applyFont="1" applyFill="1" applyAlignment="1">
      <alignment horizontal="justify" vertical="center" wrapText="1"/>
    </xf>
    <xf numFmtId="0" fontId="91" fillId="6" borderId="0" xfId="0" applyFont="1" applyFill="1" applyAlignment="1">
      <alignment horizontal="justify" vertical="center"/>
    </xf>
    <xf numFmtId="0" fontId="91" fillId="6" borderId="0" xfId="0" applyFont="1" applyFill="1" applyAlignment="1">
      <alignment horizontal="left" vertical="center" wrapText="1"/>
    </xf>
    <xf numFmtId="0" fontId="97" fillId="6" borderId="0" xfId="0" applyFont="1" applyFill="1" applyAlignment="1">
      <alignment horizontal="justify" vertical="center" wrapText="1"/>
    </xf>
    <xf numFmtId="0" fontId="95" fillId="6" borderId="0" xfId="0" quotePrefix="1" applyFont="1" applyFill="1" applyAlignment="1">
      <alignment horizontal="justify" vertical="top" wrapText="1"/>
    </xf>
    <xf numFmtId="0" fontId="91" fillId="6" borderId="0" xfId="0" quotePrefix="1" applyFont="1" applyFill="1" applyAlignment="1">
      <alignment horizontal="left" vertical="center" wrapText="1"/>
    </xf>
    <xf numFmtId="0" fontId="3" fillId="0" borderId="0" xfId="83" applyProtection="1">
      <protection hidden="1"/>
    </xf>
    <xf numFmtId="0" fontId="8" fillId="0" borderId="0" xfId="79" applyProtection="1">
      <protection hidden="1"/>
    </xf>
    <xf numFmtId="0" fontId="49" fillId="0" borderId="0" xfId="79" applyFont="1" applyFill="1" applyAlignment="1" applyProtection="1">
      <protection hidden="1"/>
    </xf>
    <xf numFmtId="0" fontId="8" fillId="6" borderId="0" xfId="79" applyFill="1" applyBorder="1" applyProtection="1">
      <protection hidden="1"/>
    </xf>
    <xf numFmtId="0" fontId="6" fillId="0" borderId="0" xfId="79" applyFont="1" applyProtection="1">
      <protection hidden="1"/>
    </xf>
    <xf numFmtId="0" fontId="5" fillId="0" borderId="0" xfId="79" applyFont="1" applyProtection="1">
      <protection hidden="1"/>
    </xf>
    <xf numFmtId="0" fontId="7" fillId="0" borderId="0" xfId="79" applyFont="1" applyProtection="1">
      <protection hidden="1"/>
    </xf>
    <xf numFmtId="0" fontId="4" fillId="0" borderId="0" xfId="79" applyFont="1" applyProtection="1">
      <protection hidden="1"/>
    </xf>
    <xf numFmtId="0" fontId="43" fillId="0" borderId="0" xfId="0" applyFont="1" applyAlignment="1" applyProtection="1">
      <alignment horizontal="left" vertical="center" indent="1"/>
      <protection hidden="1"/>
    </xf>
    <xf numFmtId="0" fontId="3" fillId="0" borderId="0" xfId="79" applyFont="1" applyProtection="1">
      <protection hidden="1"/>
    </xf>
    <xf numFmtId="0" fontId="2" fillId="0" borderId="0" xfId="79" applyFont="1" applyProtection="1">
      <protection hidden="1"/>
    </xf>
    <xf numFmtId="4" fontId="81" fillId="0" borderId="0" xfId="0" applyNumberFormat="1" applyFont="1" applyProtection="1">
      <protection hidden="1"/>
    </xf>
    <xf numFmtId="4" fontId="8" fillId="0" borderId="0" xfId="79" applyNumberFormat="1" applyProtection="1">
      <protection hidden="1"/>
    </xf>
    <xf numFmtId="0" fontId="4" fillId="6" borderId="0" xfId="79" applyFont="1" applyFill="1" applyBorder="1" applyProtection="1">
      <protection hidden="1"/>
    </xf>
    <xf numFmtId="0" fontId="11" fillId="0" borderId="0" xfId="81" applyProtection="1">
      <protection hidden="1"/>
    </xf>
    <xf numFmtId="0" fontId="14" fillId="0" borderId="0" xfId="2" applyAlignment="1" applyProtection="1">
      <protection hidden="1"/>
    </xf>
    <xf numFmtId="0" fontId="3" fillId="10" borderId="0" xfId="83" applyFill="1" applyProtection="1">
      <protection locked="0" hidden="1"/>
    </xf>
    <xf numFmtId="0" fontId="11" fillId="0" borderId="0" xfId="81" applyProtection="1">
      <protection locked="0" hidden="1"/>
    </xf>
    <xf numFmtId="0" fontId="43" fillId="0" borderId="0" xfId="81" applyFont="1" applyAlignment="1" applyProtection="1">
      <alignment horizontal="justify" vertical="top" wrapText="1"/>
      <protection locked="0" hidden="1"/>
    </xf>
    <xf numFmtId="0" fontId="75" fillId="0" borderId="0" xfId="81" applyFont="1" applyAlignment="1" applyProtection="1">
      <alignment horizontal="justify" vertical="top" wrapText="1"/>
      <protection locked="0" hidden="1"/>
    </xf>
    <xf numFmtId="0" fontId="98" fillId="0" borderId="0" xfId="2" applyFont="1" applyAlignment="1" applyProtection="1">
      <alignment horizontal="left" vertical="top" wrapText="1"/>
      <protection locked="0" hidden="1"/>
    </xf>
    <xf numFmtId="0" fontId="98" fillId="0" borderId="0" xfId="2" applyFont="1" applyAlignment="1" applyProtection="1">
      <alignment horizontal="justify" vertical="top" wrapText="1"/>
      <protection locked="0" hidden="1"/>
    </xf>
    <xf numFmtId="0" fontId="98" fillId="0" borderId="0" xfId="2" applyFont="1" applyAlignment="1" applyProtection="1">
      <alignment horizontal="left"/>
      <protection locked="0" hidden="1"/>
    </xf>
    <xf numFmtId="0" fontId="8" fillId="0" borderId="0" xfId="79" applyProtection="1">
      <protection locked="0" hidden="1"/>
    </xf>
    <xf numFmtId="0" fontId="47" fillId="0" borderId="0" xfId="79" applyFont="1" applyProtection="1">
      <protection locked="0" hidden="1"/>
    </xf>
    <xf numFmtId="0" fontId="48" fillId="0" borderId="0" xfId="0" applyFont="1" applyAlignment="1" applyProtection="1">
      <protection locked="0" hidden="1"/>
    </xf>
    <xf numFmtId="0" fontId="46" fillId="0" borderId="0" xfId="79" applyFont="1" applyAlignment="1" applyProtection="1">
      <protection locked="0" hidden="1"/>
    </xf>
    <xf numFmtId="0" fontId="8" fillId="0" borderId="0" xfId="79" applyBorder="1" applyProtection="1">
      <protection locked="0" hidden="1"/>
    </xf>
    <xf numFmtId="0" fontId="49" fillId="0" borderId="0" xfId="79" applyFont="1" applyFill="1" applyAlignment="1" applyProtection="1">
      <protection locked="0" hidden="1"/>
    </xf>
    <xf numFmtId="0" fontId="49" fillId="0" borderId="0" xfId="79" applyFont="1" applyFill="1" applyAlignment="1" applyProtection="1">
      <alignment horizontal="center" wrapText="1"/>
      <protection locked="0" hidden="1"/>
    </xf>
    <xf numFmtId="0" fontId="8" fillId="6" borderId="0" xfId="79" applyFill="1" applyBorder="1" applyProtection="1">
      <protection locked="0" hidden="1"/>
    </xf>
    <xf numFmtId="0" fontId="50" fillId="6" borderId="0" xfId="79" applyFont="1" applyFill="1" applyBorder="1" applyAlignment="1" applyProtection="1">
      <alignment vertical="center"/>
      <protection locked="0" hidden="1"/>
    </xf>
    <xf numFmtId="0" fontId="51" fillId="0" borderId="0" xfId="79" applyFont="1" applyProtection="1">
      <protection locked="0" hidden="1"/>
    </xf>
    <xf numFmtId="0" fontId="51" fillId="0" borderId="0" xfId="79" applyFont="1" applyAlignment="1" applyProtection="1">
      <alignment horizontal="left"/>
      <protection locked="0" hidden="1"/>
    </xf>
    <xf numFmtId="0" fontId="8" fillId="6" borderId="0" xfId="79" applyFont="1" applyFill="1" applyBorder="1" applyProtection="1">
      <protection locked="0" hidden="1"/>
    </xf>
    <xf numFmtId="0" fontId="8" fillId="6" borderId="0" xfId="79" applyFill="1" applyBorder="1" applyAlignment="1" applyProtection="1">
      <protection locked="0" hidden="1"/>
    </xf>
    <xf numFmtId="0" fontId="8" fillId="0" borderId="0" xfId="79" applyFill="1" applyProtection="1">
      <protection locked="0" hidden="1"/>
    </xf>
    <xf numFmtId="0" fontId="48" fillId="0" borderId="0" xfId="0" applyFont="1" applyAlignment="1" applyProtection="1">
      <alignment horizontal="center"/>
      <protection locked="0" hidden="1"/>
    </xf>
    <xf numFmtId="0" fontId="46" fillId="0" borderId="0" xfId="79" applyFont="1" applyAlignment="1" applyProtection="1">
      <alignment horizontal="center"/>
      <protection locked="0" hidden="1"/>
    </xf>
    <xf numFmtId="0" fontId="8" fillId="0" borderId="0" xfId="79" applyAlignment="1" applyProtection="1">
      <alignment vertical="center"/>
      <protection locked="0" hidden="1"/>
    </xf>
    <xf numFmtId="0" fontId="46" fillId="0" borderId="0" xfId="79" applyFont="1" applyAlignment="1" applyProtection="1">
      <alignment horizontal="center"/>
      <protection locked="0" hidden="1"/>
    </xf>
    <xf numFmtId="0" fontId="6" fillId="0" borderId="0" xfId="79" applyFont="1" applyProtection="1">
      <protection locked="0" hidden="1"/>
    </xf>
    <xf numFmtId="0" fontId="67" fillId="0" borderId="0" xfId="0" applyFont="1" applyProtection="1">
      <protection locked="0" hidden="1"/>
    </xf>
  </cellXfs>
  <cellStyles count="86">
    <cellStyle name="Euro" xfId="1" xr:uid="{00000000-0005-0000-0000-000000000000}"/>
    <cellStyle name="Hiperligação" xfId="2" builtinId="8"/>
    <cellStyle name="Hiperligação 2" xfId="85" xr:uid="{F8348110-3742-455F-B290-9BAB5B8E1DFA}"/>
    <cellStyle name="Normal" xfId="0" builtinId="0"/>
    <cellStyle name="Normal 2" xfId="81" xr:uid="{97D99C30-E5AC-42A3-B342-C3167DEC0243}"/>
    <cellStyle name="Normal 3" xfId="78" xr:uid="{00000000-0005-0000-0000-000003000000}"/>
    <cellStyle name="Normal 3 2" xfId="77" xr:uid="{00000000-0005-0000-0000-000004000000}"/>
    <cellStyle name="Normal 3 3" xfId="76" xr:uid="{00000000-0005-0000-0000-000005000000}"/>
    <cellStyle name="Normal 3 4" xfId="79" xr:uid="{E4E963E8-1A5A-4C0E-B11C-C32359D8104D}"/>
    <cellStyle name="Normal 3 5" xfId="83" xr:uid="{CE227745-C62E-4D1A-B619-756021D062BB}"/>
    <cellStyle name="Normal 4" xfId="84" xr:uid="{F11E1D6D-5B8C-4311-A5B6-EC5644621E66}"/>
    <cellStyle name="Normal 4 2" xfId="6" xr:uid="{00000000-0005-0000-0000-000006000000}"/>
    <cellStyle name="Normal_Book2 2" xfId="82" xr:uid="{B5F33122-7F7B-4B39-BD17-31EB1716E428}"/>
    <cellStyle name="Normal_caeremuna" xfId="3" xr:uid="{00000000-0005-0000-0000-000008000000}"/>
    <cellStyle name="Normal_ee05" xfId="4" xr:uid="{00000000-0005-0000-0000-000009000000}"/>
    <cellStyle name="Normal_Folha2" xfId="75" xr:uid="{00000000-0005-0000-0000-00000A000000}"/>
    <cellStyle name="Normal_qp_emprego06" xfId="5" xr:uid="{00000000-0005-0000-0000-00000B000000}"/>
    <cellStyle name="Normal_qp_emprego06 2" xfId="74" xr:uid="{00000000-0005-0000-0000-00000C000000}"/>
    <cellStyle name="Percentagem" xfId="80" builtinId="5"/>
    <cellStyle name="style1386169271439" xfId="11" xr:uid="{00000000-0005-0000-0000-00000D000000}"/>
    <cellStyle name="style1386169271439 2" xfId="55" xr:uid="{00000000-0005-0000-0000-00000E000000}"/>
    <cellStyle name="style1386169271674" xfId="12" xr:uid="{00000000-0005-0000-0000-00000F000000}"/>
    <cellStyle name="style1386169271674 2" xfId="56" xr:uid="{00000000-0005-0000-0000-000010000000}"/>
    <cellStyle name="style1386169271908" xfId="14" xr:uid="{00000000-0005-0000-0000-000011000000}"/>
    <cellStyle name="style1386169271908 2" xfId="58" xr:uid="{00000000-0005-0000-0000-000012000000}"/>
    <cellStyle name="style1386169272361" xfId="8" xr:uid="{00000000-0005-0000-0000-000013000000}"/>
    <cellStyle name="style1386169272361 2" xfId="52" xr:uid="{00000000-0005-0000-0000-000014000000}"/>
    <cellStyle name="style1386169272502" xfId="10" xr:uid="{00000000-0005-0000-0000-000015000000}"/>
    <cellStyle name="style1386169272502 2" xfId="54" xr:uid="{00000000-0005-0000-0000-000016000000}"/>
    <cellStyle name="style1386169273189" xfId="7" xr:uid="{00000000-0005-0000-0000-000017000000}"/>
    <cellStyle name="style1386169273189 2" xfId="51" xr:uid="{00000000-0005-0000-0000-000018000000}"/>
    <cellStyle name="style1386169273283" xfId="9" xr:uid="{00000000-0005-0000-0000-000019000000}"/>
    <cellStyle name="style1386169273283 2" xfId="53" xr:uid="{00000000-0005-0000-0000-00001A000000}"/>
    <cellStyle name="style1386169275549" xfId="13" xr:uid="{00000000-0005-0000-0000-00001B000000}"/>
    <cellStyle name="style1386169275549 2" xfId="57" xr:uid="{00000000-0005-0000-0000-00001C000000}"/>
    <cellStyle name="style1386170078719" xfId="19" xr:uid="{00000000-0005-0000-0000-00001D000000}"/>
    <cellStyle name="style1386170078719 2" xfId="63" xr:uid="{00000000-0005-0000-0000-00001E000000}"/>
    <cellStyle name="style1386170078922" xfId="20" xr:uid="{00000000-0005-0000-0000-00001F000000}"/>
    <cellStyle name="style1386170078922 2" xfId="64" xr:uid="{00000000-0005-0000-0000-000020000000}"/>
    <cellStyle name="style1386170079157" xfId="22" xr:uid="{00000000-0005-0000-0000-000021000000}"/>
    <cellStyle name="style1386170079157 2" xfId="66" xr:uid="{00000000-0005-0000-0000-000022000000}"/>
    <cellStyle name="style1386170079594" xfId="16" xr:uid="{00000000-0005-0000-0000-000023000000}"/>
    <cellStyle name="style1386170079594 2" xfId="60" xr:uid="{00000000-0005-0000-0000-000024000000}"/>
    <cellStyle name="style1386170079672" xfId="18" xr:uid="{00000000-0005-0000-0000-000025000000}"/>
    <cellStyle name="style1386170079672 2" xfId="62" xr:uid="{00000000-0005-0000-0000-000026000000}"/>
    <cellStyle name="style1386170080235" xfId="15" xr:uid="{00000000-0005-0000-0000-000027000000}"/>
    <cellStyle name="style1386170080235 2" xfId="59" xr:uid="{00000000-0005-0000-0000-000028000000}"/>
    <cellStyle name="style1386170080313" xfId="17" xr:uid="{00000000-0005-0000-0000-000029000000}"/>
    <cellStyle name="style1386170080313 2" xfId="61" xr:uid="{00000000-0005-0000-0000-00002A000000}"/>
    <cellStyle name="style1386170080735" xfId="23" xr:uid="{00000000-0005-0000-0000-00002B000000}"/>
    <cellStyle name="style1386170080735 2" xfId="67" xr:uid="{00000000-0005-0000-0000-00002C000000}"/>
    <cellStyle name="style1386170080829" xfId="24" xr:uid="{00000000-0005-0000-0000-00002D000000}"/>
    <cellStyle name="style1386170080829 2" xfId="68" xr:uid="{00000000-0005-0000-0000-00002E000000}"/>
    <cellStyle name="style1386170080938" xfId="25" xr:uid="{00000000-0005-0000-0000-00002F000000}"/>
    <cellStyle name="style1386170080938 2" xfId="69" xr:uid="{00000000-0005-0000-0000-000030000000}"/>
    <cellStyle name="style1386170082172" xfId="21" xr:uid="{00000000-0005-0000-0000-000031000000}"/>
    <cellStyle name="style1386170082172 2" xfId="65" xr:uid="{00000000-0005-0000-0000-000032000000}"/>
    <cellStyle name="style1386177057576" xfId="33" xr:uid="{00000000-0005-0000-0000-000033000000}"/>
    <cellStyle name="style1386177057826" xfId="36" xr:uid="{00000000-0005-0000-0000-000034000000}"/>
    <cellStyle name="style1386177058123" xfId="40" xr:uid="{00000000-0005-0000-0000-000035000000}"/>
    <cellStyle name="style1386177058638" xfId="37" xr:uid="{00000000-0005-0000-0000-000036000000}"/>
    <cellStyle name="style1386177059982" xfId="32" xr:uid="{00000000-0005-0000-0000-000037000000}"/>
    <cellStyle name="style1386177060076" xfId="35" xr:uid="{00000000-0005-0000-0000-000038000000}"/>
    <cellStyle name="style1386177060232" xfId="39" xr:uid="{00000000-0005-0000-0000-000039000000}"/>
    <cellStyle name="style1386177060310" xfId="38" xr:uid="{00000000-0005-0000-0000-00003A000000}"/>
    <cellStyle name="style1386177060404" xfId="34" xr:uid="{00000000-0005-0000-0000-00003B000000}"/>
    <cellStyle name="style1386177060529" xfId="41" xr:uid="{00000000-0005-0000-0000-00003C000000}"/>
    <cellStyle name="style1386178399538" xfId="26" xr:uid="{00000000-0005-0000-0000-00003D000000}"/>
    <cellStyle name="style1386178399538 2" xfId="70" xr:uid="{00000000-0005-0000-0000-00003E000000}"/>
    <cellStyle name="style1386178400116" xfId="27" xr:uid="{00000000-0005-0000-0000-00003F000000}"/>
    <cellStyle name="style1386178400116 2" xfId="71" xr:uid="{00000000-0005-0000-0000-000040000000}"/>
    <cellStyle name="style1386178799571" xfId="28" xr:uid="{00000000-0005-0000-0000-000041000000}"/>
    <cellStyle name="style1386178799571 2" xfId="72" xr:uid="{00000000-0005-0000-0000-000042000000}"/>
    <cellStyle name="style1386178799743" xfId="29" xr:uid="{00000000-0005-0000-0000-000043000000}"/>
    <cellStyle name="style1386178799743 2" xfId="73" xr:uid="{00000000-0005-0000-0000-000044000000}"/>
    <cellStyle name="style1386244786845" xfId="30" xr:uid="{00000000-0005-0000-0000-000045000000}"/>
    <cellStyle name="style1386245268236" xfId="31" xr:uid="{00000000-0005-0000-0000-000046000000}"/>
    <cellStyle name="style1386256697709" xfId="43" xr:uid="{00000000-0005-0000-0000-000047000000}"/>
    <cellStyle name="style1386256697959" xfId="46" xr:uid="{00000000-0005-0000-0000-000048000000}"/>
    <cellStyle name="style1386256698334" xfId="49" xr:uid="{00000000-0005-0000-0000-000049000000}"/>
    <cellStyle name="style1386256698693" xfId="47" xr:uid="{00000000-0005-0000-0000-00004A000000}"/>
    <cellStyle name="style1386256700272" xfId="42" xr:uid="{00000000-0005-0000-0000-00004B000000}"/>
    <cellStyle name="style1386256700365" xfId="45" xr:uid="{00000000-0005-0000-0000-00004C000000}"/>
    <cellStyle name="style1386256700522" xfId="48" xr:uid="{00000000-0005-0000-0000-00004D000000}"/>
    <cellStyle name="style1386256700615" xfId="44" xr:uid="{00000000-0005-0000-0000-00004E000000}"/>
    <cellStyle name="style1386256700709" xfId="50" xr:uid="{00000000-0005-0000-0000-00004F000000}"/>
  </cellStyles>
  <dxfs count="1302">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numFmt numFmtId="182" formatCode="###0;###0;\-"/>
    </dxf>
    <dxf>
      <font>
        <b/>
        <i val="0"/>
        <color rgb="FFFFFF00"/>
      </font>
      <fill>
        <patternFill>
          <bgColor rgb="FFFF0000"/>
        </patternFill>
      </fill>
    </dxf>
    <dxf>
      <font>
        <b/>
        <i val="0"/>
        <color rgb="FFFFFF00"/>
      </font>
      <fill>
        <patternFill>
          <bgColor rgb="FFFF0000"/>
        </patternFill>
      </fill>
    </dxf>
    <dxf>
      <numFmt numFmtId="182" formatCode="###0;###0;\-"/>
    </dxf>
    <dxf>
      <numFmt numFmtId="182" formatCode="###0;###0;\-"/>
    </dxf>
    <dxf>
      <font>
        <b/>
        <i val="0"/>
        <color rgb="FFFFFF00"/>
      </font>
      <fill>
        <patternFill>
          <bgColor rgb="FFFF0000"/>
        </patternFill>
      </fill>
    </dxf>
    <dxf>
      <numFmt numFmtId="182" formatCode="###0;###0;\-"/>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numFmt numFmtId="182" formatCode="###0;###0;\-"/>
    </dxf>
    <dxf>
      <font>
        <b/>
        <i val="0"/>
        <color rgb="FFFFFF00"/>
      </font>
      <fill>
        <patternFill>
          <bgColor rgb="FFFF0000"/>
        </patternFill>
      </fill>
    </dxf>
    <dxf>
      <numFmt numFmtId="182" formatCode="###0;###0;\-"/>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font>
        <b/>
        <i val="0"/>
        <color rgb="FFFFFF00"/>
      </font>
      <fill>
        <patternFill>
          <bgColor rgb="FFFF0000"/>
        </patternFill>
      </fill>
    </dxf>
    <dxf>
      <numFmt numFmtId="182" formatCode="###0;###0;\-"/>
    </dxf>
    <dxf>
      <numFmt numFmtId="174" formatCode="#,##0.0\ &quot;€&quot;"/>
    </dxf>
    <dxf>
      <numFmt numFmtId="174" formatCode="#,##0.0\ &quot;€&quot;"/>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color theme="1"/>
      </font>
      <border>
        <bottom style="thin">
          <color theme="4"/>
        </bottom>
        <vertical/>
        <horizontal/>
      </border>
    </dxf>
    <dxf>
      <font>
        <b val="0"/>
        <i val="0"/>
        <sz val="7"/>
        <color theme="1"/>
        <name val="Calibri"/>
        <family val="2"/>
        <scheme val="minor"/>
      </font>
      <border diagonalUp="0" diagonalDown="0">
        <left/>
        <right/>
        <top/>
        <bottom/>
        <vertical/>
        <horizontal/>
      </border>
    </dxf>
    <dxf>
      <font>
        <b/>
        <color theme="1"/>
      </font>
      <border>
        <bottom style="thin">
          <color theme="4"/>
        </bottom>
        <vertical/>
        <horizontal/>
      </border>
    </dxf>
    <dxf>
      <font>
        <b val="0"/>
        <i val="0"/>
        <sz val="7"/>
        <color theme="1"/>
        <name val="Calibri"/>
        <family val="2"/>
        <scheme val="minor"/>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Ano" pivot="0" table="0" count="10" xr9:uid="{E959E7B6-D8DC-4A95-AAB4-6DA46CD13DD3}">
      <tableStyleElement type="wholeTable" dxfId="1301"/>
      <tableStyleElement type="headerRow" dxfId="1300"/>
    </tableStyle>
    <tableStyle name="Ano 2" pivot="0" table="0" count="10" xr9:uid="{70E5F699-A41B-41DA-8ED4-35F12B99345F}">
      <tableStyleElement type="wholeTable" dxfId="1299"/>
      <tableStyleElement type="headerRow" dxfId="1298"/>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556B81"/>
      <rgbColor rgb="00DBA9B3"/>
      <rgbColor rgb="00E1EAEF"/>
      <rgbColor rgb="00800000"/>
      <rgbColor rgb="00660066"/>
      <rgbColor rgb="00FF8080"/>
      <rgbColor rgb="000066CC"/>
      <rgbColor rgb="00CCCCFF"/>
      <rgbColor rgb="00DADAD8"/>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9375E"/>
      <color rgb="FF17375E"/>
      <color rgb="FF4F81BD"/>
      <color rgb="FFFFC000"/>
      <color rgb="FF4572A5"/>
      <color rgb="FF00467A"/>
      <color rgb="FFFFE600"/>
      <color rgb="FFFACBB4"/>
      <color rgb="FFF8AA79"/>
      <color rgb="FFE78C41"/>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Ano">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Ano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pivotCacheDefinition" Target="pivotCache/pivotCacheDefinition1.xml"/><Relationship Id="rId89" Type="http://schemas.microsoft.com/office/2007/relationships/slicerCache" Target="slicerCaches/slicerCache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pivotCacheDefinition" Target="pivotCache/pivotCacheDefinition2.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microsoft.com/office/2007/relationships/slicerCache" Target="slicerCaches/slicerCache3.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microsoft.com/office/2007/relationships/slicerCache" Target="slicerCaches/slicerCache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1.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02.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0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5.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7.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8.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9.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1.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1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13.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1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5.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6.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7.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8.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9.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21.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22.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15.xml"/><Relationship Id="rId1" Type="http://schemas.microsoft.com/office/2011/relationships/chartStyle" Target="style115.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16.xml"/><Relationship Id="rId1" Type="http://schemas.microsoft.com/office/2011/relationships/chartStyle" Target="style116.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130.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117.xml"/><Relationship Id="rId1" Type="http://schemas.microsoft.com/office/2011/relationships/chartStyle" Target="style117.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133.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33.xml"/></Relationships>
</file>

<file path=xl/charts/_rels/chart134.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118.xml"/><Relationship Id="rId1" Type="http://schemas.microsoft.com/office/2011/relationships/chartStyle" Target="style118.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37.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119.xml"/><Relationship Id="rId1" Type="http://schemas.microsoft.com/office/2011/relationships/chartStyle" Target="style119.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120.xml"/><Relationship Id="rId1" Type="http://schemas.microsoft.com/office/2011/relationships/chartStyle" Target="style120.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121.xml"/><Relationship Id="rId1" Type="http://schemas.microsoft.com/office/2011/relationships/chartStyle" Target="style121.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122.xml"/><Relationship Id="rId1" Type="http://schemas.microsoft.com/office/2011/relationships/chartStyle" Target="style122.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123.xml"/><Relationship Id="rId1" Type="http://schemas.microsoft.com/office/2011/relationships/chartStyle" Target="style123.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124.xml"/><Relationship Id="rId1" Type="http://schemas.microsoft.com/office/2011/relationships/chartStyle" Target="style124.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125.xml"/><Relationship Id="rId1" Type="http://schemas.microsoft.com/office/2011/relationships/chartStyle" Target="style125.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126.xml"/><Relationship Id="rId1" Type="http://schemas.microsoft.com/office/2011/relationships/chartStyle" Target="style126.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127.xml"/><Relationship Id="rId1" Type="http://schemas.microsoft.com/office/2011/relationships/chartStyle" Target="style127.xml"/></Relationships>
</file>

<file path=xl/charts/_rels/chart151.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129.xml"/><Relationship Id="rId1" Type="http://schemas.microsoft.com/office/2011/relationships/chartStyle" Target="style12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6.xml"/><Relationship Id="rId1" Type="http://schemas.microsoft.com/office/2011/relationships/chartStyle" Target="style26.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7.xml"/><Relationship Id="rId1" Type="http://schemas.microsoft.com/office/2011/relationships/chartStyle" Target="style27.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8.xml"/><Relationship Id="rId1" Type="http://schemas.microsoft.com/office/2011/relationships/chartStyle" Target="style28.xml"/></Relationships>
</file>

<file path=xl/charts/_rels/chart2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6.xml"/><Relationship Id="rId1" Type="http://schemas.microsoft.com/office/2011/relationships/chartStyle" Target="style56.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57.xml"/><Relationship Id="rId1" Type="http://schemas.microsoft.com/office/2011/relationships/chartStyle" Target="style57.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8.xml"/><Relationship Id="rId1" Type="http://schemas.microsoft.com/office/2011/relationships/chartStyle" Target="style58.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59.xml"/><Relationship Id="rId1" Type="http://schemas.microsoft.com/office/2011/relationships/chartStyle" Target="style59.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61.xml"/><Relationship Id="rId1" Type="http://schemas.microsoft.com/office/2011/relationships/chartStyle" Target="style6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62.xml"/><Relationship Id="rId1" Type="http://schemas.microsoft.com/office/2011/relationships/chartStyle" Target="style6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63.xml"/><Relationship Id="rId1" Type="http://schemas.microsoft.com/office/2011/relationships/chartStyle" Target="style6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64.xml"/><Relationship Id="rId1" Type="http://schemas.microsoft.com/office/2011/relationships/chartStyle" Target="style6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5.xml"/><Relationship Id="rId1" Type="http://schemas.microsoft.com/office/2011/relationships/chartStyle" Target="style65.xml"/></Relationships>
</file>

<file path=xl/charts/_rels/chart7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67.xml"/><Relationship Id="rId1" Type="http://schemas.microsoft.com/office/2011/relationships/chartStyle" Target="style6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68.xml"/><Relationship Id="rId1" Type="http://schemas.microsoft.com/office/2011/relationships/chartStyle" Target="style68.xml"/></Relationships>
</file>

<file path=xl/charts/_rels/chart7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70.xml"/><Relationship Id="rId1" Type="http://schemas.microsoft.com/office/2011/relationships/chartStyle" Target="style70.xml"/></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5.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71.xml"/><Relationship Id="rId1" Type="http://schemas.microsoft.com/office/2011/relationships/chartStyle" Target="style71.xml"/></Relationships>
</file>

<file path=xl/charts/_rels/chart8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76.xml"/><Relationship Id="rId1" Type="http://schemas.microsoft.com/office/2011/relationships/chartStyle" Target="style76.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77.xml"/><Relationship Id="rId1" Type="http://schemas.microsoft.com/office/2011/relationships/chartStyle" Target="style77.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78.xml"/><Relationship Id="rId1" Type="http://schemas.microsoft.com/office/2011/relationships/chartStyle" Target="style7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2.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88.xml"/><Relationship Id="rId1" Type="http://schemas.microsoft.com/office/2011/relationships/chartStyle" Target="style88.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89.xml"/><Relationship Id="rId1" Type="http://schemas.microsoft.com/office/2011/relationships/chartStyle" Target="style89.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90.xml"/><Relationship Id="rId1" Type="http://schemas.microsoft.com/office/2011/relationships/chartStyle" Target="style90.xml"/></Relationships>
</file>

<file path=xl/charts/_rels/chart9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Ex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Ex11.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Ex1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Ex7.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Ex8.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Ex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a:t>
            </a:r>
          </a:p>
        </c:rich>
      </c:tx>
      <c:layout>
        <c:manualLayout>
          <c:xMode val="edge"/>
          <c:yMode val="edge"/>
          <c:x val="0.39621045751633988"/>
          <c:y val="5.16320395738203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manualLayout>
          <c:layoutTarget val="inner"/>
          <c:xMode val="edge"/>
          <c:yMode val="edge"/>
          <c:x val="0.14150091351812158"/>
          <c:y val="0.12376265621471384"/>
          <c:w val="0.81533369443537229"/>
          <c:h val="0.53951055810791471"/>
        </c:manualLayout>
      </c:layout>
      <c:barChart>
        <c:barDir val="col"/>
        <c:grouping val="stacked"/>
        <c:varyColors val="0"/>
        <c:ser>
          <c:idx val="0"/>
          <c:order val="0"/>
          <c:tx>
            <c:strRef>
              <c:f>q1_q2_q5_q6_Fig!$R$7</c:f>
              <c:strCache>
                <c:ptCount val="1"/>
                <c:pt idx="0">
                  <c:v>A</c:v>
                </c:pt>
              </c:strCache>
            </c:strRef>
          </c:tx>
          <c:spPr>
            <a:solidFill>
              <a:schemeClr val="accent1"/>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q1_q2_q5_q6_Fig!$S$7:$AC$7</c:f>
              <c:numCache>
                <c:formatCode>General</c:formatCode>
                <c:ptCount val="11"/>
                <c:pt idx="0">
                  <c:v>13206</c:v>
                </c:pt>
                <c:pt idx="1">
                  <c:v>13885</c:v>
                </c:pt>
                <c:pt idx="2">
                  <c:v>14286</c:v>
                </c:pt>
                <c:pt idx="3">
                  <c:v>14632</c:v>
                </c:pt>
                <c:pt idx="4">
                  <c:v>14726</c:v>
                </c:pt>
                <c:pt idx="5">
                  <c:v>14824</c:v>
                </c:pt>
                <c:pt idx="6">
                  <c:v>14355</c:v>
                </c:pt>
                <c:pt idx="7">
                  <c:v>14520</c:v>
                </c:pt>
                <c:pt idx="8">
                  <c:v>14031</c:v>
                </c:pt>
                <c:pt idx="9">
                  <c:v>14449</c:v>
                </c:pt>
                <c:pt idx="10">
                  <c:v>14667</c:v>
                </c:pt>
              </c:numCache>
            </c:numRef>
          </c:val>
          <c:extLst xmlns:c15="http://schemas.microsoft.com/office/drawing/2012/chart">
            <c:ext xmlns:c16="http://schemas.microsoft.com/office/drawing/2014/chart" uri="{C3380CC4-5D6E-409C-BE32-E72D297353CC}">
              <c16:uniqueId val="{00000000-36A6-4DB9-ACAB-37F6B09D60FE}"/>
            </c:ext>
          </c:extLst>
        </c:ser>
        <c:ser>
          <c:idx val="1"/>
          <c:order val="1"/>
          <c:tx>
            <c:strRef>
              <c:f>q1_q2_q5_q6_Fig!$R$8</c:f>
              <c:strCache>
                <c:ptCount val="1"/>
                <c:pt idx="0">
                  <c:v>B</c:v>
                </c:pt>
              </c:strCache>
            </c:strRef>
          </c:tx>
          <c:spPr>
            <a:solidFill>
              <a:schemeClr val="accent3"/>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q1_q2_q5_q6_Fig!$S$8:$AC$8</c:f>
              <c:numCache>
                <c:formatCode>General</c:formatCode>
                <c:ptCount val="11"/>
                <c:pt idx="0">
                  <c:v>795</c:v>
                </c:pt>
                <c:pt idx="1">
                  <c:v>765</c:v>
                </c:pt>
                <c:pt idx="2">
                  <c:v>762</c:v>
                </c:pt>
                <c:pt idx="3">
                  <c:v>737</c:v>
                </c:pt>
                <c:pt idx="4">
                  <c:v>744</c:v>
                </c:pt>
                <c:pt idx="5">
                  <c:v>728</c:v>
                </c:pt>
                <c:pt idx="6">
                  <c:v>697</c:v>
                </c:pt>
                <c:pt idx="7">
                  <c:v>684</c:v>
                </c:pt>
                <c:pt idx="8">
                  <c:v>657</c:v>
                </c:pt>
                <c:pt idx="9">
                  <c:v>665</c:v>
                </c:pt>
                <c:pt idx="10">
                  <c:v>680</c:v>
                </c:pt>
              </c:numCache>
            </c:numRef>
          </c:val>
          <c:extLst>
            <c:ext xmlns:c16="http://schemas.microsoft.com/office/drawing/2014/chart" uri="{C3380CC4-5D6E-409C-BE32-E72D297353CC}">
              <c16:uniqueId val="{00000001-36A6-4DB9-ACAB-37F6B09D60FE}"/>
            </c:ext>
          </c:extLst>
        </c:ser>
        <c:ser>
          <c:idx val="2"/>
          <c:order val="2"/>
          <c:tx>
            <c:strRef>
              <c:f>q1_q2_q5_q6_Fig!$R$9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q1_q2_q5_q6_Fig!$S$9:$AC$9</c:f>
              <c:numCache>
                <c:formatCode>General</c:formatCode>
                <c:ptCount val="11"/>
                <c:pt idx="0">
                  <c:v>36152</c:v>
                </c:pt>
                <c:pt idx="1">
                  <c:v>36167</c:v>
                </c:pt>
                <c:pt idx="2">
                  <c:v>36172</c:v>
                </c:pt>
                <c:pt idx="3">
                  <c:v>36485</c:v>
                </c:pt>
                <c:pt idx="4">
                  <c:v>36402</c:v>
                </c:pt>
                <c:pt idx="5">
                  <c:v>36243</c:v>
                </c:pt>
                <c:pt idx="6">
                  <c:v>34835</c:v>
                </c:pt>
                <c:pt idx="7">
                  <c:v>34676</c:v>
                </c:pt>
                <c:pt idx="8">
                  <c:v>33711</c:v>
                </c:pt>
                <c:pt idx="9">
                  <c:v>34690</c:v>
                </c:pt>
                <c:pt idx="10">
                  <c:v>34549</c:v>
                </c:pt>
              </c:numCache>
            </c:numRef>
          </c:val>
          <c:extLst>
            <c:ext xmlns:c16="http://schemas.microsoft.com/office/drawing/2014/chart" uri="{C3380CC4-5D6E-409C-BE32-E72D297353CC}">
              <c16:uniqueId val="{00000002-36A6-4DB9-ACAB-37F6B09D60FE}"/>
            </c:ext>
          </c:extLst>
        </c:ser>
        <c:ser>
          <c:idx val="3"/>
          <c:order val="3"/>
          <c:tx>
            <c:strRef>
              <c:f>q1_q2_q5_q6_Fig!$R$10</c:f>
              <c:strCache>
                <c:ptCount val="1"/>
                <c:pt idx="0">
                  <c:v>D</c:v>
                </c:pt>
              </c:strCache>
            </c:strRef>
          </c:tx>
          <c:spPr>
            <a:solidFill>
              <a:schemeClr val="accent1">
                <a:lumMod val="6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q1_q2_q5_q6_Fig!$S$10:$AC$10</c:f>
              <c:numCache>
                <c:formatCode>General</c:formatCode>
                <c:ptCount val="11"/>
                <c:pt idx="0">
                  <c:v>394</c:v>
                </c:pt>
                <c:pt idx="1">
                  <c:v>409</c:v>
                </c:pt>
                <c:pt idx="2">
                  <c:v>429</c:v>
                </c:pt>
                <c:pt idx="3">
                  <c:v>412</c:v>
                </c:pt>
                <c:pt idx="4">
                  <c:v>403</c:v>
                </c:pt>
                <c:pt idx="5">
                  <c:v>388</c:v>
                </c:pt>
                <c:pt idx="6">
                  <c:v>385</c:v>
                </c:pt>
                <c:pt idx="7">
                  <c:v>391</c:v>
                </c:pt>
                <c:pt idx="8">
                  <c:v>387</c:v>
                </c:pt>
                <c:pt idx="9">
                  <c:v>394</c:v>
                </c:pt>
                <c:pt idx="10">
                  <c:v>418</c:v>
                </c:pt>
              </c:numCache>
            </c:numRef>
          </c:val>
          <c:extLst>
            <c:ext xmlns:c16="http://schemas.microsoft.com/office/drawing/2014/chart" uri="{C3380CC4-5D6E-409C-BE32-E72D297353CC}">
              <c16:uniqueId val="{00000003-36A6-4DB9-ACAB-37F6B09D60FE}"/>
            </c:ext>
          </c:extLst>
        </c:ser>
        <c:ser>
          <c:idx val="4"/>
          <c:order val="4"/>
          <c:tx>
            <c:strRef>
              <c:f>q1_q2_q5_q6_Fig!$R$11</c:f>
              <c:strCache>
                <c:ptCount val="1"/>
                <c:pt idx="0">
                  <c:v>E</c:v>
                </c:pt>
              </c:strCache>
            </c:strRef>
          </c:tx>
          <c:spPr>
            <a:solidFill>
              <a:schemeClr val="accent3">
                <a:lumMod val="6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q1_q2_q5_q6_Fig!$S$11:$AC$11</c:f>
              <c:numCache>
                <c:formatCode>General</c:formatCode>
                <c:ptCount val="11"/>
                <c:pt idx="0">
                  <c:v>1177</c:v>
                </c:pt>
                <c:pt idx="1">
                  <c:v>1146</c:v>
                </c:pt>
                <c:pt idx="2">
                  <c:v>1088</c:v>
                </c:pt>
                <c:pt idx="3">
                  <c:v>1094</c:v>
                </c:pt>
                <c:pt idx="4">
                  <c:v>1101</c:v>
                </c:pt>
                <c:pt idx="5">
                  <c:v>1095</c:v>
                </c:pt>
                <c:pt idx="6">
                  <c:v>1141</c:v>
                </c:pt>
                <c:pt idx="7">
                  <c:v>1231</c:v>
                </c:pt>
                <c:pt idx="8">
                  <c:v>1253</c:v>
                </c:pt>
                <c:pt idx="9">
                  <c:v>1259</c:v>
                </c:pt>
                <c:pt idx="10">
                  <c:v>1262</c:v>
                </c:pt>
              </c:numCache>
            </c:numRef>
          </c:val>
          <c:extLst>
            <c:ext xmlns:c16="http://schemas.microsoft.com/office/drawing/2014/chart" uri="{C3380CC4-5D6E-409C-BE32-E72D297353CC}">
              <c16:uniqueId val="{00000004-36A6-4DB9-ACAB-37F6B09D60FE}"/>
            </c:ext>
          </c:extLst>
        </c:ser>
        <c:ser>
          <c:idx val="5"/>
          <c:order val="5"/>
          <c:tx>
            <c:strRef>
              <c:f>q1_q2_q5_q6_Fig!$R$12</c:f>
              <c:strCache>
                <c:ptCount val="1"/>
                <c:pt idx="0">
                  <c:v>F</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q1_q2_q5_q6_Fig!$S$12:$AC$12</c:f>
              <c:numCache>
                <c:formatCode>General</c:formatCode>
                <c:ptCount val="11"/>
                <c:pt idx="0">
                  <c:v>28828</c:v>
                </c:pt>
                <c:pt idx="1">
                  <c:v>28421</c:v>
                </c:pt>
                <c:pt idx="2">
                  <c:v>28140</c:v>
                </c:pt>
                <c:pt idx="3">
                  <c:v>28678</c:v>
                </c:pt>
                <c:pt idx="4">
                  <c:v>29363</c:v>
                </c:pt>
                <c:pt idx="5">
                  <c:v>30329</c:v>
                </c:pt>
                <c:pt idx="6">
                  <c:v>30816</c:v>
                </c:pt>
                <c:pt idx="7">
                  <c:v>32069</c:v>
                </c:pt>
                <c:pt idx="8">
                  <c:v>32036</c:v>
                </c:pt>
                <c:pt idx="9">
                  <c:v>34322</c:v>
                </c:pt>
                <c:pt idx="10">
                  <c:v>35793</c:v>
                </c:pt>
              </c:numCache>
            </c:numRef>
          </c:val>
          <c:extLst>
            <c:ext xmlns:c16="http://schemas.microsoft.com/office/drawing/2014/chart" uri="{C3380CC4-5D6E-409C-BE32-E72D297353CC}">
              <c16:uniqueId val="{00000005-36A6-4DB9-ACAB-37F6B09D60FE}"/>
            </c:ext>
          </c:extLst>
        </c:ser>
        <c:ser>
          <c:idx val="6"/>
          <c:order val="6"/>
          <c:tx>
            <c:strRef>
              <c:f>q1_q2_q5_q6_Fig!$R$13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q1_q2_q5_q6_Fig!$S$13:$AC$13</c:f>
              <c:numCache>
                <c:formatCode>General</c:formatCode>
                <c:ptCount val="11"/>
                <c:pt idx="0">
                  <c:v>94026</c:v>
                </c:pt>
                <c:pt idx="1">
                  <c:v>94440</c:v>
                </c:pt>
                <c:pt idx="2">
                  <c:v>94937</c:v>
                </c:pt>
                <c:pt idx="3">
                  <c:v>94933</c:v>
                </c:pt>
                <c:pt idx="4">
                  <c:v>94292</c:v>
                </c:pt>
                <c:pt idx="5">
                  <c:v>93805</c:v>
                </c:pt>
                <c:pt idx="6">
                  <c:v>90517</c:v>
                </c:pt>
                <c:pt idx="7">
                  <c:v>89750</c:v>
                </c:pt>
                <c:pt idx="8">
                  <c:v>87838</c:v>
                </c:pt>
                <c:pt idx="9">
                  <c:v>90136</c:v>
                </c:pt>
                <c:pt idx="10">
                  <c:v>90639</c:v>
                </c:pt>
              </c:numCache>
            </c:numRef>
          </c:val>
          <c:extLst>
            <c:ext xmlns:c16="http://schemas.microsoft.com/office/drawing/2014/chart" uri="{C3380CC4-5D6E-409C-BE32-E72D297353CC}">
              <c16:uniqueId val="{00000006-36A6-4DB9-ACAB-37F6B09D60FE}"/>
            </c:ext>
          </c:extLst>
        </c:ser>
        <c:ser>
          <c:idx val="7"/>
          <c:order val="7"/>
          <c:tx>
            <c:strRef>
              <c:f>q1_q2_q5_q6_Fig!$R$14</c:f>
              <c:strCache>
                <c:ptCount val="1"/>
                <c:pt idx="0">
                  <c:v>H</c:v>
                </c:pt>
              </c:strCache>
            </c:strRef>
          </c:tx>
          <c:spPr>
            <a:solidFill>
              <a:schemeClr val="accent3">
                <a:lumMod val="80000"/>
                <a:lumOff val="2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q1_q2_q5_q6_Fig!$S$14:$AC$14</c:f>
              <c:numCache>
                <c:formatCode>General</c:formatCode>
                <c:ptCount val="11"/>
                <c:pt idx="0">
                  <c:v>12579</c:v>
                </c:pt>
                <c:pt idx="1">
                  <c:v>12572</c:v>
                </c:pt>
                <c:pt idx="2">
                  <c:v>12496</c:v>
                </c:pt>
                <c:pt idx="3">
                  <c:v>12468</c:v>
                </c:pt>
                <c:pt idx="4">
                  <c:v>12539</c:v>
                </c:pt>
                <c:pt idx="5">
                  <c:v>12486</c:v>
                </c:pt>
                <c:pt idx="6">
                  <c:v>12253</c:v>
                </c:pt>
                <c:pt idx="7">
                  <c:v>12258</c:v>
                </c:pt>
                <c:pt idx="8">
                  <c:v>11760</c:v>
                </c:pt>
                <c:pt idx="9">
                  <c:v>12360</c:v>
                </c:pt>
                <c:pt idx="10">
                  <c:v>13020</c:v>
                </c:pt>
              </c:numCache>
            </c:numRef>
          </c:val>
          <c:extLst>
            <c:ext xmlns:c16="http://schemas.microsoft.com/office/drawing/2014/chart" uri="{C3380CC4-5D6E-409C-BE32-E72D297353CC}">
              <c16:uniqueId val="{00000007-36A6-4DB9-ACAB-37F6B09D60FE}"/>
            </c:ext>
          </c:extLst>
        </c:ser>
        <c:ser>
          <c:idx val="8"/>
          <c:order val="8"/>
          <c:tx>
            <c:strRef>
              <c:f>q1_q2_q5_q6_Fig!$R$15</c:f>
              <c:strCache>
                <c:ptCount val="1"/>
                <c:pt idx="0">
                  <c:v>I</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q1_q2_q5_q6_Fig!$S$15:$AC$15</c:f>
              <c:numCache>
                <c:formatCode>General</c:formatCode>
                <c:ptCount val="11"/>
                <c:pt idx="0">
                  <c:v>33970</c:v>
                </c:pt>
                <c:pt idx="1">
                  <c:v>34983</c:v>
                </c:pt>
                <c:pt idx="2">
                  <c:v>36106</c:v>
                </c:pt>
                <c:pt idx="3">
                  <c:v>37220</c:v>
                </c:pt>
                <c:pt idx="4">
                  <c:v>38276</c:v>
                </c:pt>
                <c:pt idx="5">
                  <c:v>39308</c:v>
                </c:pt>
                <c:pt idx="6">
                  <c:v>38184</c:v>
                </c:pt>
                <c:pt idx="7">
                  <c:v>37633</c:v>
                </c:pt>
                <c:pt idx="8">
                  <c:v>36899</c:v>
                </c:pt>
                <c:pt idx="9">
                  <c:v>39006</c:v>
                </c:pt>
                <c:pt idx="10">
                  <c:v>40412</c:v>
                </c:pt>
              </c:numCache>
            </c:numRef>
          </c:val>
          <c:extLst>
            <c:ext xmlns:c16="http://schemas.microsoft.com/office/drawing/2014/chart" uri="{C3380CC4-5D6E-409C-BE32-E72D297353CC}">
              <c16:uniqueId val="{00000008-36A6-4DB9-ACAB-37F6B09D60FE}"/>
            </c:ext>
          </c:extLst>
        </c:ser>
        <c:ser>
          <c:idx val="9"/>
          <c:order val="9"/>
          <c:tx>
            <c:strRef>
              <c:f>q1_q2_q5_q6_Fig!$R$16</c:f>
              <c:strCache>
                <c:ptCount val="1"/>
                <c:pt idx="0">
                  <c:v>J</c:v>
                </c:pt>
              </c:strCache>
            </c:strRef>
          </c:tx>
          <c:spPr>
            <a:solidFill>
              <a:schemeClr val="accent1">
                <a:lumMod val="8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q1_q2_q5_q6_Fig!$S$16:$AC$16</c:f>
              <c:numCache>
                <c:formatCode>General</c:formatCode>
                <c:ptCount val="11"/>
                <c:pt idx="0">
                  <c:v>5148</c:v>
                </c:pt>
                <c:pt idx="1">
                  <c:v>5434</c:v>
                </c:pt>
                <c:pt idx="2">
                  <c:v>5478</c:v>
                </c:pt>
                <c:pt idx="3">
                  <c:v>5601</c:v>
                </c:pt>
                <c:pt idx="4">
                  <c:v>5842</c:v>
                </c:pt>
                <c:pt idx="5">
                  <c:v>6025</c:v>
                </c:pt>
                <c:pt idx="6">
                  <c:v>6100</c:v>
                </c:pt>
                <c:pt idx="7">
                  <c:v>6379</c:v>
                </c:pt>
                <c:pt idx="8">
                  <c:v>6485</c:v>
                </c:pt>
                <c:pt idx="9">
                  <c:v>7163</c:v>
                </c:pt>
                <c:pt idx="10">
                  <c:v>7620</c:v>
                </c:pt>
              </c:numCache>
            </c:numRef>
          </c:val>
          <c:extLst>
            <c:ext xmlns:c16="http://schemas.microsoft.com/office/drawing/2014/chart" uri="{C3380CC4-5D6E-409C-BE32-E72D297353CC}">
              <c16:uniqueId val="{00000009-36A6-4DB9-ACAB-37F6B09D60FE}"/>
            </c:ext>
          </c:extLst>
        </c:ser>
        <c:ser>
          <c:idx val="10"/>
          <c:order val="10"/>
          <c:tx>
            <c:strRef>
              <c:f>q1_q2_q5_q6_Fig!$R$17</c:f>
              <c:strCache>
                <c:ptCount val="1"/>
                <c:pt idx="0">
                  <c:v>K</c:v>
                </c:pt>
              </c:strCache>
            </c:strRef>
          </c:tx>
          <c:spPr>
            <a:solidFill>
              <a:schemeClr val="accent3">
                <a:lumMod val="8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q1_q2_q5_q6_Fig!$S$17:$AC$17</c:f>
              <c:numCache>
                <c:formatCode>General</c:formatCode>
                <c:ptCount val="11"/>
                <c:pt idx="0">
                  <c:v>10077</c:v>
                </c:pt>
                <c:pt idx="1">
                  <c:v>9931</c:v>
                </c:pt>
                <c:pt idx="2">
                  <c:v>9555</c:v>
                </c:pt>
                <c:pt idx="3">
                  <c:v>9207</c:v>
                </c:pt>
                <c:pt idx="4">
                  <c:v>8732</c:v>
                </c:pt>
                <c:pt idx="5">
                  <c:v>8475</c:v>
                </c:pt>
                <c:pt idx="6">
                  <c:v>7752</c:v>
                </c:pt>
                <c:pt idx="7">
                  <c:v>8108</c:v>
                </c:pt>
                <c:pt idx="8">
                  <c:v>7672</c:v>
                </c:pt>
                <c:pt idx="9">
                  <c:v>7674</c:v>
                </c:pt>
                <c:pt idx="10">
                  <c:v>7715</c:v>
                </c:pt>
              </c:numCache>
            </c:numRef>
          </c:val>
          <c:extLst>
            <c:ext xmlns:c16="http://schemas.microsoft.com/office/drawing/2014/chart" uri="{C3380CC4-5D6E-409C-BE32-E72D297353CC}">
              <c16:uniqueId val="{0000000A-36A6-4DB9-ACAB-37F6B09D60FE}"/>
            </c:ext>
          </c:extLst>
        </c:ser>
        <c:ser>
          <c:idx val="11"/>
          <c:order val="11"/>
          <c:tx>
            <c:strRef>
              <c:f>q1_q2_q5_q6_Fig!$R$18</c:f>
              <c:strCache>
                <c:ptCount val="1"/>
                <c:pt idx="0">
                  <c:v>L</c:v>
                </c:pt>
              </c:strCache>
            </c:strRef>
          </c:tx>
          <c:spPr>
            <a:solidFill>
              <a:schemeClr val="accent5">
                <a:lumMod val="8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q1_q2_q5_q6_Fig!$S$18:$AC$18</c:f>
              <c:numCache>
                <c:formatCode>General</c:formatCode>
                <c:ptCount val="11"/>
                <c:pt idx="0">
                  <c:v>6341</c:v>
                </c:pt>
                <c:pt idx="1">
                  <c:v>6647</c:v>
                </c:pt>
                <c:pt idx="2">
                  <c:v>6971</c:v>
                </c:pt>
                <c:pt idx="3">
                  <c:v>7401</c:v>
                </c:pt>
                <c:pt idx="4">
                  <c:v>8035</c:v>
                </c:pt>
                <c:pt idx="5">
                  <c:v>8846</c:v>
                </c:pt>
                <c:pt idx="6">
                  <c:v>9215</c:v>
                </c:pt>
                <c:pt idx="7">
                  <c:v>9861</c:v>
                </c:pt>
                <c:pt idx="8">
                  <c:v>10096</c:v>
                </c:pt>
                <c:pt idx="9">
                  <c:v>10812</c:v>
                </c:pt>
                <c:pt idx="10">
                  <c:v>11567</c:v>
                </c:pt>
              </c:numCache>
            </c:numRef>
          </c:val>
          <c:extLst>
            <c:ext xmlns:c16="http://schemas.microsoft.com/office/drawing/2014/chart" uri="{C3380CC4-5D6E-409C-BE32-E72D297353CC}">
              <c16:uniqueId val="{0000000B-36A6-4DB9-ACAB-37F6B09D60FE}"/>
            </c:ext>
          </c:extLst>
        </c:ser>
        <c:ser>
          <c:idx val="12"/>
          <c:order val="12"/>
          <c:tx>
            <c:strRef>
              <c:f>q1_q2_q5_q6_Fig!$R$19</c:f>
              <c:strCache>
                <c:ptCount val="1"/>
                <c:pt idx="0">
                  <c:v>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q1_q2_q5_q6_Fig!$S$19:$AC$19</c:f>
              <c:numCache>
                <c:formatCode>General</c:formatCode>
                <c:ptCount val="11"/>
                <c:pt idx="0">
                  <c:v>21901</c:v>
                </c:pt>
                <c:pt idx="1">
                  <c:v>22569</c:v>
                </c:pt>
                <c:pt idx="2">
                  <c:v>22865</c:v>
                </c:pt>
                <c:pt idx="3">
                  <c:v>23189</c:v>
                </c:pt>
                <c:pt idx="4">
                  <c:v>23749</c:v>
                </c:pt>
                <c:pt idx="5">
                  <c:v>24467</c:v>
                </c:pt>
                <c:pt idx="6">
                  <c:v>24250</c:v>
                </c:pt>
                <c:pt idx="7">
                  <c:v>24826</c:v>
                </c:pt>
                <c:pt idx="8">
                  <c:v>24675</c:v>
                </c:pt>
                <c:pt idx="9">
                  <c:v>25874</c:v>
                </c:pt>
                <c:pt idx="10">
                  <c:v>26684</c:v>
                </c:pt>
              </c:numCache>
            </c:numRef>
          </c:val>
          <c:extLst>
            <c:ext xmlns:c16="http://schemas.microsoft.com/office/drawing/2014/chart" uri="{C3380CC4-5D6E-409C-BE32-E72D297353CC}">
              <c16:uniqueId val="{0000000C-36A6-4DB9-ACAB-37F6B09D60FE}"/>
            </c:ext>
          </c:extLst>
        </c:ser>
        <c:ser>
          <c:idx val="13"/>
          <c:order val="13"/>
          <c:tx>
            <c:strRef>
              <c:f>q1_q2_q5_q6_Fig!$R$20</c:f>
              <c:strCache>
                <c:ptCount val="1"/>
                <c:pt idx="0">
                  <c:v>N</c:v>
                </c:pt>
              </c:strCache>
            </c:strRef>
          </c:tx>
          <c:spPr>
            <a:solidFill>
              <a:schemeClr val="accent3">
                <a:lumMod val="60000"/>
                <a:lumOff val="4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q1_q2_q5_q6_Fig!$S$20:$AC$20</c:f>
              <c:numCache>
                <c:formatCode>General</c:formatCode>
                <c:ptCount val="11"/>
                <c:pt idx="0">
                  <c:v>8739</c:v>
                </c:pt>
                <c:pt idx="1">
                  <c:v>8861</c:v>
                </c:pt>
                <c:pt idx="2">
                  <c:v>8995</c:v>
                </c:pt>
                <c:pt idx="3">
                  <c:v>9301</c:v>
                </c:pt>
                <c:pt idx="4">
                  <c:v>9347</c:v>
                </c:pt>
                <c:pt idx="5">
                  <c:v>9298</c:v>
                </c:pt>
                <c:pt idx="6">
                  <c:v>9391</c:v>
                </c:pt>
                <c:pt idx="7">
                  <c:v>9385</c:v>
                </c:pt>
                <c:pt idx="8">
                  <c:v>8843</c:v>
                </c:pt>
                <c:pt idx="9">
                  <c:v>9894</c:v>
                </c:pt>
                <c:pt idx="10">
                  <c:v>10333</c:v>
                </c:pt>
              </c:numCache>
            </c:numRef>
          </c:val>
          <c:extLst>
            <c:ext xmlns:c16="http://schemas.microsoft.com/office/drawing/2014/chart" uri="{C3380CC4-5D6E-409C-BE32-E72D297353CC}">
              <c16:uniqueId val="{0000000D-36A6-4DB9-ACAB-37F6B09D60FE}"/>
            </c:ext>
          </c:extLst>
        </c:ser>
        <c:ser>
          <c:idx val="14"/>
          <c:order val="14"/>
          <c:tx>
            <c:strRef>
              <c:f>q1_q2_q5_q6_Fig!$R$21</c:f>
              <c:strCache>
                <c:ptCount val="1"/>
                <c:pt idx="0">
                  <c:v>O</c:v>
                </c:pt>
              </c:strCache>
            </c:strRef>
          </c:tx>
          <c:spPr>
            <a:solidFill>
              <a:schemeClr val="accent5">
                <a:lumMod val="60000"/>
                <a:lumOff val="4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q1_q2_q5_q6_Fig!$S$21:$AC$21</c:f>
              <c:numCache>
                <c:formatCode>General</c:formatCode>
                <c:ptCount val="11"/>
                <c:pt idx="0">
                  <c:v>683</c:v>
                </c:pt>
                <c:pt idx="1">
                  <c:v>686</c:v>
                </c:pt>
                <c:pt idx="2">
                  <c:v>660</c:v>
                </c:pt>
                <c:pt idx="3">
                  <c:v>627</c:v>
                </c:pt>
                <c:pt idx="4">
                  <c:v>630</c:v>
                </c:pt>
                <c:pt idx="5">
                  <c:v>601</c:v>
                </c:pt>
                <c:pt idx="6">
                  <c:v>613</c:v>
                </c:pt>
                <c:pt idx="7">
                  <c:v>624</c:v>
                </c:pt>
                <c:pt idx="8">
                  <c:v>590</c:v>
                </c:pt>
                <c:pt idx="9">
                  <c:v>574</c:v>
                </c:pt>
                <c:pt idx="10">
                  <c:v>592</c:v>
                </c:pt>
              </c:numCache>
            </c:numRef>
          </c:val>
          <c:extLst>
            <c:ext xmlns:c16="http://schemas.microsoft.com/office/drawing/2014/chart" uri="{C3380CC4-5D6E-409C-BE32-E72D297353CC}">
              <c16:uniqueId val="{0000000E-36A6-4DB9-ACAB-37F6B09D60FE}"/>
            </c:ext>
          </c:extLst>
        </c:ser>
        <c:ser>
          <c:idx val="15"/>
          <c:order val="15"/>
          <c:tx>
            <c:strRef>
              <c:f>q1_q2_q5_q6_Fig!$R$22</c:f>
              <c:strCache>
                <c:ptCount val="1"/>
                <c:pt idx="0">
                  <c:v>P</c:v>
                </c:pt>
              </c:strCache>
            </c:strRef>
          </c:tx>
          <c:spPr>
            <a:solidFill>
              <a:schemeClr val="accent1">
                <a:lumMod val="5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q1_q2_q5_q6_Fig!$S$22:$AC$22</c:f>
              <c:numCache>
                <c:formatCode>General</c:formatCode>
                <c:ptCount val="11"/>
                <c:pt idx="0">
                  <c:v>4337</c:v>
                </c:pt>
                <c:pt idx="1">
                  <c:v>4573</c:v>
                </c:pt>
                <c:pt idx="2">
                  <c:v>4701</c:v>
                </c:pt>
                <c:pt idx="3">
                  <c:v>4675</c:v>
                </c:pt>
                <c:pt idx="4">
                  <c:v>4647</c:v>
                </c:pt>
                <c:pt idx="5">
                  <c:v>4681</c:v>
                </c:pt>
                <c:pt idx="6">
                  <c:v>4531</c:v>
                </c:pt>
                <c:pt idx="7">
                  <c:v>4576</c:v>
                </c:pt>
                <c:pt idx="8">
                  <c:v>4414</c:v>
                </c:pt>
                <c:pt idx="9">
                  <c:v>4635</c:v>
                </c:pt>
                <c:pt idx="10">
                  <c:v>4808</c:v>
                </c:pt>
              </c:numCache>
            </c:numRef>
          </c:val>
          <c:extLst>
            <c:ext xmlns:c16="http://schemas.microsoft.com/office/drawing/2014/chart" uri="{C3380CC4-5D6E-409C-BE32-E72D297353CC}">
              <c16:uniqueId val="{0000000F-36A6-4DB9-ACAB-37F6B09D60FE}"/>
            </c:ext>
          </c:extLst>
        </c:ser>
        <c:ser>
          <c:idx val="16"/>
          <c:order val="16"/>
          <c:tx>
            <c:strRef>
              <c:f>q1_q2_q5_q6_Fig!$R$23</c:f>
              <c:strCache>
                <c:ptCount val="1"/>
                <c:pt idx="0">
                  <c:v>Q</c:v>
                </c:pt>
              </c:strCache>
            </c:strRef>
          </c:tx>
          <c:spPr>
            <a:solidFill>
              <a:schemeClr val="accent3">
                <a:lumMod val="5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q1_q2_q5_q6_Fig!$S$23:$AC$23</c:f>
              <c:numCache>
                <c:formatCode>General</c:formatCode>
                <c:ptCount val="11"/>
                <c:pt idx="0">
                  <c:v>18120</c:v>
                </c:pt>
                <c:pt idx="1">
                  <c:v>18418</c:v>
                </c:pt>
                <c:pt idx="2">
                  <c:v>18727</c:v>
                </c:pt>
                <c:pt idx="3">
                  <c:v>19044</c:v>
                </c:pt>
                <c:pt idx="4">
                  <c:v>19162</c:v>
                </c:pt>
                <c:pt idx="5">
                  <c:v>19323</c:v>
                </c:pt>
                <c:pt idx="6">
                  <c:v>19089</c:v>
                </c:pt>
                <c:pt idx="7">
                  <c:v>19487</c:v>
                </c:pt>
                <c:pt idx="8">
                  <c:v>19087</c:v>
                </c:pt>
                <c:pt idx="9">
                  <c:v>20082</c:v>
                </c:pt>
                <c:pt idx="10">
                  <c:v>20724</c:v>
                </c:pt>
              </c:numCache>
            </c:numRef>
          </c:val>
          <c:extLst>
            <c:ext xmlns:c16="http://schemas.microsoft.com/office/drawing/2014/chart" uri="{C3380CC4-5D6E-409C-BE32-E72D297353CC}">
              <c16:uniqueId val="{00000010-36A6-4DB9-ACAB-37F6B09D60FE}"/>
            </c:ext>
          </c:extLst>
        </c:ser>
        <c:ser>
          <c:idx val="17"/>
          <c:order val="17"/>
          <c:tx>
            <c:strRef>
              <c:f>q1_q2_q5_q6_Fig!$R$24</c:f>
              <c:strCache>
                <c:ptCount val="1"/>
                <c:pt idx="0">
                  <c:v>R</c:v>
                </c:pt>
              </c:strCache>
            </c:strRef>
          </c:tx>
          <c:spPr>
            <a:solidFill>
              <a:schemeClr val="accent5">
                <a:lumMod val="5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q1_q2_q5_q6_Fig!$S$24:$AC$24</c:f>
              <c:numCache>
                <c:formatCode>General</c:formatCode>
                <c:ptCount val="11"/>
                <c:pt idx="0">
                  <c:v>3274</c:v>
                </c:pt>
                <c:pt idx="1">
                  <c:v>3448</c:v>
                </c:pt>
                <c:pt idx="2">
                  <c:v>3581</c:v>
                </c:pt>
                <c:pt idx="3">
                  <c:v>3745</c:v>
                </c:pt>
                <c:pt idx="4">
                  <c:v>3985</c:v>
                </c:pt>
                <c:pt idx="5">
                  <c:v>4371</c:v>
                </c:pt>
                <c:pt idx="6">
                  <c:v>4404</c:v>
                </c:pt>
                <c:pt idx="7">
                  <c:v>4397</c:v>
                </c:pt>
                <c:pt idx="8">
                  <c:v>4424</c:v>
                </c:pt>
                <c:pt idx="9">
                  <c:v>4761</c:v>
                </c:pt>
                <c:pt idx="10">
                  <c:v>5060</c:v>
                </c:pt>
              </c:numCache>
            </c:numRef>
          </c:val>
          <c:extLst>
            <c:ext xmlns:c16="http://schemas.microsoft.com/office/drawing/2014/chart" uri="{C3380CC4-5D6E-409C-BE32-E72D297353CC}">
              <c16:uniqueId val="{00000011-36A6-4DB9-ACAB-37F6B09D60FE}"/>
            </c:ext>
          </c:extLst>
        </c:ser>
        <c:ser>
          <c:idx val="18"/>
          <c:order val="18"/>
          <c:tx>
            <c:strRef>
              <c:f>q1_q2_q5_q6_Fig!$R$25</c:f>
              <c:strCache>
                <c:ptCount val="1"/>
                <c:pt idx="0">
                  <c:v>S</c:v>
                </c:pt>
              </c:strCache>
            </c:strRef>
          </c:tx>
          <c:spPr>
            <a:solidFill>
              <a:schemeClr val="accent1">
                <a:lumMod val="70000"/>
                <a:lumOff val="3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q1_q2_q5_q6_Fig!$S$25:$AC$25</c:f>
              <c:numCache>
                <c:formatCode>General</c:formatCode>
                <c:ptCount val="11"/>
                <c:pt idx="0">
                  <c:v>15353</c:v>
                </c:pt>
                <c:pt idx="1">
                  <c:v>15515</c:v>
                </c:pt>
                <c:pt idx="2">
                  <c:v>15537</c:v>
                </c:pt>
                <c:pt idx="3">
                  <c:v>15467</c:v>
                </c:pt>
                <c:pt idx="4">
                  <c:v>15306</c:v>
                </c:pt>
                <c:pt idx="5">
                  <c:v>15360</c:v>
                </c:pt>
                <c:pt idx="6">
                  <c:v>14434</c:v>
                </c:pt>
                <c:pt idx="7">
                  <c:v>14086</c:v>
                </c:pt>
                <c:pt idx="8">
                  <c:v>13379</c:v>
                </c:pt>
                <c:pt idx="9">
                  <c:v>13917</c:v>
                </c:pt>
                <c:pt idx="10">
                  <c:v>13804</c:v>
                </c:pt>
              </c:numCache>
            </c:numRef>
          </c:val>
          <c:extLst>
            <c:ext xmlns:c16="http://schemas.microsoft.com/office/drawing/2014/chart" uri="{C3380CC4-5D6E-409C-BE32-E72D297353CC}">
              <c16:uniqueId val="{00000012-36A6-4DB9-ACAB-37F6B09D60FE}"/>
            </c:ext>
          </c:extLst>
        </c:ser>
        <c:ser>
          <c:idx val="19"/>
          <c:order val="19"/>
          <c:tx>
            <c:strRef>
              <c:f>q1_q2_q5_q6_Fig!$R$26</c:f>
              <c:strCache>
                <c:ptCount val="1"/>
                <c:pt idx="0">
                  <c:v>U</c:v>
                </c:pt>
              </c:strCache>
            </c:strRef>
          </c:tx>
          <c:spPr>
            <a:solidFill>
              <a:schemeClr val="accent3">
                <a:lumMod val="70000"/>
                <a:lumOff val="3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q1_q2_q5_q6_Fig!$S$26:$AC$26</c:f>
              <c:numCache>
                <c:formatCode>General</c:formatCode>
                <c:ptCount val="11"/>
                <c:pt idx="0">
                  <c:v>12</c:v>
                </c:pt>
                <c:pt idx="1">
                  <c:v>16</c:v>
                </c:pt>
                <c:pt idx="2">
                  <c:v>14</c:v>
                </c:pt>
                <c:pt idx="3">
                  <c:v>17</c:v>
                </c:pt>
                <c:pt idx="4">
                  <c:v>14</c:v>
                </c:pt>
                <c:pt idx="5">
                  <c:v>15</c:v>
                </c:pt>
                <c:pt idx="6">
                  <c:v>16</c:v>
                </c:pt>
                <c:pt idx="7">
                  <c:v>18</c:v>
                </c:pt>
                <c:pt idx="8">
                  <c:v>17</c:v>
                </c:pt>
                <c:pt idx="9">
                  <c:v>16</c:v>
                </c:pt>
                <c:pt idx="10">
                  <c:v>17</c:v>
                </c:pt>
              </c:numCache>
            </c:numRef>
          </c:val>
          <c:extLst>
            <c:ext xmlns:c16="http://schemas.microsoft.com/office/drawing/2014/chart" uri="{C3380CC4-5D6E-409C-BE32-E72D297353CC}">
              <c16:uniqueId val="{00000013-36A6-4DB9-ACAB-37F6B09D60FE}"/>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3.011737747848859E-2"/>
          <c:y val="0.78282191025325509"/>
          <c:w val="0.95120931537598208"/>
          <c:h val="9.9024248004910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015773028371451"/>
          <c:y val="0.22899703122140164"/>
          <c:w val="0.56635020622422194"/>
          <c:h val="0.77100296877859842"/>
        </c:manualLayout>
      </c:layout>
      <c:barChart>
        <c:barDir val="bar"/>
        <c:grouping val="clustered"/>
        <c:varyColors val="0"/>
        <c:ser>
          <c:idx val="0"/>
          <c:order val="0"/>
          <c:tx>
            <c:strRef>
              <c:f>q22_q23_q33_q34_Fig!$BM$20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q22_q23_q33_q34_Fig!$BL$21:$BL$24</c:f>
              <c:strCache>
                <c:ptCount val="4"/>
                <c:pt idx="0">
                  <c:v>Micro (1-9 pessoas)</c:v>
                </c:pt>
                <c:pt idx="1">
                  <c:v>Pequenos (10 - 49 pessoas)</c:v>
                </c:pt>
                <c:pt idx="2">
                  <c:v>Médios (50 - 249 pessoas)</c:v>
                </c:pt>
                <c:pt idx="3">
                  <c:v>Grandes (250 ou + pessoas)</c:v>
                </c:pt>
              </c:strCache>
            </c:strRef>
          </c:cat>
          <c:val>
            <c:numRef>
              <c:f>q22_q23_q33_q34_Fig!$BM$21:$BM$24</c:f>
              <c:numCache>
                <c:formatCode>#,##0.00\ "€"</c:formatCode>
                <c:ptCount val="4"/>
                <c:pt idx="0">
                  <c:v>-1048.4036983919893</c:v>
                </c:pt>
                <c:pt idx="1">
                  <c:v>-1203.2959203772139</c:v>
                </c:pt>
                <c:pt idx="2">
                  <c:v>-1420.8742406930719</c:v>
                </c:pt>
                <c:pt idx="3">
                  <c:v>-1560.0132030190657</c:v>
                </c:pt>
              </c:numCache>
            </c:numRef>
          </c:val>
          <c:extLst>
            <c:ext xmlns:c16="http://schemas.microsoft.com/office/drawing/2014/chart" uri="{C3380CC4-5D6E-409C-BE32-E72D297353CC}">
              <c16:uniqueId val="{00000000-C062-4168-B10E-D6E99FAE3C23}"/>
            </c:ext>
          </c:extLst>
        </c:ser>
        <c:ser>
          <c:idx val="1"/>
          <c:order val="1"/>
          <c:tx>
            <c:strRef>
              <c:f>q22_q23_q33_q34_Fig!$BN$20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q22_q23_q33_q34_Fig!$BL$21:$BL$24</c:f>
              <c:strCache>
                <c:ptCount val="4"/>
                <c:pt idx="0">
                  <c:v>Micro (1-9 pessoas)</c:v>
                </c:pt>
                <c:pt idx="1">
                  <c:v>Pequenos (10 - 49 pessoas)</c:v>
                </c:pt>
                <c:pt idx="2">
                  <c:v>Médios (50 - 249 pessoas)</c:v>
                </c:pt>
                <c:pt idx="3">
                  <c:v>Grandes (250 ou + pessoas)</c:v>
                </c:pt>
              </c:strCache>
            </c:strRef>
          </c:cat>
          <c:val>
            <c:numRef>
              <c:f>q22_q23_q33_q34_Fig!$BN$21:$BN$24</c:f>
              <c:numCache>
                <c:formatCode>#,##0.00\ "€"</c:formatCode>
                <c:ptCount val="4"/>
                <c:pt idx="0">
                  <c:v>-1220.6117495025931</c:v>
                </c:pt>
                <c:pt idx="1">
                  <c:v>-1447.1910944802858</c:v>
                </c:pt>
                <c:pt idx="2">
                  <c:v>-1750.9927369332383</c:v>
                </c:pt>
                <c:pt idx="3">
                  <c:v>-1974.5494799041089</c:v>
                </c:pt>
              </c:numCache>
            </c:numRef>
          </c:val>
          <c:extLst>
            <c:ext xmlns:c16="http://schemas.microsoft.com/office/drawing/2014/chart" uri="{C3380CC4-5D6E-409C-BE32-E72D297353CC}">
              <c16:uniqueId val="{00000001-C062-4168-B10E-D6E99FAE3C23}"/>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q22_q23_q33_q34_Fig!$BO$20</c:f>
              <c:strCache>
                <c:ptCount val="1"/>
                <c:pt idx="0">
                  <c:v>Base - M</c:v>
                </c:pt>
              </c:strCache>
            </c:strRef>
          </c:tx>
          <c:spPr>
            <a:solidFill>
              <a:srgbClr val="95B3D7"/>
            </a:solidFill>
          </c:spPr>
          <c:invertIfNegative val="0"/>
          <c:dLbls>
            <c:spPr>
              <a:noFill/>
              <a:ln>
                <a:noFill/>
              </a:ln>
              <a:effectLst/>
            </c:spPr>
            <c:txPr>
              <a:bodyPr wrap="squar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q22_q23_q33_q34_Fig!$BL$21:$BL$24</c:f>
              <c:strCache>
                <c:ptCount val="4"/>
                <c:pt idx="0">
                  <c:v>Micro (1-9 pessoas)</c:v>
                </c:pt>
                <c:pt idx="1">
                  <c:v>Pequenos (10 - 49 pessoas)</c:v>
                </c:pt>
                <c:pt idx="2">
                  <c:v>Médios (50 - 249 pessoas)</c:v>
                </c:pt>
                <c:pt idx="3">
                  <c:v>Grandes (250 ou + pessoas)</c:v>
                </c:pt>
              </c:strCache>
            </c:strRef>
          </c:cat>
          <c:val>
            <c:numRef>
              <c:f>q22_q23_q33_q34_Fig!$BO$21:$BO$24</c:f>
              <c:numCache>
                <c:formatCode>#,##0.00\ "€"</c:formatCode>
                <c:ptCount val="4"/>
                <c:pt idx="0">
                  <c:v>967.10662709454243</c:v>
                </c:pt>
                <c:pt idx="1">
                  <c:v>1066.3572698810815</c:v>
                </c:pt>
                <c:pt idx="2">
                  <c:v>1212.2071847863967</c:v>
                </c:pt>
                <c:pt idx="3">
                  <c:v>1331.3685229934149</c:v>
                </c:pt>
              </c:numCache>
            </c:numRef>
          </c:val>
          <c:extLst>
            <c:ext xmlns:c16="http://schemas.microsoft.com/office/drawing/2014/chart" uri="{C3380CC4-5D6E-409C-BE32-E72D297353CC}">
              <c16:uniqueId val="{00000002-C062-4168-B10E-D6E99FAE3C23}"/>
            </c:ext>
          </c:extLst>
        </c:ser>
        <c:ser>
          <c:idx val="3"/>
          <c:order val="3"/>
          <c:tx>
            <c:strRef>
              <c:f>q22_q23_q33_q34_Fig!$BP$20</c:f>
              <c:strCache>
                <c:ptCount val="1"/>
                <c:pt idx="0">
                  <c:v>Ganho - M</c:v>
                </c:pt>
              </c:strCache>
            </c:strRef>
          </c:tx>
          <c:spPr>
            <a:solidFill>
              <a:srgbClr val="FFEF57"/>
            </a:solidFill>
          </c:spPr>
          <c:invertIfNegative val="0"/>
          <c:dLbls>
            <c:spPr>
              <a:noFill/>
              <a:ln>
                <a:noFill/>
              </a:ln>
              <a:effectLst/>
            </c:spPr>
            <c:txPr>
              <a:bodyPr wrap="squar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q22_q23_q33_q34_Fig!$BL$21:$BL$24</c:f>
              <c:strCache>
                <c:ptCount val="4"/>
                <c:pt idx="0">
                  <c:v>Micro (1-9 pessoas)</c:v>
                </c:pt>
                <c:pt idx="1">
                  <c:v>Pequenos (10 - 49 pessoas)</c:v>
                </c:pt>
                <c:pt idx="2">
                  <c:v>Médios (50 - 249 pessoas)</c:v>
                </c:pt>
                <c:pt idx="3">
                  <c:v>Grandes (250 ou + pessoas)</c:v>
                </c:pt>
              </c:strCache>
            </c:strRef>
          </c:cat>
          <c:val>
            <c:numRef>
              <c:f>q22_q23_q33_q34_Fig!$BP$21:$BP$24</c:f>
              <c:numCache>
                <c:formatCode>#,##0.00\ "€"</c:formatCode>
                <c:ptCount val="4"/>
                <c:pt idx="0">
                  <c:v>1117.7872750956135</c:v>
                </c:pt>
                <c:pt idx="1">
                  <c:v>1241.2143027982343</c:v>
                </c:pt>
                <c:pt idx="2">
                  <c:v>1432.6643783216682</c:v>
                </c:pt>
                <c:pt idx="3">
                  <c:v>1619.94035484345</c:v>
                </c:pt>
              </c:numCache>
            </c:numRef>
          </c:val>
          <c:extLst>
            <c:ext xmlns:c16="http://schemas.microsoft.com/office/drawing/2014/chart" uri="{C3380CC4-5D6E-409C-BE32-E72D297353CC}">
              <c16:uniqueId val="{00000003-C062-4168-B10E-D6E99FAE3C23}"/>
            </c:ext>
          </c:extLst>
        </c:ser>
        <c:dLbls>
          <c:showLegendKey val="0"/>
          <c:showVal val="0"/>
          <c:showCatName val="0"/>
          <c:showSerName val="0"/>
          <c:showPercent val="0"/>
          <c:showBubbleSize val="0"/>
        </c:dLbls>
        <c:gapWidth val="42"/>
        <c:axId val="1450336576"/>
        <c:axId val="1128689328"/>
      </c:barChart>
      <c:catAx>
        <c:axId val="1261817855"/>
        <c:scaling>
          <c:orientation val="maxMin"/>
        </c:scaling>
        <c:delete val="0"/>
        <c:axPos val="l"/>
        <c:majorGridlines>
          <c:spPr>
            <a:ln>
              <a:solidFill>
                <a:srgbClr val="D9D9D9"/>
              </a:solidFill>
            </a:ln>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2000"/>
          <c:min val="-2000"/>
        </c:scaling>
        <c:delete val="1"/>
        <c:axPos val="t"/>
        <c:numFmt formatCode="#,##0;#,##0" sourceLinked="0"/>
        <c:majorTickMark val="out"/>
        <c:minorTickMark val="none"/>
        <c:tickLblPos val="nextTo"/>
        <c:crossAx val="1261817855"/>
        <c:crosses val="autoZero"/>
        <c:crossBetween val="between"/>
        <c:majorUnit val="200"/>
      </c:valAx>
      <c:valAx>
        <c:axId val="1128689328"/>
        <c:scaling>
          <c:orientation val="minMax"/>
        </c:scaling>
        <c:delete val="1"/>
        <c:axPos val="b"/>
        <c:numFmt formatCode="#,##0.00\ &quot;€&quot;" sourceLinked="1"/>
        <c:majorTickMark val="out"/>
        <c:minorTickMark val="none"/>
        <c:tickLblPos val="nextTo"/>
        <c:crossAx val="1450336576"/>
        <c:crosses val="max"/>
        <c:crossBetween val="between"/>
      </c:valAx>
      <c:catAx>
        <c:axId val="1450336576"/>
        <c:scaling>
          <c:orientation val="maxMin"/>
        </c:scaling>
        <c:delete val="1"/>
        <c:axPos val="r"/>
        <c:numFmt formatCode="General" sourceLinked="1"/>
        <c:majorTickMark val="out"/>
        <c:minorTickMark val="none"/>
        <c:tickLblPos val="nextTo"/>
        <c:crossAx val="1128689328"/>
        <c:crosses val="max"/>
        <c:auto val="1"/>
        <c:lblAlgn val="ctr"/>
        <c:lblOffset val="100"/>
        <c:noMultiLvlLbl val="0"/>
      </c:catAx>
      <c:spPr>
        <a:noFill/>
        <a:ln>
          <a:noFill/>
        </a:ln>
        <a:effectLst/>
      </c:spPr>
    </c:plotArea>
    <c:legend>
      <c:legendPos val="t"/>
      <c:layout>
        <c:manualLayout>
          <c:xMode val="edge"/>
          <c:yMode val="edge"/>
          <c:x val="1.9703630883867528E-2"/>
          <c:y val="5.4883908742176461E-2"/>
          <c:w val="0.26873604492770614"/>
          <c:h val="0.1111241671714112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q4_8_12_16_25_36_Fig!$AR$39</c:f>
              <c:strCache>
                <c:ptCount val="1"/>
                <c:pt idx="0">
                  <c:v>Centro</c:v>
                </c:pt>
              </c:strCache>
            </c:strRef>
          </c:cat>
          <c:val>
            <c:numRef>
              <c:extLst>
                <c:ext xmlns:c15="http://schemas.microsoft.com/office/drawing/2012/chart" uri="{02D57815-91ED-43cb-92C2-25804820EDAC}">
                  <c15:fullRef>
                    <c15:sqref>q4_8_12_16_25_36_Fig!$AS$38:$AS$44</c15:sqref>
                  </c15:fullRef>
                </c:ext>
              </c:extLst>
              <c:f>q4_8_12_16_25_36_Fig!$AS$39</c:f>
              <c:numCache>
                <c:formatCode>#,##0</c:formatCode>
                <c:ptCount val="1"/>
                <c:pt idx="0">
                  <c:v>47066.000000000007</c:v>
                </c:pt>
              </c:numCache>
            </c:numRef>
          </c:val>
          <c:extLst>
            <c:ext xmlns:c16="http://schemas.microsoft.com/office/drawing/2014/chart" uri="{C3380CC4-5D6E-409C-BE32-E72D297353CC}">
              <c16:uniqueId val="{00000000-52AA-4ADF-B576-C40A2A007439}"/>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q4_8_12_16_25_36_Fig!$AR$39</c:f>
              <c:strCache>
                <c:ptCount val="1"/>
                <c:pt idx="0">
                  <c:v>Centro</c:v>
                </c:pt>
              </c:strCache>
            </c:strRef>
          </c:cat>
          <c:val>
            <c:numRef>
              <c:extLst>
                <c:ext xmlns:c15="http://schemas.microsoft.com/office/drawing/2012/chart" uri="{02D57815-91ED-43cb-92C2-25804820EDAC}">
                  <c15:fullRef>
                    <c15:sqref>q4_8_12_16_25_36_Fig!$AT$38:$AT$44</c15:sqref>
                  </c15:fullRef>
                </c:ext>
              </c:extLst>
              <c:f>q4_8_12_16_25_36_Fig!$AT$39</c:f>
              <c:numCache>
                <c:formatCode>#,##0</c:formatCode>
                <c:ptCount val="1"/>
                <c:pt idx="0">
                  <c:v>55620.000000000007</c:v>
                </c:pt>
              </c:numCache>
            </c:numRef>
          </c:val>
          <c:extLst>
            <c:ext xmlns:c16="http://schemas.microsoft.com/office/drawing/2014/chart" uri="{C3380CC4-5D6E-409C-BE32-E72D297353CC}">
              <c16:uniqueId val="{00000001-52AA-4ADF-B576-C40A2A00743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q4_8_12_16_25_36_Fig!$AR$40</c:f>
              <c:strCache>
                <c:ptCount val="1"/>
                <c:pt idx="0">
                  <c:v>Oeste e Vale do Tejo</c:v>
                </c:pt>
              </c:strCache>
            </c:strRef>
          </c:cat>
          <c:val>
            <c:numRef>
              <c:extLst>
                <c:ext xmlns:c15="http://schemas.microsoft.com/office/drawing/2012/chart" uri="{02D57815-91ED-43cb-92C2-25804820EDAC}">
                  <c15:fullRef>
                    <c15:sqref>q4_8_12_16_25_36_Fig!$AS$38:$AS$44</c15:sqref>
                  </c15:fullRef>
                </c:ext>
              </c:extLst>
              <c:f>q4_8_12_16_25_36_Fig!$AS$40</c:f>
              <c:numCache>
                <c:formatCode>#,##0</c:formatCode>
                <c:ptCount val="1"/>
                <c:pt idx="0">
                  <c:v>23798</c:v>
                </c:pt>
              </c:numCache>
            </c:numRef>
          </c:val>
          <c:extLst>
            <c:ext xmlns:c16="http://schemas.microsoft.com/office/drawing/2014/chart" uri="{C3380CC4-5D6E-409C-BE32-E72D297353CC}">
              <c16:uniqueId val="{00000000-52E8-464F-8D59-2460A0752D49}"/>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q4_8_12_16_25_36_Fig!$AR$40</c:f>
              <c:strCache>
                <c:ptCount val="1"/>
                <c:pt idx="0">
                  <c:v>Oeste e Vale do Tejo</c:v>
                </c:pt>
              </c:strCache>
            </c:strRef>
          </c:cat>
          <c:val>
            <c:numRef>
              <c:extLst>
                <c:ext xmlns:c15="http://schemas.microsoft.com/office/drawing/2012/chart" uri="{02D57815-91ED-43cb-92C2-25804820EDAC}">
                  <c15:fullRef>
                    <c15:sqref>q4_8_12_16_25_36_Fig!$AT$38:$AT$44</c15:sqref>
                  </c15:fullRef>
                </c:ext>
              </c:extLst>
              <c:f>q4_8_12_16_25_36_Fig!$AT$40</c:f>
              <c:numCache>
                <c:formatCode>#,##0</c:formatCode>
                <c:ptCount val="1"/>
                <c:pt idx="0">
                  <c:v>28008.000000000004</c:v>
                </c:pt>
              </c:numCache>
            </c:numRef>
          </c:val>
          <c:extLst>
            <c:ext xmlns:c16="http://schemas.microsoft.com/office/drawing/2014/chart" uri="{C3380CC4-5D6E-409C-BE32-E72D297353CC}">
              <c16:uniqueId val="{00000001-52E8-464F-8D59-2460A0752D4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majorUnit val="4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q4_8_12_16_25_36_Fig!$AR$42</c:f>
              <c:strCache>
                <c:ptCount val="1"/>
                <c:pt idx="0">
                  <c:v>Península de Setúbal</c:v>
                </c:pt>
              </c:strCache>
            </c:strRef>
          </c:cat>
          <c:val>
            <c:numRef>
              <c:extLst>
                <c:ext xmlns:c15="http://schemas.microsoft.com/office/drawing/2012/chart" uri="{02D57815-91ED-43cb-92C2-25804820EDAC}">
                  <c15:fullRef>
                    <c15:sqref>q4_8_12_16_25_36_Fig!$AS$38:$AS$44</c15:sqref>
                  </c15:fullRef>
                </c:ext>
              </c:extLst>
              <c:f>q4_8_12_16_25_36_Fig!$AS$42</c:f>
              <c:numCache>
                <c:formatCode>#,##0</c:formatCode>
                <c:ptCount val="1"/>
                <c:pt idx="0">
                  <c:v>14910</c:v>
                </c:pt>
              </c:numCache>
            </c:numRef>
          </c:val>
          <c:extLst>
            <c:ext xmlns:c16="http://schemas.microsoft.com/office/drawing/2014/chart" uri="{C3380CC4-5D6E-409C-BE32-E72D297353CC}">
              <c16:uniqueId val="{00000000-CD41-4F3A-A4D1-43622F02BDE8}"/>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q4_8_12_16_25_36_Fig!$AR$42</c:f>
              <c:strCache>
                <c:ptCount val="1"/>
                <c:pt idx="0">
                  <c:v>Península de Setúbal</c:v>
                </c:pt>
              </c:strCache>
            </c:strRef>
          </c:cat>
          <c:val>
            <c:numRef>
              <c:extLst>
                <c:ext xmlns:c15="http://schemas.microsoft.com/office/drawing/2012/chart" uri="{02D57815-91ED-43cb-92C2-25804820EDAC}">
                  <c15:fullRef>
                    <c15:sqref>q4_8_12_16_25_36_Fig!$AT$38:$AT$44</c15:sqref>
                  </c15:fullRef>
                </c:ext>
              </c:extLst>
              <c:f>q4_8_12_16_25_36_Fig!$AT$42</c:f>
              <c:numCache>
                <c:formatCode>#,##0</c:formatCode>
                <c:ptCount val="1"/>
                <c:pt idx="0">
                  <c:v>18085</c:v>
                </c:pt>
              </c:numCache>
            </c:numRef>
          </c:val>
          <c:extLst>
            <c:ext xmlns:c16="http://schemas.microsoft.com/office/drawing/2014/chart" uri="{C3380CC4-5D6E-409C-BE32-E72D297353CC}">
              <c16:uniqueId val="{00000001-CD41-4F3A-A4D1-43622F02BDE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q4_8_12_16_25_36_Fig!$AR$41</c:f>
              <c:strCache>
                <c:ptCount val="1"/>
                <c:pt idx="0">
                  <c:v>Grande Lisboa</c:v>
                </c:pt>
              </c:strCache>
            </c:strRef>
          </c:cat>
          <c:val>
            <c:numRef>
              <c:extLst>
                <c:ext xmlns:c15="http://schemas.microsoft.com/office/drawing/2012/chart" uri="{02D57815-91ED-43cb-92C2-25804820EDAC}">
                  <c15:fullRef>
                    <c15:sqref>q4_8_12_16_25_36_Fig!$AS$38:$AS$44</c15:sqref>
                  </c15:fullRef>
                </c:ext>
              </c:extLst>
              <c:f>q4_8_12_16_25_36_Fig!$AS$41</c:f>
              <c:numCache>
                <c:formatCode>#,##0</c:formatCode>
                <c:ptCount val="1"/>
                <c:pt idx="0">
                  <c:v>59573</c:v>
                </c:pt>
              </c:numCache>
            </c:numRef>
          </c:val>
          <c:extLst>
            <c:ext xmlns:c16="http://schemas.microsoft.com/office/drawing/2014/chart" uri="{C3380CC4-5D6E-409C-BE32-E72D297353CC}">
              <c16:uniqueId val="{00000000-872C-4922-941E-D056918216FF}"/>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q4_8_12_16_25_36_Fig!$AR$41</c:f>
              <c:strCache>
                <c:ptCount val="1"/>
                <c:pt idx="0">
                  <c:v>Grande Lisboa</c:v>
                </c:pt>
              </c:strCache>
            </c:strRef>
          </c:cat>
          <c:val>
            <c:numRef>
              <c:extLst>
                <c:ext xmlns:c15="http://schemas.microsoft.com/office/drawing/2012/chart" uri="{02D57815-91ED-43cb-92C2-25804820EDAC}">
                  <c15:fullRef>
                    <c15:sqref>q4_8_12_16_25_36_Fig!$AT$38:$AT$44</c15:sqref>
                  </c15:fullRef>
                </c:ext>
              </c:extLst>
              <c:f>q4_8_12_16_25_36_Fig!$AT$41</c:f>
              <c:numCache>
                <c:formatCode>#,##0</c:formatCode>
                <c:ptCount val="1"/>
                <c:pt idx="0">
                  <c:v>70103.999999999985</c:v>
                </c:pt>
              </c:numCache>
            </c:numRef>
          </c:val>
          <c:extLst>
            <c:ext xmlns:c16="http://schemas.microsoft.com/office/drawing/2014/chart" uri="{C3380CC4-5D6E-409C-BE32-E72D297353CC}">
              <c16:uniqueId val="{00000001-872C-4922-941E-D056918216FF}"/>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q4_8_12_16_25_36_Fig!$AR$43</c:f>
              <c:strCache>
                <c:ptCount val="1"/>
                <c:pt idx="0">
                  <c:v>Alentejo</c:v>
                </c:pt>
              </c:strCache>
            </c:strRef>
          </c:cat>
          <c:val>
            <c:numRef>
              <c:extLst>
                <c:ext xmlns:c15="http://schemas.microsoft.com/office/drawing/2012/chart" uri="{02D57815-91ED-43cb-92C2-25804820EDAC}">
                  <c15:fullRef>
                    <c15:sqref>q4_8_12_16_25_36_Fig!$AS$38:$AS$44</c15:sqref>
                  </c15:fullRef>
                </c:ext>
              </c:extLst>
              <c:f>q4_8_12_16_25_36_Fig!$AS$43</c:f>
              <c:numCache>
                <c:formatCode>#,##0</c:formatCode>
                <c:ptCount val="1"/>
                <c:pt idx="0">
                  <c:v>14681.999999999998</c:v>
                </c:pt>
              </c:numCache>
            </c:numRef>
          </c:val>
          <c:extLst>
            <c:ext xmlns:c16="http://schemas.microsoft.com/office/drawing/2014/chart" uri="{C3380CC4-5D6E-409C-BE32-E72D297353CC}">
              <c16:uniqueId val="{00000000-A3D0-4EF8-B135-8550D83727C4}"/>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q4_8_12_16_25_36_Fig!$AR$43</c:f>
              <c:strCache>
                <c:ptCount val="1"/>
                <c:pt idx="0">
                  <c:v>Alentejo</c:v>
                </c:pt>
              </c:strCache>
            </c:strRef>
          </c:cat>
          <c:val>
            <c:numRef>
              <c:extLst>
                <c:ext xmlns:c15="http://schemas.microsoft.com/office/drawing/2012/chart" uri="{02D57815-91ED-43cb-92C2-25804820EDAC}">
                  <c15:fullRef>
                    <c15:sqref>q4_8_12_16_25_36_Fig!$AT$38:$AT$44</c15:sqref>
                  </c15:fullRef>
                </c:ext>
              </c:extLst>
              <c:f>q4_8_12_16_25_36_Fig!$AT$43</c:f>
              <c:numCache>
                <c:formatCode>#,##0</c:formatCode>
                <c:ptCount val="1"/>
                <c:pt idx="0">
                  <c:v>17511.000000000004</c:v>
                </c:pt>
              </c:numCache>
            </c:numRef>
          </c:val>
          <c:extLst>
            <c:ext xmlns:c16="http://schemas.microsoft.com/office/drawing/2014/chart" uri="{C3380CC4-5D6E-409C-BE32-E72D297353CC}">
              <c16:uniqueId val="{00000001-A3D0-4EF8-B135-8550D83727C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q4_8_12_16_25_36_Fig!$AR$44</c:f>
              <c:strCache>
                <c:ptCount val="1"/>
                <c:pt idx="0">
                  <c:v>Algarve</c:v>
                </c:pt>
              </c:strCache>
            </c:strRef>
          </c:cat>
          <c:val>
            <c:numRef>
              <c:extLst>
                <c:ext xmlns:c15="http://schemas.microsoft.com/office/drawing/2012/chart" uri="{02D57815-91ED-43cb-92C2-25804820EDAC}">
                  <c15:fullRef>
                    <c15:sqref>q4_8_12_16_25_36_Fig!$AS$38:$AS$44</c15:sqref>
                  </c15:fullRef>
                </c:ext>
              </c:extLst>
              <c:f>q4_8_12_16_25_36_Fig!$AS$44</c:f>
              <c:numCache>
                <c:formatCode>#,##0</c:formatCode>
                <c:ptCount val="1"/>
                <c:pt idx="0">
                  <c:v>18237.000000000004</c:v>
                </c:pt>
              </c:numCache>
            </c:numRef>
          </c:val>
          <c:extLst>
            <c:ext xmlns:c16="http://schemas.microsoft.com/office/drawing/2014/chart" uri="{C3380CC4-5D6E-409C-BE32-E72D297353CC}">
              <c16:uniqueId val="{00000000-2219-43FB-93C0-D8C0A7ED7DD3}"/>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q4_8_12_16_25_36_Fig!$AR$44</c:f>
              <c:strCache>
                <c:ptCount val="1"/>
                <c:pt idx="0">
                  <c:v>Algarve</c:v>
                </c:pt>
              </c:strCache>
            </c:strRef>
          </c:cat>
          <c:val>
            <c:numRef>
              <c:extLst>
                <c:ext xmlns:c15="http://schemas.microsoft.com/office/drawing/2012/chart" uri="{02D57815-91ED-43cb-92C2-25804820EDAC}">
                  <c15:fullRef>
                    <c15:sqref>q4_8_12_16_25_36_Fig!$AT$38:$AT$44</c15:sqref>
                  </c15:fullRef>
                </c:ext>
              </c:extLst>
              <c:f>q4_8_12_16_25_36_Fig!$AT$44</c:f>
              <c:numCache>
                <c:formatCode>#,##0</c:formatCode>
                <c:ptCount val="1"/>
                <c:pt idx="0">
                  <c:v>22034</c:v>
                </c:pt>
              </c:numCache>
            </c:numRef>
          </c:val>
          <c:extLst>
            <c:ext xmlns:c16="http://schemas.microsoft.com/office/drawing/2014/chart" uri="{C3380CC4-5D6E-409C-BE32-E72D297353CC}">
              <c16:uniqueId val="{00000001-2219-43FB-93C0-D8C0A7ED7DD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042502433016683"/>
          <c:y val="3.567815386713024E-2"/>
          <c:w val="0.61234267209825088"/>
          <c:h val="0.92049561986569861"/>
        </c:manualLayout>
      </c:layout>
      <c:barChart>
        <c:barDir val="bar"/>
        <c:grouping val="clustered"/>
        <c:varyColors val="0"/>
        <c:ser>
          <c:idx val="0"/>
          <c:order val="0"/>
          <c:tx>
            <c:strRef>
              <c:f>q4_8_12_16_25_36_Fig!$AS$7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q4_8_12_16_25_36_Fig!$AS$8:$AS$31</c:f>
              <c:numCache>
                <c:formatCode>#,##0</c:formatCode>
                <c:ptCount val="24"/>
                <c:pt idx="0">
                  <c:v>7381</c:v>
                </c:pt>
                <c:pt idx="1">
                  <c:v>15022.000000000002</c:v>
                </c:pt>
                <c:pt idx="2">
                  <c:v>13849.999999999998</c:v>
                </c:pt>
                <c:pt idx="3">
                  <c:v>52107</c:v>
                </c:pt>
                <c:pt idx="4">
                  <c:v>2397</c:v>
                </c:pt>
                <c:pt idx="5">
                  <c:v>13558</c:v>
                </c:pt>
                <c:pt idx="6">
                  <c:v>5412.9999999999991</c:v>
                </c:pt>
                <c:pt idx="7">
                  <c:v>3258</c:v>
                </c:pt>
                <c:pt idx="8">
                  <c:v>9766</c:v>
                </c:pt>
                <c:pt idx="9">
                  <c:v>11047.999999999998</c:v>
                </c:pt>
                <c:pt idx="10">
                  <c:v>10426</c:v>
                </c:pt>
                <c:pt idx="11">
                  <c:v>7366</c:v>
                </c:pt>
                <c:pt idx="12">
                  <c:v>2743</c:v>
                </c:pt>
                <c:pt idx="13">
                  <c:v>5716.9999999999991</c:v>
                </c:pt>
                <c:pt idx="14">
                  <c:v>11504</c:v>
                </c:pt>
                <c:pt idx="15">
                  <c:v>6010</c:v>
                </c:pt>
                <c:pt idx="16">
                  <c:v>6284</c:v>
                </c:pt>
                <c:pt idx="17">
                  <c:v>59573</c:v>
                </c:pt>
                <c:pt idx="18">
                  <c:v>14910</c:v>
                </c:pt>
                <c:pt idx="19">
                  <c:v>2854</c:v>
                </c:pt>
                <c:pt idx="20">
                  <c:v>3855.9999999999995</c:v>
                </c:pt>
                <c:pt idx="21">
                  <c:v>2865</c:v>
                </c:pt>
                <c:pt idx="22">
                  <c:v>5107.0000000000009</c:v>
                </c:pt>
                <c:pt idx="23">
                  <c:v>18237.000000000004</c:v>
                </c:pt>
              </c:numCache>
            </c:numRef>
          </c:val>
          <c:extLst>
            <c:ext xmlns:c16="http://schemas.microsoft.com/office/drawing/2014/chart" uri="{C3380CC4-5D6E-409C-BE32-E72D297353CC}">
              <c16:uniqueId val="{00000000-C980-49DE-BA68-551F13F23829}"/>
            </c:ext>
          </c:extLst>
        </c:ser>
        <c:ser>
          <c:idx val="1"/>
          <c:order val="1"/>
          <c:tx>
            <c:strRef>
              <c:f>q4_8_12_16_25_36_Fig!$AT$7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q4_8_12_16_25_36_Fig!$AT$8:$AT$31</c:f>
              <c:numCache>
                <c:formatCode>#,##0</c:formatCode>
                <c:ptCount val="24"/>
                <c:pt idx="0">
                  <c:v>8480</c:v>
                </c:pt>
                <c:pt idx="1">
                  <c:v>16873</c:v>
                </c:pt>
                <c:pt idx="2">
                  <c:v>15408.999999999998</c:v>
                </c:pt>
                <c:pt idx="3">
                  <c:v>60584.999999999985</c:v>
                </c:pt>
                <c:pt idx="4">
                  <c:v>2746</c:v>
                </c:pt>
                <c:pt idx="5">
                  <c:v>14776</c:v>
                </c:pt>
                <c:pt idx="6">
                  <c:v>6355.9999999999982</c:v>
                </c:pt>
                <c:pt idx="7">
                  <c:v>3777.0000000000009</c:v>
                </c:pt>
                <c:pt idx="8">
                  <c:v>11485</c:v>
                </c:pt>
                <c:pt idx="9">
                  <c:v>13431.000000000004</c:v>
                </c:pt>
                <c:pt idx="10">
                  <c:v>12118.999999999998</c:v>
                </c:pt>
                <c:pt idx="11">
                  <c:v>8638</c:v>
                </c:pt>
                <c:pt idx="12">
                  <c:v>3270</c:v>
                </c:pt>
                <c:pt idx="13">
                  <c:v>6677</c:v>
                </c:pt>
                <c:pt idx="14">
                  <c:v>13372</c:v>
                </c:pt>
                <c:pt idx="15">
                  <c:v>7144</c:v>
                </c:pt>
                <c:pt idx="16">
                  <c:v>7492.0000000000018</c:v>
                </c:pt>
                <c:pt idx="17">
                  <c:v>70103.999999999985</c:v>
                </c:pt>
                <c:pt idx="18">
                  <c:v>18085</c:v>
                </c:pt>
                <c:pt idx="19">
                  <c:v>3451</c:v>
                </c:pt>
                <c:pt idx="20">
                  <c:v>4493</c:v>
                </c:pt>
                <c:pt idx="21">
                  <c:v>3430.0000000000005</c:v>
                </c:pt>
                <c:pt idx="22">
                  <c:v>6137</c:v>
                </c:pt>
                <c:pt idx="23">
                  <c:v>22034</c:v>
                </c:pt>
              </c:numCache>
            </c:numRef>
          </c:val>
          <c:extLst>
            <c:ext xmlns:c16="http://schemas.microsoft.com/office/drawing/2014/chart" uri="{C3380CC4-5D6E-409C-BE32-E72D297353CC}">
              <c16:uniqueId val="{00000001-C980-49DE-BA68-551F13F23829}"/>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q4_8_12_16_25_36_Fig!$BM$38</c:f>
              <c:strCache>
                <c:ptCount val="1"/>
                <c:pt idx="0">
                  <c:v>Norte</c:v>
                </c:pt>
              </c:strCache>
            </c:strRef>
          </c:cat>
          <c:val>
            <c:numRef>
              <c:extLst>
                <c:ext xmlns:c15="http://schemas.microsoft.com/office/drawing/2012/chart" uri="{02D57815-91ED-43cb-92C2-25804820EDAC}">
                  <c15:fullRef>
                    <c15:sqref>q4_8_12_16_25_36_Fig!$BN$38:$BN$44</c15:sqref>
                  </c15:fullRef>
                </c:ext>
              </c:extLst>
              <c:f>q4_8_12_16_25_36_Fig!$BN$38</c:f>
              <c:numCache>
                <c:formatCode>#,##0</c:formatCode>
                <c:ptCount val="1"/>
                <c:pt idx="0">
                  <c:v>1260100.0000000002</c:v>
                </c:pt>
              </c:numCache>
            </c:numRef>
          </c:val>
          <c:extLst>
            <c:ext xmlns:c16="http://schemas.microsoft.com/office/drawing/2014/chart" uri="{C3380CC4-5D6E-409C-BE32-E72D297353CC}">
              <c16:uniqueId val="{00000000-8AE7-4A89-B44B-9834265695B8}"/>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q4_8_12_16_25_36_Fig!$BM$38</c:f>
              <c:strCache>
                <c:ptCount val="1"/>
                <c:pt idx="0">
                  <c:v>Norte</c:v>
                </c:pt>
              </c:strCache>
            </c:strRef>
          </c:cat>
          <c:val>
            <c:numRef>
              <c:extLst>
                <c:ext xmlns:c15="http://schemas.microsoft.com/office/drawing/2012/chart" uri="{02D57815-91ED-43cb-92C2-25804820EDAC}">
                  <c15:fullRef>
                    <c15:sqref>q4_8_12_16_25_36_Fig!$BO$38:$BO$44</c15:sqref>
                  </c15:fullRef>
                </c:ext>
              </c:extLst>
              <c:f>q4_8_12_16_25_36_Fig!$BO$38</c:f>
              <c:numCache>
                <c:formatCode>#,##0</c:formatCode>
                <c:ptCount val="1"/>
                <c:pt idx="0">
                  <c:v>1186032</c:v>
                </c:pt>
              </c:numCache>
            </c:numRef>
          </c:val>
          <c:extLst>
            <c:ext xmlns:c16="http://schemas.microsoft.com/office/drawing/2014/chart" uri="{C3380CC4-5D6E-409C-BE32-E72D297353CC}">
              <c16:uniqueId val="{00000001-8AE7-4A89-B44B-9834265695B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q4_8_12_16_25_36_Fig!$BM$39</c:f>
              <c:strCache>
                <c:ptCount val="1"/>
                <c:pt idx="0">
                  <c:v>Centro</c:v>
                </c:pt>
              </c:strCache>
            </c:strRef>
          </c:cat>
          <c:val>
            <c:numRef>
              <c:extLst>
                <c:ext xmlns:c15="http://schemas.microsoft.com/office/drawing/2012/chart" uri="{02D57815-91ED-43cb-92C2-25804820EDAC}">
                  <c15:fullRef>
                    <c15:sqref>q4_8_12_16_25_36_Fig!$BN$38:$BN$44</c15:sqref>
                  </c15:fullRef>
                </c:ext>
              </c:extLst>
              <c:f>q4_8_12_16_25_36_Fig!$BN$39</c:f>
              <c:numCache>
                <c:formatCode>#,##0</c:formatCode>
                <c:ptCount val="1"/>
                <c:pt idx="0">
                  <c:v>524218.00000000012</c:v>
                </c:pt>
              </c:numCache>
            </c:numRef>
          </c:val>
          <c:extLst>
            <c:ext xmlns:c16="http://schemas.microsoft.com/office/drawing/2014/chart" uri="{C3380CC4-5D6E-409C-BE32-E72D297353CC}">
              <c16:uniqueId val="{00000000-7711-43AA-AA78-E3B58ADCDDA7}"/>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q4_8_12_16_25_36_Fig!$BM$39</c:f>
              <c:strCache>
                <c:ptCount val="1"/>
                <c:pt idx="0">
                  <c:v>Centro</c:v>
                </c:pt>
              </c:strCache>
            </c:strRef>
          </c:cat>
          <c:val>
            <c:numRef>
              <c:extLst>
                <c:ext xmlns:c15="http://schemas.microsoft.com/office/drawing/2012/chart" uri="{02D57815-91ED-43cb-92C2-25804820EDAC}">
                  <c15:fullRef>
                    <c15:sqref>q4_8_12_16_25_36_Fig!$BO$38:$BO$44</c15:sqref>
                  </c15:fullRef>
                </c:ext>
              </c:extLst>
              <c:f>q4_8_12_16_25_36_Fig!$BO$39</c:f>
              <c:numCache>
                <c:formatCode>#,##0</c:formatCode>
                <c:ptCount val="1"/>
                <c:pt idx="0">
                  <c:v>490775.99999999988</c:v>
                </c:pt>
              </c:numCache>
            </c:numRef>
          </c:val>
          <c:extLst>
            <c:ext xmlns:c16="http://schemas.microsoft.com/office/drawing/2014/chart" uri="{C3380CC4-5D6E-409C-BE32-E72D297353CC}">
              <c16:uniqueId val="{00000001-7711-43AA-AA78-E3B58ADCDDA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q4_8_12_16_25_36_Fig!$BM$40</c:f>
              <c:strCache>
                <c:ptCount val="1"/>
                <c:pt idx="0">
                  <c:v>Oeste e Vale do Tejo</c:v>
                </c:pt>
              </c:strCache>
            </c:strRef>
          </c:cat>
          <c:val>
            <c:numRef>
              <c:extLst>
                <c:ext xmlns:c15="http://schemas.microsoft.com/office/drawing/2012/chart" uri="{02D57815-91ED-43cb-92C2-25804820EDAC}">
                  <c15:fullRef>
                    <c15:sqref>q4_8_12_16_25_36_Fig!$BN$38:$BN$44</c15:sqref>
                  </c15:fullRef>
                </c:ext>
              </c:extLst>
              <c:f>q4_8_12_16_25_36_Fig!$BN$40</c:f>
              <c:numCache>
                <c:formatCode>#,##0</c:formatCode>
                <c:ptCount val="1"/>
                <c:pt idx="0">
                  <c:v>244696.99999999994</c:v>
                </c:pt>
              </c:numCache>
            </c:numRef>
          </c:val>
          <c:extLst>
            <c:ext xmlns:c16="http://schemas.microsoft.com/office/drawing/2014/chart" uri="{C3380CC4-5D6E-409C-BE32-E72D297353CC}">
              <c16:uniqueId val="{00000000-3B67-48A3-8E53-104F31B6A998}"/>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q4_8_12_16_25_36_Fig!$BM$40</c:f>
              <c:strCache>
                <c:ptCount val="1"/>
                <c:pt idx="0">
                  <c:v>Oeste e Vale do Tejo</c:v>
                </c:pt>
              </c:strCache>
            </c:strRef>
          </c:cat>
          <c:val>
            <c:numRef>
              <c:extLst>
                <c:ext xmlns:c15="http://schemas.microsoft.com/office/drawing/2012/chart" uri="{02D57815-91ED-43cb-92C2-25804820EDAC}">
                  <c15:fullRef>
                    <c15:sqref>q4_8_12_16_25_36_Fig!$BO$38:$BO$44</c15:sqref>
                  </c15:fullRef>
                </c:ext>
              </c:extLst>
              <c:f>q4_8_12_16_25_36_Fig!$BO$40</c:f>
              <c:numCache>
                <c:formatCode>#,##0</c:formatCode>
                <c:ptCount val="1"/>
                <c:pt idx="0">
                  <c:v>228581.00000000006</c:v>
                </c:pt>
              </c:numCache>
            </c:numRef>
          </c:val>
          <c:extLst>
            <c:ext xmlns:c16="http://schemas.microsoft.com/office/drawing/2014/chart" uri="{C3380CC4-5D6E-409C-BE32-E72D297353CC}">
              <c16:uniqueId val="{00000001-3B67-48A3-8E53-104F31B6A99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02415867900997E-2"/>
          <c:y val="0.18472812943831005"/>
          <c:w val="0.80869505356964055"/>
          <c:h val="0.58657484618386491"/>
        </c:manualLayout>
      </c:layout>
      <c:lineChart>
        <c:grouping val="standard"/>
        <c:varyColors val="0"/>
        <c:ser>
          <c:idx val="0"/>
          <c:order val="0"/>
          <c:tx>
            <c:strRef>
              <c:f>q22_q23_q33_q34_Fig!$R$51</c:f>
              <c:strCache>
                <c:ptCount val="1"/>
                <c:pt idx="0">
                  <c:v>Micro (1-9 pessoas)</c:v>
                </c:pt>
              </c:strCache>
            </c:strRef>
          </c:tx>
          <c:spPr>
            <a:ln w="31750" cap="rnd">
              <a:solidFill>
                <a:srgbClr val="3C1692"/>
              </a:solidFill>
              <a:round/>
            </a:ln>
            <a:effectLst/>
          </c:spPr>
          <c:marker>
            <c:symbol val="circle"/>
            <c:size val="6"/>
            <c:spPr>
              <a:solidFill>
                <a:srgbClr val="3C1692"/>
              </a:solidFill>
              <a:ln w="9525">
                <a:noFill/>
              </a:ln>
              <a:effectLst/>
            </c:spPr>
          </c:marker>
          <c:cat>
            <c:numRef>
              <c:f>q22_q23_q33_q34_Fig!$S$50:$AC$50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q22_q23_q33_q34_Fig!$S$51:$AC$51</c:f>
              <c:numCache>
                <c:formatCode>0.00</c:formatCode>
                <c:ptCount val="11"/>
                <c:pt idx="0">
                  <c:v>740.80722276499034</c:v>
                </c:pt>
                <c:pt idx="1">
                  <c:v>743.19113619248822</c:v>
                </c:pt>
                <c:pt idx="2">
                  <c:v>741.71968305936059</c:v>
                </c:pt>
                <c:pt idx="3">
                  <c:v>755.98808308311857</c:v>
                </c:pt>
                <c:pt idx="4">
                  <c:v>774.551634099073</c:v>
                </c:pt>
                <c:pt idx="5">
                  <c:v>798.39258672727499</c:v>
                </c:pt>
                <c:pt idx="6">
                  <c:v>825.36077956196084</c:v>
                </c:pt>
                <c:pt idx="7">
                  <c:v>862.12957930096923</c:v>
                </c:pt>
                <c:pt idx="8">
                  <c:v>897.65930575521782</c:v>
                </c:pt>
                <c:pt idx="9">
                  <c:v>944.24536654484882</c:v>
                </c:pt>
                <c:pt idx="10">
                  <c:v>1009.8670580294119</c:v>
                </c:pt>
              </c:numCache>
            </c:numRef>
          </c:val>
          <c:smooth val="0"/>
          <c:extLst>
            <c:ext xmlns:c16="http://schemas.microsoft.com/office/drawing/2014/chart" uri="{C3380CC4-5D6E-409C-BE32-E72D297353CC}">
              <c16:uniqueId val="{00000000-929F-482E-8BF0-AED3B1FB5309}"/>
            </c:ext>
          </c:extLst>
        </c:ser>
        <c:ser>
          <c:idx val="1"/>
          <c:order val="1"/>
          <c:tx>
            <c:strRef>
              <c:f>q22_q23_q33_q34_Fig!$R$52</c:f>
              <c:strCache>
                <c:ptCount val="1"/>
                <c:pt idx="0">
                  <c:v>Pequenos (10 - 49 pessoas)</c:v>
                </c:pt>
              </c:strCache>
            </c:strRef>
          </c:tx>
          <c:spPr>
            <a:ln w="31750" cap="rnd">
              <a:solidFill>
                <a:srgbClr val="1403EB"/>
              </a:solidFill>
              <a:round/>
            </a:ln>
            <a:effectLst/>
          </c:spPr>
          <c:marker>
            <c:symbol val="circle"/>
            <c:size val="6"/>
            <c:spPr>
              <a:solidFill>
                <a:srgbClr val="1403EB"/>
              </a:solidFill>
              <a:ln w="9525">
                <a:noFill/>
              </a:ln>
              <a:effectLst/>
            </c:spPr>
          </c:marker>
          <c:cat>
            <c:numRef>
              <c:f>q22_q23_q33_q34_Fig!$S$50:$AC$50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q22_q23_q33_q34_Fig!$S$52:$AC$52</c:f>
              <c:numCache>
                <c:formatCode>0.00</c:formatCode>
                <c:ptCount val="11"/>
                <c:pt idx="0">
                  <c:v>880.69786368326982</c:v>
                </c:pt>
                <c:pt idx="1">
                  <c:v>875.52959350590538</c:v>
                </c:pt>
                <c:pt idx="2">
                  <c:v>876.0788141175874</c:v>
                </c:pt>
                <c:pt idx="3">
                  <c:v>882.80315502771225</c:v>
                </c:pt>
                <c:pt idx="4">
                  <c:v>896.47188013348352</c:v>
                </c:pt>
                <c:pt idx="5">
                  <c:v>919.58377816170105</c:v>
                </c:pt>
                <c:pt idx="6">
                  <c:v>948.35723341606092</c:v>
                </c:pt>
                <c:pt idx="7">
                  <c:v>989.62583120930185</c:v>
                </c:pt>
                <c:pt idx="8">
                  <c:v>1024.3179987335309</c:v>
                </c:pt>
                <c:pt idx="9">
                  <c:v>1070.1140484709949</c:v>
                </c:pt>
                <c:pt idx="10">
                  <c:v>1142.8913276103731</c:v>
                </c:pt>
              </c:numCache>
            </c:numRef>
          </c:val>
          <c:smooth val="0"/>
          <c:extLst>
            <c:ext xmlns:c16="http://schemas.microsoft.com/office/drawing/2014/chart" uri="{C3380CC4-5D6E-409C-BE32-E72D297353CC}">
              <c16:uniqueId val="{00000001-929F-482E-8BF0-AED3B1FB5309}"/>
            </c:ext>
          </c:extLst>
        </c:ser>
        <c:ser>
          <c:idx val="2"/>
          <c:order val="2"/>
          <c:tx>
            <c:strRef>
              <c:f>q22_q23_q33_q34_Fig!$R$53</c:f>
              <c:strCache>
                <c:ptCount val="1"/>
                <c:pt idx="0">
                  <c:v>Médios (50 - 249 pessoas)</c:v>
                </c:pt>
              </c:strCache>
            </c:strRef>
          </c:tx>
          <c:spPr>
            <a:ln w="31750" cap="rnd">
              <a:solidFill>
                <a:srgbClr val="558ED5"/>
              </a:solidFill>
              <a:round/>
            </a:ln>
            <a:effectLst/>
          </c:spPr>
          <c:marker>
            <c:symbol val="circle"/>
            <c:size val="6"/>
            <c:spPr>
              <a:solidFill>
                <a:srgbClr val="558ED5"/>
              </a:solidFill>
              <a:ln w="9525">
                <a:noFill/>
              </a:ln>
              <a:effectLst/>
            </c:spPr>
          </c:marker>
          <c:cat>
            <c:numRef>
              <c:f>q22_q23_q33_q34_Fig!$S$50:$AC$50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q22_q23_q33_q34_Fig!$S$53:$AC$53</c:f>
              <c:numCache>
                <c:formatCode>0.00</c:formatCode>
                <c:ptCount val="11"/>
                <c:pt idx="0">
                  <c:v>1042.7241302887844</c:v>
                </c:pt>
                <c:pt idx="1">
                  <c:v>1033.4461606501941</c:v>
                </c:pt>
                <c:pt idx="2">
                  <c:v>1043.9959921222624</c:v>
                </c:pt>
                <c:pt idx="3">
                  <c:v>1048.902928961483</c:v>
                </c:pt>
                <c:pt idx="4">
                  <c:v>1063.220773497256</c:v>
                </c:pt>
                <c:pt idx="5">
                  <c:v>1090.6268046005355</c:v>
                </c:pt>
                <c:pt idx="6">
                  <c:v>1118.9973528196042</c:v>
                </c:pt>
                <c:pt idx="7">
                  <c:v>1164.7330778705377</c:v>
                </c:pt>
                <c:pt idx="8">
                  <c:v>1194.2590116124848</c:v>
                </c:pt>
                <c:pt idx="9">
                  <c:v>1252.173361437704</c:v>
                </c:pt>
                <c:pt idx="10">
                  <c:v>1328.2894579954093</c:v>
                </c:pt>
              </c:numCache>
            </c:numRef>
          </c:val>
          <c:smooth val="0"/>
          <c:extLst>
            <c:ext xmlns:c16="http://schemas.microsoft.com/office/drawing/2014/chart" uri="{C3380CC4-5D6E-409C-BE32-E72D297353CC}">
              <c16:uniqueId val="{00000002-929F-482E-8BF0-AED3B1FB5309}"/>
            </c:ext>
          </c:extLst>
        </c:ser>
        <c:ser>
          <c:idx val="3"/>
          <c:order val="3"/>
          <c:tx>
            <c:strRef>
              <c:f>q22_q23_q33_q34_Fig!$R$54</c:f>
              <c:strCache>
                <c:ptCount val="1"/>
                <c:pt idx="0">
                  <c:v>Grandes (250 ou + pessoas)</c:v>
                </c:pt>
              </c:strCache>
            </c:strRef>
          </c:tx>
          <c:spPr>
            <a:ln w="31750" cap="rnd">
              <a:solidFill>
                <a:srgbClr val="B6C3FF"/>
              </a:solidFill>
              <a:round/>
            </a:ln>
            <a:effectLst/>
          </c:spPr>
          <c:marker>
            <c:symbol val="circle"/>
            <c:size val="6"/>
            <c:spPr>
              <a:solidFill>
                <a:srgbClr val="B6C3FF"/>
              </a:solidFill>
              <a:ln w="9525">
                <a:noFill/>
              </a:ln>
              <a:effectLst/>
            </c:spPr>
          </c:marker>
          <c:cat>
            <c:numRef>
              <c:f>q22_q23_q33_q34_Fig!$S$50:$AC$50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q22_q23_q33_q34_Fig!$S$54:$AC$54</c:f>
              <c:numCache>
                <c:formatCode>0.00</c:formatCode>
                <c:ptCount val="11"/>
                <c:pt idx="0">
                  <c:v>1086.3871563092234</c:v>
                </c:pt>
                <c:pt idx="1">
                  <c:v>1085.2266428809949</c:v>
                </c:pt>
                <c:pt idx="2">
                  <c:v>1088.7344932691256</c:v>
                </c:pt>
                <c:pt idx="3">
                  <c:v>1103.365762629365</c:v>
                </c:pt>
                <c:pt idx="4">
                  <c:v>1117.6135336535251</c:v>
                </c:pt>
                <c:pt idx="5">
                  <c:v>1146.9307016617306</c:v>
                </c:pt>
                <c:pt idx="6">
                  <c:v>1193.809108737154</c:v>
                </c:pt>
                <c:pt idx="7">
                  <c:v>1207.2441633227234</c:v>
                </c:pt>
                <c:pt idx="8">
                  <c:v>1276.5676072351296</c:v>
                </c:pt>
                <c:pt idx="9">
                  <c:v>1366.1708059495056</c:v>
                </c:pt>
                <c:pt idx="10">
                  <c:v>1457.296790282385</c:v>
                </c:pt>
              </c:numCache>
            </c:numRef>
          </c:val>
          <c:smooth val="0"/>
          <c:extLst>
            <c:ext xmlns:c16="http://schemas.microsoft.com/office/drawing/2014/chart" uri="{C3380CC4-5D6E-409C-BE32-E72D297353CC}">
              <c16:uniqueId val="{00000003-929F-482E-8BF0-AED3B1FB5309}"/>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20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crossAx val="903145471"/>
        <c:crosses val="autoZero"/>
        <c:crossBetween val="between"/>
        <c:majorUnit val="200"/>
      </c:valAx>
      <c:spPr>
        <a:noFill/>
        <a:ln>
          <a:noFill/>
        </a:ln>
        <a:effectLst/>
      </c:spPr>
    </c:plotArea>
    <c:legend>
      <c:legendPos val="b"/>
      <c:layout>
        <c:manualLayout>
          <c:xMode val="edge"/>
          <c:yMode val="edge"/>
          <c:x val="4.8193870222194721E-2"/>
          <c:y val="0.86939811246391219"/>
          <c:w val="0.88139020122484701"/>
          <c:h val="0.1200293485814264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q4_8_12_16_25_36_Fig!$BM$42</c:f>
              <c:strCache>
                <c:ptCount val="1"/>
                <c:pt idx="0">
                  <c:v>Península de Setúbal</c:v>
                </c:pt>
              </c:strCache>
            </c:strRef>
          </c:cat>
          <c:val>
            <c:numRef>
              <c:extLst>
                <c:ext xmlns:c15="http://schemas.microsoft.com/office/drawing/2012/chart" uri="{02D57815-91ED-43cb-92C2-25804820EDAC}">
                  <c15:fullRef>
                    <c15:sqref>q4_8_12_16_25_36_Fig!$BN$38:$BN$44</c15:sqref>
                  </c15:fullRef>
                </c:ext>
              </c:extLst>
              <c:f>q4_8_12_16_25_36_Fig!$BN$42</c:f>
              <c:numCache>
                <c:formatCode>#,##0</c:formatCode>
                <c:ptCount val="1"/>
                <c:pt idx="0">
                  <c:v>173313</c:v>
                </c:pt>
              </c:numCache>
            </c:numRef>
          </c:val>
          <c:extLst>
            <c:ext xmlns:c16="http://schemas.microsoft.com/office/drawing/2014/chart" uri="{C3380CC4-5D6E-409C-BE32-E72D297353CC}">
              <c16:uniqueId val="{00000000-14BD-4E34-B070-9AF8999EE4F7}"/>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q4_8_12_16_25_36_Fig!$BM$42</c:f>
              <c:strCache>
                <c:ptCount val="1"/>
                <c:pt idx="0">
                  <c:v>Península de Setúbal</c:v>
                </c:pt>
              </c:strCache>
            </c:strRef>
          </c:cat>
          <c:val>
            <c:numRef>
              <c:extLst>
                <c:ext xmlns:c15="http://schemas.microsoft.com/office/drawing/2012/chart" uri="{02D57815-91ED-43cb-92C2-25804820EDAC}">
                  <c15:fullRef>
                    <c15:sqref>q4_8_12_16_25_36_Fig!$BO$38:$BO$44</c15:sqref>
                  </c15:fullRef>
                </c:ext>
              </c:extLst>
              <c:f>q4_8_12_16_25_36_Fig!$BO$42</c:f>
              <c:numCache>
                <c:formatCode>#,##0</c:formatCode>
                <c:ptCount val="1"/>
                <c:pt idx="0">
                  <c:v>163331</c:v>
                </c:pt>
              </c:numCache>
            </c:numRef>
          </c:val>
          <c:extLst>
            <c:ext xmlns:c16="http://schemas.microsoft.com/office/drawing/2014/chart" uri="{C3380CC4-5D6E-409C-BE32-E72D297353CC}">
              <c16:uniqueId val="{00000001-14BD-4E34-B070-9AF8999EE4F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q4_8_12_16_25_36_Fig!$BM$41</c:f>
              <c:strCache>
                <c:ptCount val="1"/>
                <c:pt idx="0">
                  <c:v>Grande Lisboa</c:v>
                </c:pt>
              </c:strCache>
            </c:strRef>
          </c:cat>
          <c:val>
            <c:numRef>
              <c:extLst>
                <c:ext xmlns:c15="http://schemas.microsoft.com/office/drawing/2012/chart" uri="{02D57815-91ED-43cb-92C2-25804820EDAC}">
                  <c15:fullRef>
                    <c15:sqref>q4_8_12_16_25_36_Fig!$BN$38:$BN$44</c15:sqref>
                  </c15:fullRef>
                </c:ext>
              </c:extLst>
              <c:f>q4_8_12_16_25_36_Fig!$BN$41</c:f>
              <c:numCache>
                <c:formatCode>#,##0</c:formatCode>
                <c:ptCount val="1"/>
                <c:pt idx="0">
                  <c:v>969558</c:v>
                </c:pt>
              </c:numCache>
            </c:numRef>
          </c:val>
          <c:extLst>
            <c:ext xmlns:c16="http://schemas.microsoft.com/office/drawing/2014/chart" uri="{C3380CC4-5D6E-409C-BE32-E72D297353CC}">
              <c16:uniqueId val="{00000000-EE98-4D46-93CC-460E376A8A57}"/>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q4_8_12_16_25_36_Fig!$BM$41</c:f>
              <c:strCache>
                <c:ptCount val="1"/>
                <c:pt idx="0">
                  <c:v>Grande Lisboa</c:v>
                </c:pt>
              </c:strCache>
            </c:strRef>
          </c:cat>
          <c:val>
            <c:numRef>
              <c:extLst>
                <c:ext xmlns:c15="http://schemas.microsoft.com/office/drawing/2012/chart" uri="{02D57815-91ED-43cb-92C2-25804820EDAC}">
                  <c15:fullRef>
                    <c15:sqref>q4_8_12_16_25_36_Fig!$BO$38:$BO$44</c15:sqref>
                  </c15:fullRef>
                </c:ext>
              </c:extLst>
              <c:f>q4_8_12_16_25_36_Fig!$BO$41</c:f>
              <c:numCache>
                <c:formatCode>#,##0</c:formatCode>
                <c:ptCount val="1"/>
                <c:pt idx="0">
                  <c:v>928991</c:v>
                </c:pt>
              </c:numCache>
            </c:numRef>
          </c:val>
          <c:extLst>
            <c:ext xmlns:c16="http://schemas.microsoft.com/office/drawing/2014/chart" uri="{C3380CC4-5D6E-409C-BE32-E72D297353CC}">
              <c16:uniqueId val="{00000001-EE98-4D46-93CC-460E376A8A57}"/>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q4_8_12_16_25_36_Fig!$BM$43</c:f>
              <c:strCache>
                <c:ptCount val="1"/>
                <c:pt idx="0">
                  <c:v>Alentejo</c:v>
                </c:pt>
              </c:strCache>
            </c:strRef>
          </c:cat>
          <c:val>
            <c:numRef>
              <c:extLst>
                <c:ext xmlns:c15="http://schemas.microsoft.com/office/drawing/2012/chart" uri="{02D57815-91ED-43cb-92C2-25804820EDAC}">
                  <c15:fullRef>
                    <c15:sqref>q4_8_12_16_25_36_Fig!$BN$38:$BN$44</c15:sqref>
                  </c15:fullRef>
                </c:ext>
              </c:extLst>
              <c:f>q4_8_12_16_25_36_Fig!$BN$43</c:f>
              <c:numCache>
                <c:formatCode>#,##0</c:formatCode>
                <c:ptCount val="1"/>
                <c:pt idx="0">
                  <c:v>139263</c:v>
                </c:pt>
              </c:numCache>
            </c:numRef>
          </c:val>
          <c:extLst>
            <c:ext xmlns:c16="http://schemas.microsoft.com/office/drawing/2014/chart" uri="{C3380CC4-5D6E-409C-BE32-E72D297353CC}">
              <c16:uniqueId val="{00000000-D4C9-4714-963D-11110D90BC55}"/>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q4_8_12_16_25_36_Fig!$BM$43</c:f>
              <c:strCache>
                <c:ptCount val="1"/>
                <c:pt idx="0">
                  <c:v>Alentejo</c:v>
                </c:pt>
              </c:strCache>
            </c:strRef>
          </c:cat>
          <c:val>
            <c:numRef>
              <c:extLst>
                <c:ext xmlns:c15="http://schemas.microsoft.com/office/drawing/2012/chart" uri="{02D57815-91ED-43cb-92C2-25804820EDAC}">
                  <c15:fullRef>
                    <c15:sqref>q4_8_12_16_25_36_Fig!$BO$38:$BO$44</c15:sqref>
                  </c15:fullRef>
                </c:ext>
              </c:extLst>
              <c:f>q4_8_12_16_25_36_Fig!$BO$43</c:f>
              <c:numCache>
                <c:formatCode>#,##0</c:formatCode>
                <c:ptCount val="1"/>
                <c:pt idx="0">
                  <c:v>131628.99999999994</c:v>
                </c:pt>
              </c:numCache>
            </c:numRef>
          </c:val>
          <c:extLst>
            <c:ext xmlns:c16="http://schemas.microsoft.com/office/drawing/2014/chart" uri="{C3380CC4-5D6E-409C-BE32-E72D297353CC}">
              <c16:uniqueId val="{00000001-D4C9-4714-963D-11110D90BC5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q4_8_12_16_25_36_Fig!$BM$44</c:f>
              <c:strCache>
                <c:ptCount val="1"/>
                <c:pt idx="0">
                  <c:v>Algarve</c:v>
                </c:pt>
              </c:strCache>
            </c:strRef>
          </c:cat>
          <c:val>
            <c:numRef>
              <c:extLst>
                <c:ext xmlns:c15="http://schemas.microsoft.com/office/drawing/2012/chart" uri="{02D57815-91ED-43cb-92C2-25804820EDAC}">
                  <c15:fullRef>
                    <c15:sqref>q4_8_12_16_25_36_Fig!$BN$38:$BN$44</c15:sqref>
                  </c15:fullRef>
                </c:ext>
              </c:extLst>
              <c:f>q4_8_12_16_25_36_Fig!$BN$44</c:f>
              <c:numCache>
                <c:formatCode>#,##0</c:formatCode>
                <c:ptCount val="1"/>
                <c:pt idx="0">
                  <c:v>178434</c:v>
                </c:pt>
              </c:numCache>
            </c:numRef>
          </c:val>
          <c:extLst>
            <c:ext xmlns:c16="http://schemas.microsoft.com/office/drawing/2014/chart" uri="{C3380CC4-5D6E-409C-BE32-E72D297353CC}">
              <c16:uniqueId val="{00000000-0FA3-4D23-BB30-32E008E03B06}"/>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q4_8_12_16_25_36_Fig!$BM$44</c:f>
              <c:strCache>
                <c:ptCount val="1"/>
                <c:pt idx="0">
                  <c:v>Algarve</c:v>
                </c:pt>
              </c:strCache>
            </c:strRef>
          </c:cat>
          <c:val>
            <c:numRef>
              <c:extLst>
                <c:ext xmlns:c15="http://schemas.microsoft.com/office/drawing/2012/chart" uri="{02D57815-91ED-43cb-92C2-25804820EDAC}">
                  <c15:fullRef>
                    <c15:sqref>q4_8_12_16_25_36_Fig!$BO$38:$BO$44</c15:sqref>
                  </c15:fullRef>
                </c:ext>
              </c:extLst>
              <c:f>q4_8_12_16_25_36_Fig!$BO$44</c:f>
              <c:numCache>
                <c:formatCode>#,##0</c:formatCode>
                <c:ptCount val="1"/>
                <c:pt idx="0">
                  <c:v>166794.00000000003</c:v>
                </c:pt>
              </c:numCache>
            </c:numRef>
          </c:val>
          <c:extLst>
            <c:ext xmlns:c16="http://schemas.microsoft.com/office/drawing/2014/chart" uri="{C3380CC4-5D6E-409C-BE32-E72D297353CC}">
              <c16:uniqueId val="{00000001-0FA3-4D23-BB30-32E008E03B06}"/>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q4_8_12_16_25_36_Fig!$BN$7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q4_8_12_16_25_36_Fig!$BN$8:$BN$31</c:f>
              <c:numCache>
                <c:formatCode>#,##0</c:formatCode>
                <c:ptCount val="24"/>
                <c:pt idx="0">
                  <c:v>72633</c:v>
                </c:pt>
                <c:pt idx="1">
                  <c:v>160086</c:v>
                </c:pt>
                <c:pt idx="2">
                  <c:v>150333</c:v>
                </c:pt>
                <c:pt idx="3">
                  <c:v>658882.00000000012</c:v>
                </c:pt>
                <c:pt idx="4">
                  <c:v>16238</c:v>
                </c:pt>
                <c:pt idx="5">
                  <c:v>138339</c:v>
                </c:pt>
                <c:pt idx="6">
                  <c:v>42126.999999999993</c:v>
                </c:pt>
                <c:pt idx="7">
                  <c:v>21461.999999999993</c:v>
                </c:pt>
                <c:pt idx="8">
                  <c:v>139483</c:v>
                </c:pt>
                <c:pt idx="9">
                  <c:v>122152</c:v>
                </c:pt>
                <c:pt idx="10">
                  <c:v>109519</c:v>
                </c:pt>
                <c:pt idx="11">
                  <c:v>77276</c:v>
                </c:pt>
                <c:pt idx="12">
                  <c:v>23604</c:v>
                </c:pt>
                <c:pt idx="13">
                  <c:v>52184</c:v>
                </c:pt>
                <c:pt idx="14">
                  <c:v>111666</c:v>
                </c:pt>
                <c:pt idx="15">
                  <c:v>59990</c:v>
                </c:pt>
                <c:pt idx="16">
                  <c:v>73041</c:v>
                </c:pt>
                <c:pt idx="17">
                  <c:v>969558</c:v>
                </c:pt>
                <c:pt idx="18">
                  <c:v>173313</c:v>
                </c:pt>
                <c:pt idx="19">
                  <c:v>37881</c:v>
                </c:pt>
                <c:pt idx="20">
                  <c:v>31710.000000000004</c:v>
                </c:pt>
                <c:pt idx="21">
                  <c:v>24444.000000000004</c:v>
                </c:pt>
                <c:pt idx="22">
                  <c:v>45228</c:v>
                </c:pt>
                <c:pt idx="23">
                  <c:v>178434</c:v>
                </c:pt>
              </c:numCache>
            </c:numRef>
          </c:val>
          <c:extLst>
            <c:ext xmlns:c16="http://schemas.microsoft.com/office/drawing/2014/chart" uri="{C3380CC4-5D6E-409C-BE32-E72D297353CC}">
              <c16:uniqueId val="{00000000-24DE-4FDF-99C3-488D0C3BDFB4}"/>
            </c:ext>
          </c:extLst>
        </c:ser>
        <c:ser>
          <c:idx val="1"/>
          <c:order val="1"/>
          <c:tx>
            <c:strRef>
              <c:f>q4_8_12_16_25_36_Fig!$BO$7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q4_8_12_16_25_36_Fig!$BO$8:$BO$31</c:f>
              <c:numCache>
                <c:formatCode>#,##0</c:formatCode>
                <c:ptCount val="24"/>
                <c:pt idx="0">
                  <c:v>68117</c:v>
                </c:pt>
                <c:pt idx="1">
                  <c:v>149790</c:v>
                </c:pt>
                <c:pt idx="2">
                  <c:v>141278</c:v>
                </c:pt>
                <c:pt idx="3">
                  <c:v>622620</c:v>
                </c:pt>
                <c:pt idx="4">
                  <c:v>14953</c:v>
                </c:pt>
                <c:pt idx="5">
                  <c:v>130339.99999999999</c:v>
                </c:pt>
                <c:pt idx="6">
                  <c:v>39343</c:v>
                </c:pt>
                <c:pt idx="7">
                  <c:v>19591</c:v>
                </c:pt>
                <c:pt idx="8">
                  <c:v>131410.00000000003</c:v>
                </c:pt>
                <c:pt idx="9">
                  <c:v>114228</c:v>
                </c:pt>
                <c:pt idx="10">
                  <c:v>101701</c:v>
                </c:pt>
                <c:pt idx="11">
                  <c:v>72453</c:v>
                </c:pt>
                <c:pt idx="12">
                  <c:v>21994</c:v>
                </c:pt>
                <c:pt idx="13">
                  <c:v>48989.999999999993</c:v>
                </c:pt>
                <c:pt idx="14">
                  <c:v>103758</c:v>
                </c:pt>
                <c:pt idx="15">
                  <c:v>55728</c:v>
                </c:pt>
                <c:pt idx="16">
                  <c:v>69095</c:v>
                </c:pt>
                <c:pt idx="17">
                  <c:v>928991</c:v>
                </c:pt>
                <c:pt idx="18">
                  <c:v>163331</c:v>
                </c:pt>
                <c:pt idx="19">
                  <c:v>36327</c:v>
                </c:pt>
                <c:pt idx="20">
                  <c:v>29927.999999999993</c:v>
                </c:pt>
                <c:pt idx="21">
                  <c:v>22968</c:v>
                </c:pt>
                <c:pt idx="22">
                  <c:v>42405.999999999993</c:v>
                </c:pt>
                <c:pt idx="23">
                  <c:v>166794.00000000003</c:v>
                </c:pt>
              </c:numCache>
            </c:numRef>
          </c:val>
          <c:extLst>
            <c:ext xmlns:c16="http://schemas.microsoft.com/office/drawing/2014/chart" uri="{C3380CC4-5D6E-409C-BE32-E72D297353CC}">
              <c16:uniqueId val="{00000001-24DE-4FDF-99C3-488D0C3BDFB4}"/>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q4_8_12_16_25_36_Fig!$CG$38</c:f>
              <c:strCache>
                <c:ptCount val="1"/>
                <c:pt idx="0">
                  <c:v>Norte</c:v>
                </c:pt>
              </c:strCache>
            </c:strRef>
          </c:cat>
          <c:val>
            <c:numRef>
              <c:extLst>
                <c:ext xmlns:c15="http://schemas.microsoft.com/office/drawing/2012/chart" uri="{02D57815-91ED-43cb-92C2-25804820EDAC}">
                  <c15:fullRef>
                    <c15:sqref>q4_8_12_16_25_36_Fig!$CH$38:$CH$44</c15:sqref>
                  </c15:fullRef>
                </c:ext>
              </c:extLst>
              <c:f>q4_8_12_16_25_36_Fig!$CH$38</c:f>
              <c:numCache>
                <c:formatCode>#,##0\ "€"</c:formatCode>
                <c:ptCount val="1"/>
                <c:pt idx="0">
                  <c:v>1137.22</c:v>
                </c:pt>
              </c:numCache>
            </c:numRef>
          </c:val>
          <c:extLst>
            <c:ext xmlns:c16="http://schemas.microsoft.com/office/drawing/2014/chart" uri="{C3380CC4-5D6E-409C-BE32-E72D297353CC}">
              <c16:uniqueId val="{00000000-66AF-4FB2-9C0F-09AEEABDD47F}"/>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q4_8_12_16_25_36_Fig!$CG$38</c:f>
              <c:strCache>
                <c:ptCount val="1"/>
                <c:pt idx="0">
                  <c:v>Norte</c:v>
                </c:pt>
              </c:strCache>
            </c:strRef>
          </c:cat>
          <c:val>
            <c:numRef>
              <c:extLst>
                <c:ext xmlns:c15="http://schemas.microsoft.com/office/drawing/2012/chart" uri="{02D57815-91ED-43cb-92C2-25804820EDAC}">
                  <c15:fullRef>
                    <c15:sqref>q4_8_12_16_25_36_Fig!$CI$38:$CI$44</c15:sqref>
                  </c15:fullRef>
                </c:ext>
              </c:extLst>
              <c:f>q4_8_12_16_25_36_Fig!$CI$38</c:f>
              <c:numCache>
                <c:formatCode>#,##0\ "€"</c:formatCode>
                <c:ptCount val="1"/>
                <c:pt idx="0">
                  <c:v>1348.66</c:v>
                </c:pt>
              </c:numCache>
            </c:numRef>
          </c:val>
          <c:extLst>
            <c:ext xmlns:c16="http://schemas.microsoft.com/office/drawing/2014/chart" uri="{C3380CC4-5D6E-409C-BE32-E72D297353CC}">
              <c16:uniqueId val="{00000001-66AF-4FB2-9C0F-09AEEABDD47F}"/>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q4_8_12_16_25_36_Fig!$CG$39</c:f>
              <c:strCache>
                <c:ptCount val="1"/>
                <c:pt idx="0">
                  <c:v>Centro</c:v>
                </c:pt>
              </c:strCache>
            </c:strRef>
          </c:cat>
          <c:val>
            <c:numRef>
              <c:extLst>
                <c:ext xmlns:c15="http://schemas.microsoft.com/office/drawing/2012/chart" uri="{02D57815-91ED-43cb-92C2-25804820EDAC}">
                  <c15:fullRef>
                    <c15:sqref>q4_8_12_16_25_36_Fig!$CH$38:$CH$44</c15:sqref>
                  </c15:fullRef>
                </c:ext>
              </c:extLst>
              <c:f>q4_8_12_16_25_36_Fig!$CH$39</c:f>
              <c:numCache>
                <c:formatCode>#,##0\ "€"</c:formatCode>
                <c:ptCount val="1"/>
                <c:pt idx="0">
                  <c:v>1075.43</c:v>
                </c:pt>
              </c:numCache>
            </c:numRef>
          </c:val>
          <c:extLst>
            <c:ext xmlns:c16="http://schemas.microsoft.com/office/drawing/2014/chart" uri="{C3380CC4-5D6E-409C-BE32-E72D297353CC}">
              <c16:uniqueId val="{00000000-B9DB-486A-B79C-23014E7CADA6}"/>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q4_8_12_16_25_36_Fig!$CG$39</c:f>
              <c:strCache>
                <c:ptCount val="1"/>
                <c:pt idx="0">
                  <c:v>Centro</c:v>
                </c:pt>
              </c:strCache>
            </c:strRef>
          </c:cat>
          <c:val>
            <c:numRef>
              <c:extLst>
                <c:ext xmlns:c15="http://schemas.microsoft.com/office/drawing/2012/chart" uri="{02D57815-91ED-43cb-92C2-25804820EDAC}">
                  <c15:fullRef>
                    <c15:sqref>q4_8_12_16_25_36_Fig!$CI$38:$CI$44</c15:sqref>
                  </c15:fullRef>
                </c:ext>
              </c:extLst>
              <c:f>q4_8_12_16_25_36_Fig!$CI$39</c:f>
              <c:numCache>
                <c:formatCode>#,##0\ "€"</c:formatCode>
                <c:ptCount val="1"/>
                <c:pt idx="0">
                  <c:v>1305.72</c:v>
                </c:pt>
              </c:numCache>
            </c:numRef>
          </c:val>
          <c:extLst>
            <c:ext xmlns:c16="http://schemas.microsoft.com/office/drawing/2014/chart" uri="{C3380CC4-5D6E-409C-BE32-E72D297353CC}">
              <c16:uniqueId val="{00000001-B9DB-486A-B79C-23014E7CADA6}"/>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q4_8_12_16_25_36_Fig!$CG$40</c:f>
              <c:strCache>
                <c:ptCount val="1"/>
                <c:pt idx="0">
                  <c:v>Oeste e Vale do Tejo</c:v>
                </c:pt>
              </c:strCache>
            </c:strRef>
          </c:cat>
          <c:val>
            <c:numRef>
              <c:extLst>
                <c:ext xmlns:c15="http://schemas.microsoft.com/office/drawing/2012/chart" uri="{02D57815-91ED-43cb-92C2-25804820EDAC}">
                  <c15:fullRef>
                    <c15:sqref>q4_8_12_16_25_36_Fig!$CH$38:$CH$44</c15:sqref>
                  </c15:fullRef>
                </c:ext>
              </c:extLst>
              <c:f>q4_8_12_16_25_36_Fig!$CH$40</c:f>
              <c:numCache>
                <c:formatCode>#,##0\ "€"</c:formatCode>
                <c:ptCount val="1"/>
                <c:pt idx="0">
                  <c:v>1035.0899999999999</c:v>
                </c:pt>
              </c:numCache>
            </c:numRef>
          </c:val>
          <c:extLst>
            <c:ext xmlns:c16="http://schemas.microsoft.com/office/drawing/2014/chart" uri="{C3380CC4-5D6E-409C-BE32-E72D297353CC}">
              <c16:uniqueId val="{00000000-D5C7-484F-A71E-32993EBB0E13}"/>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q4_8_12_16_25_36_Fig!$CG$40</c:f>
              <c:strCache>
                <c:ptCount val="1"/>
                <c:pt idx="0">
                  <c:v>Oeste e Vale do Tejo</c:v>
                </c:pt>
              </c:strCache>
            </c:strRef>
          </c:cat>
          <c:val>
            <c:numRef>
              <c:extLst>
                <c:ext xmlns:c15="http://schemas.microsoft.com/office/drawing/2012/chart" uri="{02D57815-91ED-43cb-92C2-25804820EDAC}">
                  <c15:fullRef>
                    <c15:sqref>q4_8_12_16_25_36_Fig!$CI$38:$CI$44</c15:sqref>
                  </c15:fullRef>
                </c:ext>
              </c:extLst>
              <c:f>q4_8_12_16_25_36_Fig!$CI$40</c:f>
              <c:numCache>
                <c:formatCode>#,##0\ "€"</c:formatCode>
                <c:ptCount val="1"/>
                <c:pt idx="0">
                  <c:v>1249.77</c:v>
                </c:pt>
              </c:numCache>
            </c:numRef>
          </c:val>
          <c:extLst>
            <c:ext xmlns:c16="http://schemas.microsoft.com/office/drawing/2014/chart" uri="{C3380CC4-5D6E-409C-BE32-E72D297353CC}">
              <c16:uniqueId val="{00000001-D5C7-484F-A71E-32993EBB0E1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3-B938-46FC-8AF4-5B5B925A67D7}"/>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q4_8_12_16_25_36_Fig!$CG$42</c:f>
              <c:strCache>
                <c:ptCount val="1"/>
                <c:pt idx="0">
                  <c:v>Península de Setúbal</c:v>
                </c:pt>
              </c:strCache>
            </c:strRef>
          </c:cat>
          <c:val>
            <c:numRef>
              <c:extLst>
                <c:ext xmlns:c15="http://schemas.microsoft.com/office/drawing/2012/chart" uri="{02D57815-91ED-43cb-92C2-25804820EDAC}">
                  <c15:fullRef>
                    <c15:sqref>q4_8_12_16_25_36_Fig!$CH$38:$CH$44</c15:sqref>
                  </c15:fullRef>
                </c:ext>
              </c:extLst>
              <c:f>q4_8_12_16_25_36_Fig!$CH$42</c:f>
              <c:numCache>
                <c:formatCode>#,##0\ "€"</c:formatCode>
                <c:ptCount val="1"/>
                <c:pt idx="0">
                  <c:v>1188.27</c:v>
                </c:pt>
              </c:numCache>
            </c:numRef>
          </c:val>
          <c:extLst>
            <c:ext xmlns:c16="http://schemas.microsoft.com/office/drawing/2014/chart" uri="{C3380CC4-5D6E-409C-BE32-E72D297353CC}">
              <c16:uniqueId val="{00000000-B938-46FC-8AF4-5B5B925A67D7}"/>
            </c:ext>
          </c:extLst>
        </c:ser>
        <c:ser>
          <c:idx val="1"/>
          <c:order val="1"/>
          <c:tx>
            <c:strRef>
              <c:f>q4_8_12_16_25_36_Fig!$CI$37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B938-46FC-8AF4-5B5B925A67D7}"/>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q4_8_12_16_25_36_Fig!$CG$42</c:f>
              <c:strCache>
                <c:ptCount val="1"/>
                <c:pt idx="0">
                  <c:v>Península de Setúbal</c:v>
                </c:pt>
              </c:strCache>
            </c:strRef>
          </c:cat>
          <c:val>
            <c:numRef>
              <c:extLst>
                <c:ext xmlns:c15="http://schemas.microsoft.com/office/drawing/2012/chart" uri="{02D57815-91ED-43cb-92C2-25804820EDAC}">
                  <c15:fullRef>
                    <c15:sqref>q4_8_12_16_25_36_Fig!$CI$38:$CI$44</c15:sqref>
                  </c15:fullRef>
                </c:ext>
              </c:extLst>
              <c:f>q4_8_12_16_25_36_Fig!$CI$42</c:f>
              <c:numCache>
                <c:formatCode>#,##0\ "€"</c:formatCode>
                <c:ptCount val="1"/>
                <c:pt idx="0">
                  <c:v>1433.11</c:v>
                </c:pt>
              </c:numCache>
            </c:numRef>
          </c:val>
          <c:extLst>
            <c:ext xmlns:c16="http://schemas.microsoft.com/office/drawing/2014/chart" uri="{C3380CC4-5D6E-409C-BE32-E72D297353CC}">
              <c16:uniqueId val="{00000001-B938-46FC-8AF4-5B5B925A67D7}"/>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q4_8_12_16_25_36_Fig!$CG$41</c:f>
              <c:strCache>
                <c:ptCount val="1"/>
                <c:pt idx="0">
                  <c:v>Grande Lisboa</c:v>
                </c:pt>
              </c:strCache>
            </c:strRef>
          </c:cat>
          <c:val>
            <c:numRef>
              <c:extLst>
                <c:ext xmlns:c15="http://schemas.microsoft.com/office/drawing/2012/chart" uri="{02D57815-91ED-43cb-92C2-25804820EDAC}">
                  <c15:fullRef>
                    <c15:sqref>q4_8_12_16_25_36_Fig!$CH$38:$CH$44</c15:sqref>
                  </c15:fullRef>
                </c:ext>
              </c:extLst>
              <c:f>q4_8_12_16_25_36_Fig!$CH$41</c:f>
              <c:numCache>
                <c:formatCode>#,##0\ "€"</c:formatCode>
                <c:ptCount val="1"/>
                <c:pt idx="0">
                  <c:v>1505.99</c:v>
                </c:pt>
              </c:numCache>
            </c:numRef>
          </c:val>
          <c:extLst>
            <c:ext xmlns:c16="http://schemas.microsoft.com/office/drawing/2014/chart" uri="{C3380CC4-5D6E-409C-BE32-E72D297353CC}">
              <c16:uniqueId val="{00000000-FACD-4347-8742-1B3A9C67A537}"/>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q4_8_12_16_25_36_Fig!$CG$41</c:f>
              <c:strCache>
                <c:ptCount val="1"/>
                <c:pt idx="0">
                  <c:v>Grande Lisboa</c:v>
                </c:pt>
              </c:strCache>
            </c:strRef>
          </c:cat>
          <c:val>
            <c:numRef>
              <c:extLst>
                <c:ext xmlns:c15="http://schemas.microsoft.com/office/drawing/2012/chart" uri="{02D57815-91ED-43cb-92C2-25804820EDAC}">
                  <c15:fullRef>
                    <c15:sqref>q4_8_12_16_25_36_Fig!$CI$38:$CI$44</c15:sqref>
                  </c15:fullRef>
                </c:ext>
              </c:extLst>
              <c:f>q4_8_12_16_25_36_Fig!$CI$41</c:f>
              <c:numCache>
                <c:formatCode>#,##0\ "€"</c:formatCode>
                <c:ptCount val="1"/>
                <c:pt idx="0">
                  <c:v>1817.17</c:v>
                </c:pt>
              </c:numCache>
            </c:numRef>
          </c:val>
          <c:extLst>
            <c:ext xmlns:c16="http://schemas.microsoft.com/office/drawing/2014/chart" uri="{C3380CC4-5D6E-409C-BE32-E72D297353CC}">
              <c16:uniqueId val="{00000001-FACD-4347-8742-1B3A9C67A537}"/>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39160909181934E-2"/>
          <c:y val="0.18472812943831005"/>
          <c:w val="0.9205216781816361"/>
          <c:h val="0.59150628175582409"/>
        </c:manualLayout>
      </c:layout>
      <c:lineChart>
        <c:grouping val="standard"/>
        <c:varyColors val="0"/>
        <c:ser>
          <c:idx val="0"/>
          <c:order val="0"/>
          <c:tx>
            <c:strRef>
              <c:f>q22_q23_q33_q34_Fig!$R$59</c:f>
              <c:strCache>
                <c:ptCount val="1"/>
                <c:pt idx="0">
                  <c:v>Micro (1-9 pessoas)</c:v>
                </c:pt>
              </c:strCache>
            </c:strRef>
          </c:tx>
          <c:spPr>
            <a:ln w="31750" cap="rnd">
              <a:solidFill>
                <a:srgbClr val="C27535"/>
              </a:solidFill>
              <a:round/>
            </a:ln>
            <a:effectLst/>
          </c:spPr>
          <c:marker>
            <c:symbol val="circle"/>
            <c:size val="6"/>
            <c:spPr>
              <a:solidFill>
                <a:srgbClr val="C27535"/>
              </a:solidFill>
              <a:ln w="9525">
                <a:noFill/>
              </a:ln>
              <a:effectLst/>
            </c:spPr>
          </c:marker>
          <c:cat>
            <c:numRef>
              <c:f>q22_q23_q33_q34_Fig!$S$58:$AC$58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q22_q23_q33_q34_Fig!$S$59:$AC$59</c:f>
              <c:numCache>
                <c:formatCode>0.00</c:formatCode>
                <c:ptCount val="11"/>
                <c:pt idx="0">
                  <c:v>871.09238924912688</c:v>
                </c:pt>
                <c:pt idx="1">
                  <c:v>874.37588256418803</c:v>
                </c:pt>
                <c:pt idx="2">
                  <c:v>869.15907046971392</c:v>
                </c:pt>
                <c:pt idx="3">
                  <c:v>881.40121825935603</c:v>
                </c:pt>
                <c:pt idx="4">
                  <c:v>903.88634111416957</c:v>
                </c:pt>
                <c:pt idx="5">
                  <c:v>932.6839251718136</c:v>
                </c:pt>
                <c:pt idx="6">
                  <c:v>964.75465634431691</c:v>
                </c:pt>
                <c:pt idx="7">
                  <c:v>1001.1701682722738</c:v>
                </c:pt>
                <c:pt idx="8">
                  <c:v>1037.9347066902783</c:v>
                </c:pt>
                <c:pt idx="9">
                  <c:v>1089.0285427605099</c:v>
                </c:pt>
                <c:pt idx="10">
                  <c:v>1171.8622875894353</c:v>
                </c:pt>
              </c:numCache>
            </c:numRef>
          </c:val>
          <c:smooth val="0"/>
          <c:extLst>
            <c:ext xmlns:c16="http://schemas.microsoft.com/office/drawing/2014/chart" uri="{C3380CC4-5D6E-409C-BE32-E72D297353CC}">
              <c16:uniqueId val="{00000000-6602-4A98-B107-4B4B252E4B3A}"/>
            </c:ext>
          </c:extLst>
        </c:ser>
        <c:ser>
          <c:idx val="1"/>
          <c:order val="1"/>
          <c:tx>
            <c:strRef>
              <c:f>q22_q23_q33_q34_Fig!$R$60</c:f>
              <c:strCache>
                <c:ptCount val="1"/>
                <c:pt idx="0">
                  <c:v>Pequenos (10 - 49 pessoas)</c:v>
                </c:pt>
              </c:strCache>
            </c:strRef>
          </c:tx>
          <c:spPr>
            <a:ln w="31750" cap="rnd">
              <a:solidFill>
                <a:srgbClr val="E78C41"/>
              </a:solidFill>
              <a:round/>
            </a:ln>
            <a:effectLst/>
          </c:spPr>
          <c:marker>
            <c:symbol val="circle"/>
            <c:size val="6"/>
            <c:spPr>
              <a:solidFill>
                <a:srgbClr val="E78C41"/>
              </a:solidFill>
              <a:ln w="9525">
                <a:noFill/>
              </a:ln>
              <a:effectLst/>
            </c:spPr>
          </c:marker>
          <c:cat>
            <c:numRef>
              <c:f>q22_q23_q33_q34_Fig!$S$58:$AC$58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q22_q23_q33_q34_Fig!$S$60:$AC$60</c:f>
              <c:numCache>
                <c:formatCode>0.00</c:formatCode>
                <c:ptCount val="11"/>
                <c:pt idx="0">
                  <c:v>1040.4919773141039</c:v>
                </c:pt>
                <c:pt idx="1">
                  <c:v>1038.4270654102304</c:v>
                </c:pt>
                <c:pt idx="2">
                  <c:v>1036.7339962248377</c:v>
                </c:pt>
                <c:pt idx="3">
                  <c:v>1041.9237340326474</c:v>
                </c:pt>
                <c:pt idx="4">
                  <c:v>1063.0824987860442</c:v>
                </c:pt>
                <c:pt idx="5">
                  <c:v>1093.0931805100001</c:v>
                </c:pt>
                <c:pt idx="6">
                  <c:v>1128.5544797223299</c:v>
                </c:pt>
                <c:pt idx="7">
                  <c:v>1173.3524315914058</c:v>
                </c:pt>
                <c:pt idx="8">
                  <c:v>1209.6497241751363</c:v>
                </c:pt>
                <c:pt idx="9">
                  <c:v>1263.2416738687946</c:v>
                </c:pt>
                <c:pt idx="10">
                  <c:v>1356.3278755179158</c:v>
                </c:pt>
              </c:numCache>
            </c:numRef>
          </c:val>
          <c:smooth val="0"/>
          <c:extLst>
            <c:ext xmlns:c16="http://schemas.microsoft.com/office/drawing/2014/chart" uri="{C3380CC4-5D6E-409C-BE32-E72D297353CC}">
              <c16:uniqueId val="{00000001-6602-4A98-B107-4B4B252E4B3A}"/>
            </c:ext>
          </c:extLst>
        </c:ser>
        <c:ser>
          <c:idx val="2"/>
          <c:order val="2"/>
          <c:tx>
            <c:strRef>
              <c:f>q22_q23_q33_q34_Fig!$R$61</c:f>
              <c:strCache>
                <c:ptCount val="1"/>
                <c:pt idx="0">
                  <c:v>Médios (50 - 249 pessoas)</c:v>
                </c:pt>
              </c:strCache>
            </c:strRef>
          </c:tx>
          <c:spPr>
            <a:ln w="31750" cap="rnd">
              <a:solidFill>
                <a:srgbClr val="F8AA79"/>
              </a:solidFill>
              <a:round/>
            </a:ln>
            <a:effectLst/>
          </c:spPr>
          <c:marker>
            <c:symbol val="circle"/>
            <c:size val="6"/>
            <c:spPr>
              <a:solidFill>
                <a:srgbClr val="F8AA79"/>
              </a:solidFill>
              <a:ln w="9525">
                <a:noFill/>
              </a:ln>
              <a:effectLst/>
            </c:spPr>
          </c:marker>
          <c:cat>
            <c:numRef>
              <c:f>q22_q23_q33_q34_Fig!$S$58:$AC$58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q22_q23_q33_q34_Fig!$S$61:$AC$61</c:f>
              <c:numCache>
                <c:formatCode>0.00</c:formatCode>
                <c:ptCount val="11"/>
                <c:pt idx="0">
                  <c:v>1260.6321703752462</c:v>
                </c:pt>
                <c:pt idx="1">
                  <c:v>1253.7788131448538</c:v>
                </c:pt>
                <c:pt idx="2">
                  <c:v>1264.2671080720547</c:v>
                </c:pt>
                <c:pt idx="3">
                  <c:v>1269.822569900183</c:v>
                </c:pt>
                <c:pt idx="4">
                  <c:v>1290.1457015340452</c:v>
                </c:pt>
                <c:pt idx="5">
                  <c:v>1326.6954282506647</c:v>
                </c:pt>
                <c:pt idx="6">
                  <c:v>1354.8188399394744</c:v>
                </c:pt>
                <c:pt idx="7">
                  <c:v>1408.3622125828385</c:v>
                </c:pt>
                <c:pt idx="8">
                  <c:v>1440.2827437442895</c:v>
                </c:pt>
                <c:pt idx="9">
                  <c:v>1512.8995745759912</c:v>
                </c:pt>
                <c:pt idx="10">
                  <c:v>1609.7489010590743</c:v>
                </c:pt>
              </c:numCache>
            </c:numRef>
          </c:val>
          <c:smooth val="0"/>
          <c:extLst>
            <c:ext xmlns:c16="http://schemas.microsoft.com/office/drawing/2014/chart" uri="{C3380CC4-5D6E-409C-BE32-E72D297353CC}">
              <c16:uniqueId val="{00000002-6602-4A98-B107-4B4B252E4B3A}"/>
            </c:ext>
          </c:extLst>
        </c:ser>
        <c:ser>
          <c:idx val="3"/>
          <c:order val="3"/>
          <c:tx>
            <c:strRef>
              <c:f>q22_q23_q33_q34_Fig!$R$62</c:f>
              <c:strCache>
                <c:ptCount val="1"/>
                <c:pt idx="0">
                  <c:v>Grandes (250 ou + pessoas)</c:v>
                </c:pt>
              </c:strCache>
            </c:strRef>
          </c:tx>
          <c:spPr>
            <a:ln w="31750" cap="rnd">
              <a:solidFill>
                <a:srgbClr val="FACBB4">
                  <a:alpha val="97647"/>
                </a:srgbClr>
              </a:solidFill>
              <a:round/>
            </a:ln>
            <a:effectLst/>
          </c:spPr>
          <c:marker>
            <c:symbol val="circle"/>
            <c:size val="6"/>
            <c:spPr>
              <a:solidFill>
                <a:srgbClr val="FACBB4"/>
              </a:solidFill>
              <a:ln w="9525">
                <a:noFill/>
              </a:ln>
              <a:effectLst/>
            </c:spPr>
          </c:marker>
          <c:cat>
            <c:numRef>
              <c:f>q22_q23_q33_q34_Fig!$S$58:$AC$58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q22_q23_q33_q34_Fig!$S$62:$AC$62</c:f>
              <c:numCache>
                <c:formatCode>0.00</c:formatCode>
                <c:ptCount val="11"/>
                <c:pt idx="0">
                  <c:v>1348.8007140291029</c:v>
                </c:pt>
                <c:pt idx="1">
                  <c:v>1348.2686782255737</c:v>
                </c:pt>
                <c:pt idx="2">
                  <c:v>1352.7649450038305</c:v>
                </c:pt>
                <c:pt idx="3">
                  <c:v>1370.8654934115223</c:v>
                </c:pt>
                <c:pt idx="4">
                  <c:v>1393.1676662386169</c:v>
                </c:pt>
                <c:pt idx="5">
                  <c:v>1439.2994718395275</c:v>
                </c:pt>
                <c:pt idx="6">
                  <c:v>1487.6136920863173</c:v>
                </c:pt>
                <c:pt idx="7">
                  <c:v>1503.5200436083589</c:v>
                </c:pt>
                <c:pt idx="8">
                  <c:v>1578.7352052686044</c:v>
                </c:pt>
                <c:pt idx="9">
                  <c:v>1692.5263123040952</c:v>
                </c:pt>
                <c:pt idx="10">
                  <c:v>1815.2460362099982</c:v>
                </c:pt>
              </c:numCache>
            </c:numRef>
          </c:val>
          <c:smooth val="0"/>
          <c:extLst>
            <c:ext xmlns:c16="http://schemas.microsoft.com/office/drawing/2014/chart" uri="{C3380CC4-5D6E-409C-BE32-E72D297353CC}">
              <c16:uniqueId val="{00000003-6602-4A98-B107-4B4B252E4B3A}"/>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2000"/>
          <c:min val="0"/>
        </c:scaling>
        <c:delete val="1"/>
        <c:axPos val="l"/>
        <c:majorGridlines>
          <c:spPr>
            <a:ln w="9525" cap="flat" cmpd="sng" algn="ctr">
              <a:noFill/>
              <a:round/>
            </a:ln>
            <a:effectLst/>
          </c:spPr>
        </c:majorGridlines>
        <c:numFmt formatCode="#,##0\ &quot;€&quot;" sourceLinked="0"/>
        <c:majorTickMark val="out"/>
        <c:minorTickMark val="none"/>
        <c:tickLblPos val="nextTo"/>
        <c:crossAx val="903145471"/>
        <c:crosses val="autoZero"/>
        <c:crossBetween val="between"/>
        <c:majorUnit val="200"/>
      </c:valAx>
      <c:spPr>
        <a:noFill/>
        <a:ln>
          <a:noFill/>
        </a:ln>
        <a:effectLst/>
      </c:spPr>
    </c:plotArea>
    <c:legend>
      <c:legendPos val="b"/>
      <c:layout>
        <c:manualLayout>
          <c:xMode val="edge"/>
          <c:yMode val="edge"/>
          <c:x val="1.3448542886017892E-2"/>
          <c:y val="0.86939811246391219"/>
          <c:w val="0.94643320407438769"/>
          <c:h val="0.1136295033871306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q4_8_12_16_25_36_Fig!$CG$43</c:f>
              <c:strCache>
                <c:ptCount val="1"/>
                <c:pt idx="0">
                  <c:v>Alentejo</c:v>
                </c:pt>
              </c:strCache>
            </c:strRef>
          </c:cat>
          <c:val>
            <c:numRef>
              <c:extLst>
                <c:ext xmlns:c15="http://schemas.microsoft.com/office/drawing/2012/chart" uri="{02D57815-91ED-43cb-92C2-25804820EDAC}">
                  <c15:fullRef>
                    <c15:sqref>q4_8_12_16_25_36_Fig!$CH$38:$CH$44</c15:sqref>
                  </c15:fullRef>
                </c:ext>
              </c:extLst>
              <c:f>q4_8_12_16_25_36_Fig!$CH$43</c:f>
              <c:numCache>
                <c:formatCode>#,##0\ "€"</c:formatCode>
                <c:ptCount val="1"/>
                <c:pt idx="0">
                  <c:v>1053.06</c:v>
                </c:pt>
              </c:numCache>
            </c:numRef>
          </c:val>
          <c:extLst>
            <c:ext xmlns:c16="http://schemas.microsoft.com/office/drawing/2014/chart" uri="{C3380CC4-5D6E-409C-BE32-E72D297353CC}">
              <c16:uniqueId val="{00000000-95B9-4172-B5A0-6D11058A5AF1}"/>
            </c:ext>
          </c:extLst>
        </c:ser>
        <c:ser>
          <c:idx val="1"/>
          <c:order val="1"/>
          <c:tx>
            <c:strRef>
              <c:f>q4_8_12_16_25_36_Fig!$CI$37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95B9-4172-B5A0-6D11058A5AF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q4_8_12_16_25_36_Fig!$CG$43</c:f>
              <c:strCache>
                <c:ptCount val="1"/>
                <c:pt idx="0">
                  <c:v>Alentejo</c:v>
                </c:pt>
              </c:strCache>
            </c:strRef>
          </c:cat>
          <c:val>
            <c:numRef>
              <c:extLst>
                <c:ext xmlns:c15="http://schemas.microsoft.com/office/drawing/2012/chart" uri="{02D57815-91ED-43cb-92C2-25804820EDAC}">
                  <c15:fullRef>
                    <c15:sqref>q4_8_12_16_25_36_Fig!$CI$38:$CI$44</c15:sqref>
                  </c15:fullRef>
                </c:ext>
              </c:extLst>
              <c:f>q4_8_12_16_25_36_Fig!$CI$43</c:f>
              <c:numCache>
                <c:formatCode>#,##0\ "€"</c:formatCode>
                <c:ptCount val="1"/>
                <c:pt idx="0">
                  <c:v>1326.13</c:v>
                </c:pt>
              </c:numCache>
            </c:numRef>
          </c:val>
          <c:extLst>
            <c:ext xmlns:c16="http://schemas.microsoft.com/office/drawing/2014/chart" uri="{C3380CC4-5D6E-409C-BE32-E72D297353CC}">
              <c16:uniqueId val="{00000001-95B9-4172-B5A0-6D11058A5AF1}"/>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q4_8_12_16_25_36_Fig!$CG$44</c:f>
              <c:strCache>
                <c:ptCount val="1"/>
                <c:pt idx="0">
                  <c:v>Algarve</c:v>
                </c:pt>
              </c:strCache>
            </c:strRef>
          </c:cat>
          <c:val>
            <c:numRef>
              <c:extLst>
                <c:ext xmlns:c15="http://schemas.microsoft.com/office/drawing/2012/chart" uri="{02D57815-91ED-43cb-92C2-25804820EDAC}">
                  <c15:fullRef>
                    <c15:sqref>q4_8_12_16_25_36_Fig!$CH$38:$CH$44</c15:sqref>
                  </c15:fullRef>
                </c:ext>
              </c:extLst>
              <c:f>q4_8_12_16_25_36_Fig!$CH$44</c:f>
              <c:numCache>
                <c:formatCode>#,##0\ "€"</c:formatCode>
                <c:ptCount val="1"/>
                <c:pt idx="0">
                  <c:v>1031.25</c:v>
                </c:pt>
              </c:numCache>
            </c:numRef>
          </c:val>
          <c:extLst>
            <c:ext xmlns:c16="http://schemas.microsoft.com/office/drawing/2014/chart" uri="{C3380CC4-5D6E-409C-BE32-E72D297353CC}">
              <c16:uniqueId val="{00000000-B9F0-4A47-BF0F-BFE10E19A5A3}"/>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q4_8_12_16_25_36_Fig!$CG$44</c:f>
              <c:strCache>
                <c:ptCount val="1"/>
                <c:pt idx="0">
                  <c:v>Algarve</c:v>
                </c:pt>
              </c:strCache>
            </c:strRef>
          </c:cat>
          <c:val>
            <c:numRef>
              <c:extLst>
                <c:ext xmlns:c15="http://schemas.microsoft.com/office/drawing/2012/chart" uri="{02D57815-91ED-43cb-92C2-25804820EDAC}">
                  <c15:fullRef>
                    <c15:sqref>q4_8_12_16_25_36_Fig!$CI$38:$CI$44</c15:sqref>
                  </c15:fullRef>
                </c:ext>
              </c:extLst>
              <c:f>q4_8_12_16_25_36_Fig!$CI$44</c:f>
              <c:numCache>
                <c:formatCode>#,##0\ "€"</c:formatCode>
                <c:ptCount val="1"/>
                <c:pt idx="0">
                  <c:v>1238.68</c:v>
                </c:pt>
              </c:numCache>
            </c:numRef>
          </c:val>
          <c:extLst>
            <c:ext xmlns:c16="http://schemas.microsoft.com/office/drawing/2014/chart" uri="{C3380CC4-5D6E-409C-BE32-E72D297353CC}">
              <c16:uniqueId val="{00000001-B9F0-4A47-BF0F-BFE10E19A5A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q4_8_12_16_25_36_Fig!$CH$7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q4_8_12_16_25_36_Fig!$CH$8:$CH$31</c:f>
              <c:numCache>
                <c:formatCode>#,##0\ "€"</c:formatCode>
                <c:ptCount val="24"/>
                <c:pt idx="0">
                  <c:v>1022.16</c:v>
                </c:pt>
                <c:pt idx="1">
                  <c:v>1092.31</c:v>
                </c:pt>
                <c:pt idx="2">
                  <c:v>1028.49</c:v>
                </c:pt>
                <c:pt idx="3">
                  <c:v>1242.23</c:v>
                </c:pt>
                <c:pt idx="4">
                  <c:v>964</c:v>
                </c:pt>
                <c:pt idx="5">
                  <c:v>949.32</c:v>
                </c:pt>
                <c:pt idx="6">
                  <c:v>988.16</c:v>
                </c:pt>
                <c:pt idx="7">
                  <c:v>965.83</c:v>
                </c:pt>
                <c:pt idx="8">
                  <c:v>1142.06</c:v>
                </c:pt>
                <c:pt idx="9">
                  <c:v>1081.05</c:v>
                </c:pt>
                <c:pt idx="10">
                  <c:v>1096.77</c:v>
                </c:pt>
                <c:pt idx="11">
                  <c:v>1009.72</c:v>
                </c:pt>
                <c:pt idx="12">
                  <c:v>990.62</c:v>
                </c:pt>
                <c:pt idx="13">
                  <c:v>979.61</c:v>
                </c:pt>
                <c:pt idx="14">
                  <c:v>1033.98</c:v>
                </c:pt>
                <c:pt idx="15">
                  <c:v>1035.3900000000001</c:v>
                </c:pt>
                <c:pt idx="16">
                  <c:v>1036.5899999999999</c:v>
                </c:pt>
                <c:pt idx="17">
                  <c:v>1505.99</c:v>
                </c:pt>
                <c:pt idx="18">
                  <c:v>1188.27</c:v>
                </c:pt>
                <c:pt idx="19">
                  <c:v>1108.18</c:v>
                </c:pt>
                <c:pt idx="20">
                  <c:v>1044.58</c:v>
                </c:pt>
                <c:pt idx="21">
                  <c:v>990.36</c:v>
                </c:pt>
                <c:pt idx="22">
                  <c:v>1049.8499999999999</c:v>
                </c:pt>
                <c:pt idx="23">
                  <c:v>1031.25</c:v>
                </c:pt>
              </c:numCache>
            </c:numRef>
          </c:val>
          <c:extLst>
            <c:ext xmlns:c16="http://schemas.microsoft.com/office/drawing/2014/chart" uri="{C3380CC4-5D6E-409C-BE32-E72D297353CC}">
              <c16:uniqueId val="{00000000-0876-4916-83D8-9DC25EF5C040}"/>
            </c:ext>
          </c:extLst>
        </c:ser>
        <c:ser>
          <c:idx val="1"/>
          <c:order val="1"/>
          <c:tx>
            <c:strRef>
              <c:f>q4_8_12_16_25_36_Fig!$CI$7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q4_8_12_16_25_36_Fig!$CI$8:$CI$31</c:f>
              <c:numCache>
                <c:formatCode>#,##0\ "€"</c:formatCode>
                <c:ptCount val="24"/>
                <c:pt idx="0">
                  <c:v>1237.67</c:v>
                </c:pt>
                <c:pt idx="1">
                  <c:v>1276.47</c:v>
                </c:pt>
                <c:pt idx="2">
                  <c:v>1215.1300000000001</c:v>
                </c:pt>
                <c:pt idx="3">
                  <c:v>1480.08</c:v>
                </c:pt>
                <c:pt idx="4">
                  <c:v>1128.21</c:v>
                </c:pt>
                <c:pt idx="5">
                  <c:v>1107.17</c:v>
                </c:pt>
                <c:pt idx="6">
                  <c:v>1168.78</c:v>
                </c:pt>
                <c:pt idx="7">
                  <c:v>1149.46</c:v>
                </c:pt>
                <c:pt idx="8">
                  <c:v>1382.49</c:v>
                </c:pt>
                <c:pt idx="9">
                  <c:v>1319.21</c:v>
                </c:pt>
                <c:pt idx="10">
                  <c:v>1326.74</c:v>
                </c:pt>
                <c:pt idx="11">
                  <c:v>1239.6199999999999</c:v>
                </c:pt>
                <c:pt idx="12">
                  <c:v>1188.93</c:v>
                </c:pt>
                <c:pt idx="13">
                  <c:v>1180.54</c:v>
                </c:pt>
                <c:pt idx="14">
                  <c:v>1237.75</c:v>
                </c:pt>
                <c:pt idx="15">
                  <c:v>1259.29</c:v>
                </c:pt>
                <c:pt idx="16">
                  <c:v>1260.73</c:v>
                </c:pt>
                <c:pt idx="17">
                  <c:v>1817.17</c:v>
                </c:pt>
                <c:pt idx="18">
                  <c:v>1433.11</c:v>
                </c:pt>
                <c:pt idx="19">
                  <c:v>1419.88</c:v>
                </c:pt>
                <c:pt idx="20">
                  <c:v>1401.29</c:v>
                </c:pt>
                <c:pt idx="21">
                  <c:v>1197.92</c:v>
                </c:pt>
                <c:pt idx="22">
                  <c:v>1271.71</c:v>
                </c:pt>
                <c:pt idx="23">
                  <c:v>1238.68</c:v>
                </c:pt>
              </c:numCache>
            </c:numRef>
          </c:val>
          <c:extLst>
            <c:ext xmlns:c16="http://schemas.microsoft.com/office/drawing/2014/chart" uri="{C3380CC4-5D6E-409C-BE32-E72D297353CC}">
              <c16:uniqueId val="{00000001-0876-4916-83D8-9DC25EF5C040}"/>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804965417"/>
          <c:y val="0.95587928345349849"/>
          <c:w val="0.36497235015434393"/>
          <c:h val="4.2533324537005042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q4_8_12_16_25_36_Fig!$AS$7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6109-4FDA-BE3B-ACD1677A9A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q4_8_12_16_25_36_Fig!$AR$32</c:f>
              <c:strCache>
                <c:ptCount val="1"/>
                <c:pt idx="0">
                  <c:v>Continente</c:v>
                </c:pt>
              </c:strCache>
            </c:strRef>
          </c:cat>
          <c:val>
            <c:numRef>
              <c:f>q4_8_12_16_25_36_Fig!$AS$32</c:f>
              <c:numCache>
                <c:formatCode>#,##0</c:formatCode>
                <c:ptCount val="1"/>
                <c:pt idx="0">
                  <c:v>291252.00000000017</c:v>
                </c:pt>
              </c:numCache>
            </c:numRef>
          </c:val>
          <c:extLst>
            <c:ext xmlns:c16="http://schemas.microsoft.com/office/drawing/2014/chart" uri="{C3380CC4-5D6E-409C-BE32-E72D297353CC}">
              <c16:uniqueId val="{00000001-6109-4FDA-BE3B-ACD1677A9AC3}"/>
            </c:ext>
          </c:extLst>
        </c:ser>
        <c:ser>
          <c:idx val="1"/>
          <c:order val="1"/>
          <c:tx>
            <c:strRef>
              <c:f>q4_8_12_16_25_36_Fig!$AT$7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6109-4FDA-BE3B-ACD1677A9A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q4_8_12_16_25_36_Fig!$AR$32</c:f>
              <c:strCache>
                <c:ptCount val="1"/>
                <c:pt idx="0">
                  <c:v>Continente</c:v>
                </c:pt>
              </c:strCache>
            </c:strRef>
          </c:cat>
          <c:val>
            <c:numRef>
              <c:f>q4_8_12_16_25_36_Fig!$AT$32</c:f>
              <c:numCache>
                <c:formatCode>#,##0</c:formatCode>
                <c:ptCount val="1"/>
                <c:pt idx="0">
                  <c:v>340363.99999999994</c:v>
                </c:pt>
              </c:numCache>
            </c:numRef>
          </c:val>
          <c:extLst>
            <c:ext xmlns:c16="http://schemas.microsoft.com/office/drawing/2014/chart" uri="{C3380CC4-5D6E-409C-BE32-E72D297353CC}">
              <c16:uniqueId val="{00000003-6109-4FDA-BE3B-ACD1677A9AC3}"/>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q4_8_12_16_25_36_Fig!$BN$7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7B24-4756-8645-C488E9EA3A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q4_8_12_16_25_36_Fig!$BM$32</c:f>
              <c:strCache>
                <c:ptCount val="1"/>
                <c:pt idx="0">
                  <c:v>Continente</c:v>
                </c:pt>
              </c:strCache>
            </c:strRef>
          </c:cat>
          <c:val>
            <c:numRef>
              <c:f>q4_8_12_16_25_36_Fig!$BN$32</c:f>
              <c:numCache>
                <c:formatCode>#,##0</c:formatCode>
                <c:ptCount val="1"/>
                <c:pt idx="0">
                  <c:v>3489582.9999999995</c:v>
                </c:pt>
              </c:numCache>
            </c:numRef>
          </c:val>
          <c:extLst>
            <c:ext xmlns:c16="http://schemas.microsoft.com/office/drawing/2014/chart" uri="{C3380CC4-5D6E-409C-BE32-E72D297353CC}">
              <c16:uniqueId val="{00000001-7B24-4756-8645-C488E9EA3A88}"/>
            </c:ext>
          </c:extLst>
        </c:ser>
        <c:ser>
          <c:idx val="1"/>
          <c:order val="1"/>
          <c:tx>
            <c:strRef>
              <c:f>q4_8_12_16_25_36_Fig!$BO$7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B24-4756-8645-C488E9EA3A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q4_8_12_16_25_36_Fig!$BM$32</c:f>
              <c:strCache>
                <c:ptCount val="1"/>
                <c:pt idx="0">
                  <c:v>Continente</c:v>
                </c:pt>
              </c:strCache>
            </c:strRef>
          </c:cat>
          <c:val>
            <c:numRef>
              <c:f>q4_8_12_16_25_36_Fig!$BO$32</c:f>
              <c:numCache>
                <c:formatCode>#,##0</c:formatCode>
                <c:ptCount val="1"/>
                <c:pt idx="0">
                  <c:v>3296133.9999999981</c:v>
                </c:pt>
              </c:numCache>
            </c:numRef>
          </c:val>
          <c:extLst>
            <c:ext xmlns:c16="http://schemas.microsoft.com/office/drawing/2014/chart" uri="{C3380CC4-5D6E-409C-BE32-E72D297353CC}">
              <c16:uniqueId val="{00000003-7B24-4756-8645-C488E9EA3A88}"/>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q4_8_12_16_25_36_Fig!$CH$7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B7EE-44AB-BA24-664D3A3200F9}"/>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q4_8_12_16_25_36_Fig!$CG$32</c:f>
              <c:strCache>
                <c:ptCount val="1"/>
                <c:pt idx="0">
                  <c:v>Continente</c:v>
                </c:pt>
              </c:strCache>
            </c:strRef>
          </c:cat>
          <c:val>
            <c:numRef>
              <c:f>q4_8_12_16_25_36_Fig!$CH$32</c:f>
              <c:numCache>
                <c:formatCode>#,##0\ "€"</c:formatCode>
                <c:ptCount val="1"/>
                <c:pt idx="0">
                  <c:v>1219.8699999999999</c:v>
                </c:pt>
              </c:numCache>
            </c:numRef>
          </c:val>
          <c:extLst>
            <c:ext xmlns:c16="http://schemas.microsoft.com/office/drawing/2014/chart" uri="{C3380CC4-5D6E-409C-BE32-E72D297353CC}">
              <c16:uniqueId val="{00000001-B7EE-44AB-BA24-664D3A3200F9}"/>
            </c:ext>
          </c:extLst>
        </c:ser>
        <c:ser>
          <c:idx val="1"/>
          <c:order val="1"/>
          <c:tx>
            <c:strRef>
              <c:f>q4_8_12_16_25_36_Fig!$CI$7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B7EE-44AB-BA24-664D3A3200F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q4_8_12_16_25_36_Fig!$CG$32</c:f>
              <c:strCache>
                <c:ptCount val="1"/>
                <c:pt idx="0">
                  <c:v>Continente</c:v>
                </c:pt>
              </c:strCache>
            </c:strRef>
          </c:cat>
          <c:val>
            <c:numRef>
              <c:f>q4_8_12_16_25_36_Fig!$CI$32</c:f>
              <c:numCache>
                <c:formatCode>#,##0\ "€"</c:formatCode>
                <c:ptCount val="1"/>
                <c:pt idx="0">
                  <c:v>1466.66</c:v>
                </c:pt>
              </c:numCache>
            </c:numRef>
          </c:val>
          <c:extLst>
            <c:ext xmlns:c16="http://schemas.microsoft.com/office/drawing/2014/chart" uri="{C3380CC4-5D6E-409C-BE32-E72D297353CC}">
              <c16:uniqueId val="{00000003-B7EE-44AB-BA24-664D3A3200F9}"/>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541962742462074E-2"/>
          <c:y val="0.13630659253375696"/>
          <c:w val="0.48749094168107027"/>
          <c:h val="0.61503188433701927"/>
        </c:manualLayout>
      </c:layout>
      <c:doughnutChart>
        <c:varyColors val="1"/>
        <c:ser>
          <c:idx val="0"/>
          <c:order val="0"/>
          <c:tx>
            <c:strRef>
              <c:f>q19_q28_q29_q39_Fig!$T$16</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5C4-4DD0-ADBB-890455E21F0C}"/>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5C4-4DD0-ADBB-890455E21F0C}"/>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5C4-4DD0-ADBB-890455E21F0C}"/>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5C4-4DD0-ADBB-890455E21F0C}"/>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B5C4-4DD0-ADBB-890455E21F0C}"/>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B5C4-4DD0-ADBB-890455E21F0C}"/>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B5C4-4DD0-ADBB-890455E21F0C}"/>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B5C4-4DD0-ADBB-890455E21F0C}"/>
              </c:ext>
            </c:extLst>
          </c:dPt>
          <c:dPt>
            <c:idx val="8"/>
            <c:bubble3D val="0"/>
            <c:spPr>
              <a:solidFill>
                <a:schemeClr val="accent5">
                  <a:lumMod val="80000"/>
                  <a:lumOff val="20000"/>
                </a:schemeClr>
              </a:solidFill>
              <a:ln>
                <a:noFill/>
              </a:ln>
              <a:effectLst/>
            </c:spPr>
            <c:extLst>
              <c:ext xmlns:c16="http://schemas.microsoft.com/office/drawing/2014/chart" uri="{C3380CC4-5D6E-409C-BE32-E72D297353CC}">
                <c16:uniqueId val="{00000011-CE16-44E7-8C4A-2F05321B8710}"/>
              </c:ext>
            </c:extLst>
          </c:dPt>
          <c:dPt>
            <c:idx val="9"/>
            <c:bubble3D val="0"/>
            <c:spPr>
              <a:solidFill>
                <a:schemeClr val="accent1">
                  <a:lumMod val="80000"/>
                </a:schemeClr>
              </a:solidFill>
              <a:ln>
                <a:noFill/>
              </a:ln>
              <a:effectLst/>
            </c:spPr>
            <c:extLst>
              <c:ext xmlns:c16="http://schemas.microsoft.com/office/drawing/2014/chart" uri="{C3380CC4-5D6E-409C-BE32-E72D297353CC}">
                <c16:uniqueId val="{00000011-B5C4-4DD0-ADBB-890455E21F0C}"/>
              </c:ext>
            </c:extLst>
          </c:dPt>
          <c:dLbls>
            <c:dLbl>
              <c:idx val="0"/>
              <c:layout>
                <c:manualLayout>
                  <c:x val="4.2276422764227585E-2"/>
                  <c:y val="-0.1805255334758886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5C4-4DD0-ADBB-890455E21F0C}"/>
                </c:ext>
              </c:extLst>
            </c:dLbl>
            <c:dLbl>
              <c:idx val="5"/>
              <c:layout>
                <c:manualLayout>
                  <c:x val="-0.14308943089430895"/>
                  <c:y val="0.1518055622410881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5C4-4DD0-ADBB-890455E21F0C}"/>
                </c:ext>
              </c:extLst>
            </c:dLbl>
            <c:dLbl>
              <c:idx val="9"/>
              <c:layout>
                <c:manualLayout>
                  <c:x val="-0.11382113821138215"/>
                  <c:y val="-0.18462838650943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layout>
                    <c:manualLayout>
                      <c:w val="8.4585365853658528E-2"/>
                      <c:h val="7.0589747971752992E-2"/>
                    </c:manualLayout>
                  </c15:layout>
                </c:ext>
                <c:ext xmlns:c16="http://schemas.microsoft.com/office/drawing/2014/chart" uri="{C3380CC4-5D6E-409C-BE32-E72D297353CC}">
                  <c16:uniqueId val="{00000011-B5C4-4DD0-ADBB-890455E21F0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q19_q28_q29_q39_Fig!$S$17:$S$26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q19_q28_q29_q39_Fig!$T$17:$T$26</c:f>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10-B5C4-4DD0-ADBB-890455E21F0C}"/>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9856961782216245"/>
          <c:y val="2.0381810857182919E-2"/>
          <c:w val="0.33858523782088212"/>
          <c:h val="0.9037076545992175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0742898448458355"/>
          <c:w val="0.41229760119940023"/>
          <c:h val="0.85925208587139457"/>
        </c:manualLayout>
      </c:layout>
      <c:barChart>
        <c:barDir val="bar"/>
        <c:grouping val="clustered"/>
        <c:varyColors val="0"/>
        <c:ser>
          <c:idx val="0"/>
          <c:order val="0"/>
          <c:tx>
            <c:strRef>
              <c:f>q19_q28_q29_q39_Fig!$T$16</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61D8-4860-BB1B-49A520F629AE}"/>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61D8-4860-BB1B-49A520F629AE}"/>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61D8-4860-BB1B-49A520F629AE}"/>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61D8-4860-BB1B-49A520F629AE}"/>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C-61D8-4860-BB1B-49A520F629AE}"/>
              </c:ext>
            </c:extLst>
          </c:dPt>
          <c:dPt>
            <c:idx val="5"/>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61D8-4860-BB1B-49A520F629AE}"/>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D8-4860-BB1B-49A520F629AE}"/>
                </c:ext>
              </c:extLst>
            </c:dLbl>
            <c:spPr>
              <a:noFill/>
              <a:ln>
                <a:noFill/>
              </a:ln>
              <a:effectLst/>
            </c:spPr>
            <c:txPr>
              <a:bodyPr rot="0" spcFirstLastPara="1" vertOverflow="overflow" horzOverflow="overflow" vert="horz" wrap="non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q19_q28_q29_q39_Fig!$S$17:$S$26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q19_q28_q29_q39_Fig!$T$17:$T$26</c:f>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0A-61D8-4860-BB1B-49A520F629AE}"/>
            </c:ext>
          </c:extLst>
        </c:ser>
        <c:dLbls>
          <c:showLegendKey val="0"/>
          <c:showVal val="0"/>
          <c:showCatName val="0"/>
          <c:showSerName val="0"/>
          <c:showPercent val="0"/>
          <c:showBubbleSize val="0"/>
        </c:dLbls>
        <c:gapWidth val="118"/>
        <c:axId val="891633855"/>
        <c:axId val="1319480015"/>
      </c:barChart>
      <c:valAx>
        <c:axId val="1319480015"/>
        <c:scaling>
          <c:orientation val="minMax"/>
          <c:max val="12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4696557342948274"/>
          <c:w val="0.46826480651678509"/>
          <c:h val="0.79171744577056835"/>
        </c:manualLayout>
      </c:layout>
      <c:barChart>
        <c:barDir val="bar"/>
        <c:grouping val="clustered"/>
        <c:varyColors val="0"/>
        <c:ser>
          <c:idx val="1"/>
          <c:order val="1"/>
          <c:tx>
            <c:strRef>
              <c:f>q19_q28_q29_q39_Fig!$U$16</c:f>
              <c:strCache>
                <c:ptCount val="1"/>
                <c:pt idx="0">
                  <c:v>Base</c:v>
                </c:pt>
              </c:strCache>
            </c:strRef>
          </c:tx>
          <c:spPr>
            <a:solidFill>
              <a:srgbClr val="4F81BD"/>
            </a:solidFill>
            <a:ln w="19050">
              <a:solidFill>
                <a:schemeClr val="lt1"/>
              </a:solidFill>
            </a:ln>
            <a:effectLst/>
          </c:spPr>
          <c:invertIfNegative val="0"/>
          <c:dLbls>
            <c:numFmt formatCode="#,##0.00\ &quot;€&quot;"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q19_q28_q29_q39_Fig!$S$17:$S$26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q19_q28_q29_q39_Fig!$U$17:$U$26</c:f>
              <c:numCache>
                <c:formatCode>#,##0.00\ "€"</c:formatCode>
                <c:ptCount val="10"/>
                <c:pt idx="0">
                  <c:v>2657.57</c:v>
                </c:pt>
                <c:pt idx="1">
                  <c:v>1907.03</c:v>
                </c:pt>
                <c:pt idx="2">
                  <c:v>1506.33</c:v>
                </c:pt>
                <c:pt idx="3">
                  <c:v>1075.58</c:v>
                </c:pt>
                <c:pt idx="4">
                  <c:v>897.05</c:v>
                </c:pt>
                <c:pt idx="5">
                  <c:v>921.84</c:v>
                </c:pt>
                <c:pt idx="6">
                  <c:v>951.56</c:v>
                </c:pt>
                <c:pt idx="7">
                  <c:v>925.47</c:v>
                </c:pt>
                <c:pt idx="8">
                  <c:v>853.75</c:v>
                </c:pt>
                <c:pt idx="9">
                  <c:v>2853.07</c:v>
                </c:pt>
              </c:numCache>
            </c:numRef>
          </c:val>
          <c:extLst>
            <c:ext xmlns:c16="http://schemas.microsoft.com/office/drawing/2014/chart" uri="{C3380CC4-5D6E-409C-BE32-E72D297353CC}">
              <c16:uniqueId val="{00000005-EAED-4045-823F-10B4ECFCEF26}"/>
            </c:ext>
          </c:extLst>
        </c:ser>
        <c:ser>
          <c:idx val="2"/>
          <c:order val="2"/>
          <c:tx>
            <c:strRef>
              <c:f>q19_q28_q29_q39_Fig!$V$16</c:f>
              <c:strCache>
                <c:ptCount val="1"/>
                <c:pt idx="0">
                  <c:v>Ganho</c:v>
                </c:pt>
              </c:strCache>
            </c:strRef>
          </c:tx>
          <c:spPr>
            <a:solidFill>
              <a:srgbClr val="FFC000"/>
            </a:solidFill>
            <a:ln>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q19_q28_q29_q39_Fig!$S$17:$S$26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q19_q28_q29_q39_Fig!$V$17:$V$26</c:f>
              <c:numCache>
                <c:formatCode>#,##0.00\ "€"</c:formatCode>
                <c:ptCount val="10"/>
                <c:pt idx="0">
                  <c:v>3072.68</c:v>
                </c:pt>
                <c:pt idx="1">
                  <c:v>2222.79</c:v>
                </c:pt>
                <c:pt idx="2">
                  <c:v>1836.79</c:v>
                </c:pt>
                <c:pt idx="3">
                  <c:v>1303.32</c:v>
                </c:pt>
                <c:pt idx="4">
                  <c:v>1078.9100000000001</c:v>
                </c:pt>
                <c:pt idx="5">
                  <c:v>1062.6099999999999</c:v>
                </c:pt>
                <c:pt idx="6">
                  <c:v>1154.1400000000001</c:v>
                </c:pt>
                <c:pt idx="7">
                  <c:v>1235.24</c:v>
                </c:pt>
                <c:pt idx="8">
                  <c:v>1007.47</c:v>
                </c:pt>
                <c:pt idx="9">
                  <c:v>3169.09</c:v>
                </c:pt>
              </c:numCache>
            </c:numRef>
          </c:val>
          <c:extLst>
            <c:ext xmlns:c16="http://schemas.microsoft.com/office/drawing/2014/chart" uri="{C3380CC4-5D6E-409C-BE32-E72D297353CC}">
              <c16:uniqueId val="{00000008-EAED-4045-823F-10B4ECFCEF26}"/>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q19_q28_q29_q39_Fig!$T$16</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0-EAED-4045-823F-10B4ECFCEF26}"/>
                    </c:ext>
                  </c:extLst>
                </c:dPt>
                <c:dPt>
                  <c:idx val="2"/>
                  <c:invertIfNegative val="0"/>
                  <c:bubble3D val="0"/>
                  <c:extLst>
                    <c:ext xmlns:c16="http://schemas.microsoft.com/office/drawing/2014/chart" uri="{C3380CC4-5D6E-409C-BE32-E72D297353CC}">
                      <c16:uniqueId val="{00000001-EAED-4045-823F-10B4ECFCEF26}"/>
                    </c:ext>
                  </c:extLst>
                </c:dPt>
                <c:dPt>
                  <c:idx val="3"/>
                  <c:invertIfNegative val="0"/>
                  <c:bubble3D val="0"/>
                  <c:extLst>
                    <c:ext xmlns:c16="http://schemas.microsoft.com/office/drawing/2014/chart" uri="{C3380CC4-5D6E-409C-BE32-E72D297353CC}">
                      <c16:uniqueId val="{00000002-EAED-4045-823F-10B4ECFCEF26}"/>
                    </c:ext>
                  </c:extLst>
                </c:dPt>
                <c:dPt>
                  <c:idx val="4"/>
                  <c:invertIfNegative val="0"/>
                  <c:bubble3D val="0"/>
                  <c:extLst>
                    <c:ext xmlns:c16="http://schemas.microsoft.com/office/drawing/2014/chart" uri="{C3380CC4-5D6E-409C-BE32-E72D297353CC}">
                      <c16:uniqueId val="{00000003-EAED-4045-823F-10B4ECFCEF26}"/>
                    </c:ext>
                  </c:extLst>
                </c:dPt>
                <c:dPt>
                  <c:idx val="5"/>
                  <c:invertIfNegative val="0"/>
                  <c:bubble3D val="0"/>
                  <c:extLst>
                    <c:ext xmlns:c16="http://schemas.microsoft.com/office/drawing/2014/chart" uri="{C3380CC4-5D6E-409C-BE32-E72D297353CC}">
                      <c16:uniqueId val="{00000007-EAED-4045-823F-10B4ECFCEF26}"/>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q19_q28_q29_q39_Fig!$S$17:$S$26</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q19_q28_q29_q39_Fig!$T$17:$T$27</c15:sqref>
                        </c15:formulaRef>
                      </c:ext>
                    </c:extLst>
                    <c:numCache>
                      <c:formatCode>#,##0</c:formatCode>
                      <c:ptCount val="11"/>
                      <c:pt idx="0">
                        <c:v>112926</c:v>
                      </c:pt>
                      <c:pt idx="1">
                        <c:v>416579</c:v>
                      </c:pt>
                      <c:pt idx="2">
                        <c:v>340854</c:v>
                      </c:pt>
                      <c:pt idx="3">
                        <c:v>434712</c:v>
                      </c:pt>
                      <c:pt idx="4">
                        <c:v>691852</c:v>
                      </c:pt>
                      <c:pt idx="5">
                        <c:v>37292</c:v>
                      </c:pt>
                      <c:pt idx="6">
                        <c:v>457733</c:v>
                      </c:pt>
                      <c:pt idx="7">
                        <c:v>324386</c:v>
                      </c:pt>
                      <c:pt idx="8">
                        <c:v>477160</c:v>
                      </c:pt>
                      <c:pt idx="9">
                        <c:v>2640</c:v>
                      </c:pt>
                      <c:pt idx="10">
                        <c:v>3296134</c:v>
                      </c:pt>
                    </c:numCache>
                  </c:numRef>
                </c:val>
                <c:extLst>
                  <c:ext xmlns:c16="http://schemas.microsoft.com/office/drawing/2014/chart" uri="{C3380CC4-5D6E-409C-BE32-E72D297353CC}">
                    <c16:uniqueId val="{00000004-EAED-4045-823F-10B4ECFCEF26}"/>
                  </c:ext>
                </c:extLst>
              </c15:ser>
            </c15:filteredBarSeries>
          </c:ext>
        </c:extLst>
      </c:barChart>
      <c:valAx>
        <c:axId val="1319480015"/>
        <c:scaling>
          <c:orientation val="minMax"/>
          <c:max val="3300"/>
          <c:min val="0"/>
        </c:scaling>
        <c:delete val="1"/>
        <c:axPos val="t"/>
        <c:numFmt formatCode="#,##0.00\ &quot;€&quot;" sourceLinked="1"/>
        <c:majorTickMark val="out"/>
        <c:minorTickMark val="none"/>
        <c:tickLblPos val="nextTo"/>
        <c:crossAx val="891633855"/>
        <c:crosses val="autoZero"/>
        <c:crossBetween val="between"/>
        <c:majorUnit val="3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5036216525202521"/>
          <c:y val="1.9620487218601212E-2"/>
          <c:w val="0.16526299705334702"/>
          <c:h val="8.889572494316742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2141943790027154"/>
          <c:w val="0.7546157966014222"/>
          <c:h val="0.84693069647889441"/>
        </c:manualLayout>
      </c:layout>
      <c:barChart>
        <c:barDir val="bar"/>
        <c:grouping val="clustered"/>
        <c:varyColors val="0"/>
        <c:ser>
          <c:idx val="3"/>
          <c:order val="3"/>
          <c:tx>
            <c:strRef>
              <c:f>q19_q28_q29_q39_Fig!$W$16</c:f>
              <c:strCache>
                <c:ptCount val="1"/>
                <c:pt idx="0">
                  <c:v>Base</c:v>
                </c:pt>
              </c:strCache>
            </c:strRef>
          </c:tx>
          <c:spPr>
            <a:solidFill>
              <a:srgbClr val="4F81BD"/>
            </a:solidFill>
            <a:ln w="19050">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q19_q28_q29_q39_Fig!$S$17:$S$27</c:f>
              <c:strCache>
                <c:ptCount val="11"/>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pt idx="10">
                  <c:v>Total</c:v>
                </c:pt>
              </c:strCache>
            </c:strRef>
          </c:cat>
          <c:val>
            <c:numRef>
              <c:f>q19_q28_q29_q39_Fig!$W$17:$W$27</c:f>
              <c:numCache>
                <c:formatCode>#,##0.00\ "€"</c:formatCode>
                <c:ptCount val="11"/>
                <c:pt idx="0">
                  <c:v>15.43</c:v>
                </c:pt>
                <c:pt idx="1">
                  <c:v>11.33</c:v>
                </c:pt>
                <c:pt idx="2">
                  <c:v>8.6999999999999993</c:v>
                </c:pt>
                <c:pt idx="3">
                  <c:v>6.18</c:v>
                </c:pt>
                <c:pt idx="4">
                  <c:v>5.18</c:v>
                </c:pt>
                <c:pt idx="5">
                  <c:v>5</c:v>
                </c:pt>
                <c:pt idx="6">
                  <c:v>5.41</c:v>
                </c:pt>
                <c:pt idx="7">
                  <c:v>5.33</c:v>
                </c:pt>
                <c:pt idx="8">
                  <c:v>4.8600000000000003</c:v>
                </c:pt>
                <c:pt idx="9">
                  <c:v>16.690000000000001</c:v>
                </c:pt>
                <c:pt idx="10">
                  <c:v>6.88</c:v>
                </c:pt>
              </c:numCache>
            </c:numRef>
          </c:val>
          <c:extLst>
            <c:ext xmlns:c16="http://schemas.microsoft.com/office/drawing/2014/chart" uri="{C3380CC4-5D6E-409C-BE32-E72D297353CC}">
              <c16:uniqueId val="{00000009-6B69-49F0-8C83-E5A545B2B35C}"/>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q19_q28_q29_q39_Fig!$T$16</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0-6B69-49F0-8C83-E5A545B2B35C}"/>
                    </c:ext>
                  </c:extLst>
                </c:dPt>
                <c:dPt>
                  <c:idx val="2"/>
                  <c:invertIfNegative val="0"/>
                  <c:bubble3D val="0"/>
                  <c:extLst>
                    <c:ext xmlns:c16="http://schemas.microsoft.com/office/drawing/2014/chart" uri="{C3380CC4-5D6E-409C-BE32-E72D297353CC}">
                      <c16:uniqueId val="{00000001-6B69-49F0-8C83-E5A545B2B35C}"/>
                    </c:ext>
                  </c:extLst>
                </c:dPt>
                <c:dPt>
                  <c:idx val="3"/>
                  <c:invertIfNegative val="0"/>
                  <c:bubble3D val="0"/>
                  <c:extLst>
                    <c:ext xmlns:c16="http://schemas.microsoft.com/office/drawing/2014/chart" uri="{C3380CC4-5D6E-409C-BE32-E72D297353CC}">
                      <c16:uniqueId val="{00000002-6B69-49F0-8C83-E5A545B2B35C}"/>
                    </c:ext>
                  </c:extLst>
                </c:dPt>
                <c:dPt>
                  <c:idx val="4"/>
                  <c:invertIfNegative val="0"/>
                  <c:bubble3D val="0"/>
                  <c:extLst>
                    <c:ext xmlns:c16="http://schemas.microsoft.com/office/drawing/2014/chart" uri="{C3380CC4-5D6E-409C-BE32-E72D297353CC}">
                      <c16:uniqueId val="{00000003-6B69-49F0-8C83-E5A545B2B35C}"/>
                    </c:ext>
                  </c:extLst>
                </c:dPt>
                <c:dPt>
                  <c:idx val="5"/>
                  <c:invertIfNegative val="0"/>
                  <c:bubble3D val="0"/>
                  <c:extLst>
                    <c:ext xmlns:c16="http://schemas.microsoft.com/office/drawing/2014/chart" uri="{C3380CC4-5D6E-409C-BE32-E72D297353CC}">
                      <c16:uniqueId val="{00000007-6B69-49F0-8C83-E5A545B2B35C}"/>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q19_q28_q29_q39_Fig!$S$17:$S$27</c15:sqref>
                        </c15:formulaRef>
                      </c:ext>
                    </c:extLst>
                    <c:strCache>
                      <c:ptCount val="11"/>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pt idx="10">
                        <c:v>Total</c:v>
                      </c:pt>
                    </c:strCache>
                  </c:strRef>
                </c:cat>
                <c:val>
                  <c:numRef>
                    <c:extLst>
                      <c:ext uri="{02D57815-91ED-43cb-92C2-25804820EDAC}">
                        <c15:formulaRef>
                          <c15:sqref>q19_q28_q29_q39_Fig!$T$17:$T$27</c15:sqref>
                        </c15:formulaRef>
                      </c:ext>
                    </c:extLst>
                    <c:numCache>
                      <c:formatCode>#,##0</c:formatCode>
                      <c:ptCount val="11"/>
                      <c:pt idx="0">
                        <c:v>112926</c:v>
                      </c:pt>
                      <c:pt idx="1">
                        <c:v>416579</c:v>
                      </c:pt>
                      <c:pt idx="2">
                        <c:v>340854</c:v>
                      </c:pt>
                      <c:pt idx="3">
                        <c:v>434712</c:v>
                      </c:pt>
                      <c:pt idx="4">
                        <c:v>691852</c:v>
                      </c:pt>
                      <c:pt idx="5">
                        <c:v>37292</c:v>
                      </c:pt>
                      <c:pt idx="6">
                        <c:v>457733</c:v>
                      </c:pt>
                      <c:pt idx="7">
                        <c:v>324386</c:v>
                      </c:pt>
                      <c:pt idx="8">
                        <c:v>477160</c:v>
                      </c:pt>
                      <c:pt idx="9">
                        <c:v>2640</c:v>
                      </c:pt>
                      <c:pt idx="10">
                        <c:v>3296134</c:v>
                      </c:pt>
                    </c:numCache>
                  </c:numRef>
                </c:val>
                <c:extLst>
                  <c:ext xmlns:c16="http://schemas.microsoft.com/office/drawing/2014/chart" uri="{C3380CC4-5D6E-409C-BE32-E72D297353CC}">
                    <c16:uniqueId val="{00000004-6B69-49F0-8C83-E5A545B2B35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q19_q28_q29_q39_Fig!$U$16</c15:sqref>
                        </c15:formulaRef>
                      </c:ext>
                    </c:extLst>
                    <c:strCache>
                      <c:ptCount val="1"/>
                      <c:pt idx="0">
                        <c:v>Base</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q19_q28_q29_q39_Fig!$S$17:$S$27</c15:sqref>
                        </c15:formulaRef>
                      </c:ext>
                    </c:extLst>
                    <c:strCache>
                      <c:ptCount val="11"/>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pt idx="10">
                        <c:v>Total</c:v>
                      </c:pt>
                    </c:strCache>
                  </c:strRef>
                </c:cat>
                <c:val>
                  <c:numRef>
                    <c:extLst xmlns:c15="http://schemas.microsoft.com/office/drawing/2012/chart">
                      <c:ext xmlns:c15="http://schemas.microsoft.com/office/drawing/2012/chart" uri="{02D57815-91ED-43cb-92C2-25804820EDAC}">
                        <c15:formulaRef>
                          <c15:sqref>q19_q28_q29_q39_Fig!$U$17:$U$27</c15:sqref>
                        </c15:formulaRef>
                      </c:ext>
                    </c:extLst>
                    <c:numCache>
                      <c:formatCode>#,##0.00\ "€"</c:formatCode>
                      <c:ptCount val="11"/>
                      <c:pt idx="0">
                        <c:v>2657.57</c:v>
                      </c:pt>
                      <c:pt idx="1">
                        <c:v>1907.03</c:v>
                      </c:pt>
                      <c:pt idx="2">
                        <c:v>1506.33</c:v>
                      </c:pt>
                      <c:pt idx="3">
                        <c:v>1075.58</c:v>
                      </c:pt>
                      <c:pt idx="4">
                        <c:v>897.05</c:v>
                      </c:pt>
                      <c:pt idx="5">
                        <c:v>921.84</c:v>
                      </c:pt>
                      <c:pt idx="6">
                        <c:v>951.56</c:v>
                      </c:pt>
                      <c:pt idx="7">
                        <c:v>925.47</c:v>
                      </c:pt>
                      <c:pt idx="8">
                        <c:v>853.75</c:v>
                      </c:pt>
                      <c:pt idx="9">
                        <c:v>2853.07</c:v>
                      </c:pt>
                      <c:pt idx="10">
                        <c:v>1219.8699999999999</c:v>
                      </c:pt>
                    </c:numCache>
                  </c:numRef>
                </c:val>
                <c:extLst xmlns:c15="http://schemas.microsoft.com/office/drawing/2012/chart">
                  <c:ext xmlns:c16="http://schemas.microsoft.com/office/drawing/2014/chart" uri="{C3380CC4-5D6E-409C-BE32-E72D297353CC}">
                    <c16:uniqueId val="{00000005-6B69-49F0-8C83-E5A545B2B35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q19_q28_q29_q39_Fig!$V$16</c15:sqref>
                        </c15:formulaRef>
                      </c:ext>
                    </c:extLst>
                    <c:strCache>
                      <c:ptCount val="1"/>
                      <c:pt idx="0">
                        <c:v>Ganho</c:v>
                      </c:pt>
                    </c:strCache>
                  </c:strRef>
                </c:tx>
                <c:invertIfNegative val="0"/>
                <c:cat>
                  <c:strRef>
                    <c:extLst xmlns:c15="http://schemas.microsoft.com/office/drawing/2012/chart">
                      <c:ext xmlns:c15="http://schemas.microsoft.com/office/drawing/2012/chart" uri="{02D57815-91ED-43cb-92C2-25804820EDAC}">
                        <c15:formulaRef>
                          <c15:sqref>q19_q28_q29_q39_Fig!$S$17:$S$27</c15:sqref>
                        </c15:formulaRef>
                      </c:ext>
                    </c:extLst>
                    <c:strCache>
                      <c:ptCount val="11"/>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pt idx="10">
                        <c:v>Total</c:v>
                      </c:pt>
                    </c:strCache>
                  </c:strRef>
                </c:cat>
                <c:val>
                  <c:numRef>
                    <c:extLst xmlns:c15="http://schemas.microsoft.com/office/drawing/2012/chart">
                      <c:ext xmlns:c15="http://schemas.microsoft.com/office/drawing/2012/chart" uri="{02D57815-91ED-43cb-92C2-25804820EDAC}">
                        <c15:formulaRef>
                          <c15:sqref>q19_q28_q29_q39_Fig!$V$17:$V$27</c15:sqref>
                        </c15:formulaRef>
                      </c:ext>
                    </c:extLst>
                    <c:numCache>
                      <c:formatCode>#,##0.00\ "€"</c:formatCode>
                      <c:ptCount val="11"/>
                      <c:pt idx="0">
                        <c:v>3072.68</c:v>
                      </c:pt>
                      <c:pt idx="1">
                        <c:v>2222.79</c:v>
                      </c:pt>
                      <c:pt idx="2">
                        <c:v>1836.79</c:v>
                      </c:pt>
                      <c:pt idx="3">
                        <c:v>1303.32</c:v>
                      </c:pt>
                      <c:pt idx="4">
                        <c:v>1078.9100000000001</c:v>
                      </c:pt>
                      <c:pt idx="5">
                        <c:v>1062.6099999999999</c:v>
                      </c:pt>
                      <c:pt idx="6">
                        <c:v>1154.1400000000001</c:v>
                      </c:pt>
                      <c:pt idx="7">
                        <c:v>1235.24</c:v>
                      </c:pt>
                      <c:pt idx="8">
                        <c:v>1007.47</c:v>
                      </c:pt>
                      <c:pt idx="9">
                        <c:v>3169.09</c:v>
                      </c:pt>
                      <c:pt idx="10">
                        <c:v>1466.66</c:v>
                      </c:pt>
                    </c:numCache>
                  </c:numRef>
                </c:val>
                <c:extLst xmlns:c15="http://schemas.microsoft.com/office/drawing/2012/chart">
                  <c:ext xmlns:c16="http://schemas.microsoft.com/office/drawing/2014/chart" uri="{C3380CC4-5D6E-409C-BE32-E72D297353CC}">
                    <c16:uniqueId val="{00000008-6B69-49F0-8C83-E5A545B2B35C}"/>
                  </c:ext>
                </c:extLst>
              </c15:ser>
            </c15:filteredBarSeries>
          </c:ext>
        </c:extLst>
      </c:barChart>
      <c:valAx>
        <c:axId val="1319480015"/>
        <c:scaling>
          <c:orientation val="minMax"/>
          <c:max val="20"/>
          <c:min val="0"/>
        </c:scaling>
        <c:delete val="1"/>
        <c:axPos val="t"/>
        <c:numFmt formatCode="#,##0.00\ &quot;€&quot;" sourceLinked="1"/>
        <c:majorTickMark val="out"/>
        <c:minorTickMark val="none"/>
        <c:tickLblPos val="nextTo"/>
        <c:crossAx val="891633855"/>
        <c:crosses val="autoZero"/>
        <c:crossBetween val="between"/>
        <c:majorUnit val="2"/>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17017432744235686"/>
          <c:h val="5.546408946742573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q3_q7_q11_q15_q24_q35_Fig!$AM$19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7405-4242-AEE5-30A70FEF1A5F}"/>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q3_q7_q11_q15_q24_q35_Fig!$AL$38</c:f>
              <c:strCache>
                <c:ptCount val="1"/>
                <c:pt idx="0">
                  <c:v>Continente</c:v>
                </c:pt>
              </c:strCache>
            </c:strRef>
          </c:cat>
          <c:val>
            <c:numRef>
              <c:f>q3_q7_q11_q15_q24_q35_Fig!$AM$38</c:f>
              <c:numCache>
                <c:formatCode>#,##0</c:formatCode>
                <c:ptCount val="1"/>
                <c:pt idx="0">
                  <c:v>291252</c:v>
                </c:pt>
              </c:numCache>
            </c:numRef>
          </c:val>
          <c:extLst>
            <c:ext xmlns:c16="http://schemas.microsoft.com/office/drawing/2014/chart" uri="{C3380CC4-5D6E-409C-BE32-E72D297353CC}">
              <c16:uniqueId val="{00000001-7405-4242-AEE5-30A70FEF1A5F}"/>
            </c:ext>
          </c:extLst>
        </c:ser>
        <c:ser>
          <c:idx val="1"/>
          <c:order val="1"/>
          <c:tx>
            <c:strRef>
              <c:f>q3_q7_q11_q15_q24_q35_Fig!$AN$19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27755375896839896"/>
                  <c:y val="-2.3825651321406124E-2"/>
                </c:manualLayout>
              </c:layout>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2735770805868761"/>
                      <c:h val="0.47873272602752576"/>
                    </c:manualLayout>
                  </c15:layout>
                </c:ext>
                <c:ext xmlns:c16="http://schemas.microsoft.com/office/drawing/2014/chart" uri="{C3380CC4-5D6E-409C-BE32-E72D297353CC}">
                  <c16:uniqueId val="{00000002-7405-4242-AEE5-30A70FEF1A5F}"/>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q3_q7_q11_q15_q24_q35_Fig!$AL$38</c:f>
              <c:strCache>
                <c:ptCount val="1"/>
                <c:pt idx="0">
                  <c:v>Continente</c:v>
                </c:pt>
              </c:strCache>
            </c:strRef>
          </c:cat>
          <c:val>
            <c:numRef>
              <c:f>q3_q7_q11_q15_q24_q35_Fig!$AN$38</c:f>
              <c:numCache>
                <c:formatCode>#,##0</c:formatCode>
                <c:ptCount val="1"/>
                <c:pt idx="0">
                  <c:v>340364</c:v>
                </c:pt>
              </c:numCache>
            </c:numRef>
          </c:val>
          <c:extLst>
            <c:ext xmlns:c16="http://schemas.microsoft.com/office/drawing/2014/chart" uri="{C3380CC4-5D6E-409C-BE32-E72D297353CC}">
              <c16:uniqueId val="{00000003-7405-4242-AEE5-30A70FEF1A5F}"/>
            </c:ext>
          </c:extLst>
        </c:ser>
        <c:dLbls>
          <c:dLblPos val="inEnd"/>
          <c:showLegendKey val="0"/>
          <c:showVal val="1"/>
          <c:showCatName val="0"/>
          <c:showSerName val="0"/>
          <c:showPercent val="0"/>
          <c:showBubbleSize val="0"/>
        </c:dLbls>
        <c:gapWidth val="309"/>
        <c:overlap val="-5"/>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q17_a_q19_q26_a_q29_q37_q40_Fig!$R$15</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q17_a_q19_q26_a_q29_q37_q40_Fig!$R$16:$R$22</c:f>
              <c:numCache>
                <c:formatCode>#,##0</c:formatCode>
                <c:ptCount val="7"/>
                <c:pt idx="0">
                  <c:v>-648</c:v>
                </c:pt>
                <c:pt idx="1">
                  <c:v>-154697</c:v>
                </c:pt>
                <c:pt idx="2">
                  <c:v>-436843</c:v>
                </c:pt>
                <c:pt idx="3">
                  <c:v>-440917</c:v>
                </c:pt>
                <c:pt idx="4">
                  <c:v>-417868</c:v>
                </c:pt>
                <c:pt idx="5">
                  <c:v>-256266</c:v>
                </c:pt>
                <c:pt idx="6">
                  <c:v>-36069</c:v>
                </c:pt>
              </c:numCache>
            </c:numRef>
          </c:val>
          <c:extLst>
            <c:ext xmlns:c16="http://schemas.microsoft.com/office/drawing/2014/chart" uri="{C3380CC4-5D6E-409C-BE32-E72D297353CC}">
              <c16:uniqueId val="{00000000-2132-4321-90E9-0EFAAA9328DF}"/>
            </c:ext>
          </c:extLst>
        </c:ser>
        <c:ser>
          <c:idx val="1"/>
          <c:order val="1"/>
          <c:tx>
            <c:strRef>
              <c:f>q17_a_q19_q26_a_q29_q37_q40_Fig!$S$15</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q17_a_q19_q26_a_q29_q37_q40_Fig!$S$16:$S$22</c:f>
              <c:numCache>
                <c:formatCode>#,##0</c:formatCode>
                <c:ptCount val="7"/>
                <c:pt idx="0">
                  <c:v>484</c:v>
                </c:pt>
                <c:pt idx="1">
                  <c:v>126764</c:v>
                </c:pt>
                <c:pt idx="2">
                  <c:v>371113</c:v>
                </c:pt>
                <c:pt idx="3">
                  <c:v>402903</c:v>
                </c:pt>
                <c:pt idx="4">
                  <c:v>398478</c:v>
                </c:pt>
                <c:pt idx="5">
                  <c:v>228479</c:v>
                </c:pt>
                <c:pt idx="6">
                  <c:v>24598</c:v>
                </c:pt>
              </c:numCache>
            </c:numRef>
          </c:val>
          <c:extLst>
            <c:ext xmlns:c16="http://schemas.microsoft.com/office/drawing/2014/chart" uri="{C3380CC4-5D6E-409C-BE32-E72D297353CC}">
              <c16:uniqueId val="{00000001-2132-4321-90E9-0EFAAA9328DF}"/>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450000"/>
          <c:min val="-450000"/>
        </c:scaling>
        <c:delete val="1"/>
        <c:axPos val="t"/>
        <c:numFmt formatCode="#,##0;#,##0" sourceLinked="0"/>
        <c:majorTickMark val="out"/>
        <c:minorTickMark val="none"/>
        <c:tickLblPos val="nextTo"/>
        <c:crossAx val="1261817855"/>
        <c:crosses val="autoZero"/>
        <c:crossBetween val="between"/>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22471764117941029"/>
          <c:y val="1.509889753566796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6.645451605451605E-2"/>
          <c:y val="0.23192568942879796"/>
          <c:w val="0.60804176484176498"/>
          <c:h val="0.65021473137038388"/>
        </c:manualLayout>
      </c:layout>
      <c:doughnutChart>
        <c:varyColors val="1"/>
        <c:ser>
          <c:idx val="0"/>
          <c:order val="0"/>
          <c:tx>
            <c:strRef>
              <c:f>q17_a_q19_q26_a_q29_q37_q40_Fig!$T$15</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080-4AE0-AD0C-83A5FABD4D42}"/>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080-4AE0-AD0C-83A5FABD4D42}"/>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9080-4AE0-AD0C-83A5FABD4D42}"/>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9080-4AE0-AD0C-83A5FABD4D42}"/>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9080-4AE0-AD0C-83A5FABD4D42}"/>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9080-4AE0-AD0C-83A5FABD4D42}"/>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9080-4AE0-AD0C-83A5FABD4D42}"/>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9080-4AE0-AD0C-83A5FABD4D42}"/>
              </c:ext>
            </c:extLst>
          </c:dPt>
          <c:dLbls>
            <c:dLbl>
              <c:idx val="0"/>
              <c:layout>
                <c:manualLayout>
                  <c:x val="0.12956140350877179"/>
                  <c:y val="-0.174973719594181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9080-4AE0-AD0C-83A5FABD4D42}"/>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80-4AE0-AD0C-83A5FABD4D42}"/>
                </c:ext>
              </c:extLst>
            </c:dLbl>
            <c:dLbl>
              <c:idx val="6"/>
              <c:layout>
                <c:manualLayout>
                  <c:x val="-0.12605263157894744"/>
                  <c:y val="-0.1762392535549851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9080-4AE0-AD0C-83A5FABD4D42}"/>
                </c:ext>
              </c:extLst>
            </c:dLbl>
            <c:dLbl>
              <c:idx val="7"/>
              <c:layout>
                <c:manualLayout>
                  <c:x val="0.11388888888888894"/>
                  <c:y val="-0.11111111111111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080-4AE0-AD0C-83A5FABD4D4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q17_a_q19_q26_a_q29_q37_q40_Fig!$Q$16:$Q$22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q17_a_q19_q26_a_q29_q37_q40_Fig!$T$16:$T$22</c:f>
              <c:numCache>
                <c:formatCode>#,##0</c:formatCode>
                <c:ptCount val="7"/>
                <c:pt idx="0">
                  <c:v>1132</c:v>
                </c:pt>
                <c:pt idx="1">
                  <c:v>281461</c:v>
                </c:pt>
                <c:pt idx="2">
                  <c:v>807956</c:v>
                </c:pt>
                <c:pt idx="3">
                  <c:v>843820</c:v>
                </c:pt>
                <c:pt idx="4">
                  <c:v>816346</c:v>
                </c:pt>
                <c:pt idx="5">
                  <c:v>484745</c:v>
                </c:pt>
                <c:pt idx="6">
                  <c:v>60667</c:v>
                </c:pt>
              </c:numCache>
            </c:numRef>
          </c:val>
          <c:extLst>
            <c:ext xmlns:c16="http://schemas.microsoft.com/office/drawing/2014/chart" uri="{C3380CC4-5D6E-409C-BE32-E72D297353CC}">
              <c16:uniqueId val="{00000010-9080-4AE0-AD0C-83A5FABD4D42}"/>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67128185907046478"/>
          <c:y val="0.19463641904117482"/>
          <c:w val="0.30055472263868072"/>
          <c:h val="0.72389134505706798"/>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20491579663"/>
          <c:y val="0.13893333333333333"/>
          <c:w val="0.63847227349341062"/>
          <c:h val="0.78091002624671901"/>
        </c:manualLayout>
      </c:layout>
      <c:barChart>
        <c:barDir val="bar"/>
        <c:grouping val="clustered"/>
        <c:varyColors val="0"/>
        <c:ser>
          <c:idx val="0"/>
          <c:order val="0"/>
          <c:tx>
            <c:strRef>
              <c:f>q17_a_q19_q26_a_q29_q37_q40_Fig!$Q$107</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851C-4FB8-B9C9-69C45C8F0BDC}"/>
              </c:ext>
            </c:extLst>
          </c:dPt>
          <c:dPt>
            <c:idx val="1"/>
            <c:invertIfNegative val="0"/>
            <c:bubble3D val="0"/>
            <c:extLst>
              <c:ext xmlns:c16="http://schemas.microsoft.com/office/drawing/2014/chart" uri="{C3380CC4-5D6E-409C-BE32-E72D297353CC}">
                <c16:uniqueId val="{00000001-851C-4FB8-B9C9-69C45C8F0BDC}"/>
              </c:ext>
            </c:extLst>
          </c:dPt>
          <c:dPt>
            <c:idx val="2"/>
            <c:invertIfNegative val="0"/>
            <c:bubble3D val="0"/>
            <c:extLst>
              <c:ext xmlns:c16="http://schemas.microsoft.com/office/drawing/2014/chart" uri="{C3380CC4-5D6E-409C-BE32-E72D297353CC}">
                <c16:uniqueId val="{00000002-851C-4FB8-B9C9-69C45C8F0BDC}"/>
              </c:ext>
            </c:extLst>
          </c:dPt>
          <c:dPt>
            <c:idx val="3"/>
            <c:invertIfNegative val="0"/>
            <c:bubble3D val="0"/>
            <c:extLst>
              <c:ext xmlns:c16="http://schemas.microsoft.com/office/drawing/2014/chart" uri="{C3380CC4-5D6E-409C-BE32-E72D297353CC}">
                <c16:uniqueId val="{00000003-851C-4FB8-B9C9-69C45C8F0BDC}"/>
              </c:ext>
            </c:extLst>
          </c:dPt>
          <c:dPt>
            <c:idx val="4"/>
            <c:invertIfNegative val="0"/>
            <c:bubble3D val="0"/>
            <c:extLst>
              <c:ext xmlns:c16="http://schemas.microsoft.com/office/drawing/2014/chart" uri="{C3380CC4-5D6E-409C-BE32-E72D297353CC}">
                <c16:uniqueId val="{00000004-851C-4FB8-B9C9-69C45C8F0BDC}"/>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q17_a_q19_q26_a_q29_q37_q40_Fig!$R$106:$Y$106</c15:sqref>
                  </c15:fullRef>
                </c:ext>
              </c:extLst>
              <c:f>q17_a_q19_q26_a_q29_q37_q40_Fig!$S$106:$Y$106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q17_a_q19_q26_a_q29_q37_q40_Fig!$R$107:$Y$107</c15:sqref>
                  </c15:fullRef>
                </c:ext>
              </c:extLst>
              <c:f>q17_a_q19_q26_a_q29_q37_q40_Fig!$S$107:$Y$107</c:f>
              <c:numCache>
                <c:formatCode>#,##0.00\ "€"</c:formatCode>
                <c:ptCount val="7"/>
                <c:pt idx="0">
                  <c:v>1101.81</c:v>
                </c:pt>
                <c:pt idx="1">
                  <c:v>925.26</c:v>
                </c:pt>
                <c:pt idx="2">
                  <c:v>1134.9691398728628</c:v>
                </c:pt>
                <c:pt idx="3">
                  <c:v>1266.5928282166901</c:v>
                </c:pt>
                <c:pt idx="4">
                  <c:v>1314.2108032221263</c:v>
                </c:pt>
                <c:pt idx="5">
                  <c:v>1231.2502046094103</c:v>
                </c:pt>
                <c:pt idx="6">
                  <c:v>1345.46</c:v>
                </c:pt>
              </c:numCache>
            </c:numRef>
          </c:val>
          <c:extLst>
            <c:ext xmlns:c16="http://schemas.microsoft.com/office/drawing/2014/chart" uri="{C3380CC4-5D6E-409C-BE32-E72D297353CC}">
              <c16:uniqueId val="{00000005-851C-4FB8-B9C9-69C45C8F0BDC}"/>
            </c:ext>
          </c:extLst>
        </c:ser>
        <c:ser>
          <c:idx val="1"/>
          <c:order val="1"/>
          <c:tx>
            <c:strRef>
              <c:f>q17_a_q19_q26_a_q29_q37_q40_Fig!$Q$108</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q17_a_q19_q26_a_q29_q37_q40_Fig!$R$106:$Y$106</c15:sqref>
                  </c15:fullRef>
                </c:ext>
              </c:extLst>
              <c:f>q17_a_q19_q26_a_q29_q37_q40_Fig!$S$106:$Y$106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q17_a_q19_q26_a_q29_q37_q40_Fig!$R$108:$Y$108</c15:sqref>
                  </c15:fullRef>
                </c:ext>
              </c:extLst>
              <c:f>q17_a_q19_q26_a_q29_q37_q40_Fig!$S$108:$Y$108</c:f>
              <c:numCache>
                <c:formatCode>#,##0.00\ "€"</c:formatCode>
                <c:ptCount val="7"/>
                <c:pt idx="0">
                  <c:v>1193.83</c:v>
                </c:pt>
                <c:pt idx="1">
                  <c:v>1100.3599999999999</c:v>
                </c:pt>
                <c:pt idx="2">
                  <c:v>1352.4112985865575</c:v>
                </c:pt>
                <c:pt idx="3">
                  <c:v>1521.5461508740502</c:v>
                </c:pt>
                <c:pt idx="4">
                  <c:v>1594.9782009025278</c:v>
                </c:pt>
                <c:pt idx="5">
                  <c:v>1487.9493190902751</c:v>
                </c:pt>
                <c:pt idx="6">
                  <c:v>1557.94</c:v>
                </c:pt>
              </c:numCache>
            </c:numRef>
          </c:val>
          <c:extLst>
            <c:ext xmlns:c15="http://schemas.microsoft.com/office/drawing/2012/chart" uri="{02D57815-91ED-43cb-92C2-25804820EDAC}">
              <c15:categoryFilterExceptions>
                <c15:categoryFilterException>
                  <c15:sqref>q17_a_q19_q26_a_q29_q37_q40_Fig!$R$108</c15:sqref>
                  <c15:spPr xmlns:c15="http://schemas.microsoft.com/office/drawing/2012/chart">
                    <a:solidFill>
                      <a:sysClr val="window" lastClr="FFFFFF">
                        <a:lumMod val="85000"/>
                      </a:sysClr>
                    </a:solidFill>
                    <a:ln w="19050">
                      <a:solidFill>
                        <a:schemeClr val="lt1"/>
                      </a:solidFill>
                    </a:ln>
                    <a:effectLst/>
                  </c15:spPr>
                  <c15:invertIfNegative val="0"/>
                  <c15:bubble3D val="0"/>
                  <c15:dLbl>
                    <c:idx val="-1"/>
                    <c:dLblPos val="inEnd"/>
                    <c:showLegendKey val="0"/>
                    <c:showVal val="1"/>
                    <c:showCatName val="0"/>
                    <c:showSerName val="1"/>
                    <c:showPercent val="0"/>
                    <c:showBubbleSize val="0"/>
                    <c:separator> </c:separator>
                    <c:extLst>
                      <c:ext uri="{CE6537A1-D6FC-4f65-9D91-7224C49458BB}"/>
                      <c:ext xmlns:c16="http://schemas.microsoft.com/office/drawing/2014/chart" uri="{C3380CC4-5D6E-409C-BE32-E72D297353CC}">
                        <c16:uniqueId val="{00000006-1C53-499A-B390-69038ED34FF9}"/>
                      </c:ext>
                    </c:extLst>
                  </c15:dLbl>
                </c15:categoryFilterException>
              </c15:categoryFilterExceptions>
            </c:ext>
            <c:ext xmlns:c16="http://schemas.microsoft.com/office/drawing/2014/chart" uri="{C3380CC4-5D6E-409C-BE32-E72D297353CC}">
              <c16:uniqueId val="{00000006-851C-4FB8-B9C9-69C45C8F0BDC}"/>
            </c:ext>
          </c:extLst>
        </c:ser>
        <c:dLbls>
          <c:showLegendKey val="0"/>
          <c:showVal val="0"/>
          <c:showCatName val="0"/>
          <c:showSerName val="0"/>
          <c:showPercent val="0"/>
          <c:showBubbleSize val="0"/>
        </c:dLbls>
        <c:gapWidth val="42"/>
        <c:axId val="891633855"/>
        <c:axId val="1319480015"/>
      </c:barChart>
      <c:valAx>
        <c:axId val="1319480015"/>
        <c:scaling>
          <c:orientation val="minMax"/>
          <c:max val="20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52993679015136186"/>
          <c:y val="1.7451035760195285E-2"/>
          <c:w val="0.21659713598755717"/>
          <c:h val="9.798516112321462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205684241132001E-2"/>
          <c:y val="0.22899703122140164"/>
          <c:w val="0.93679431575886796"/>
          <c:h val="0.77100296877859842"/>
        </c:manualLayout>
      </c:layout>
      <c:barChart>
        <c:barDir val="bar"/>
        <c:grouping val="clustered"/>
        <c:varyColors val="0"/>
        <c:ser>
          <c:idx val="0"/>
          <c:order val="0"/>
          <c:tx>
            <c:strRef>
              <c:f>q17_a_q19_q26_a_q29_q37_q40_Fig!$S$96</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q17_a_q19_q26_a_q29_q37_q40_Fig!$S$97:$S$103</c:f>
              <c:numCache>
                <c:formatCode>#,##0.00\ "€"</c:formatCode>
                <c:ptCount val="7"/>
                <c:pt idx="0">
                  <c:v>-1204.42</c:v>
                </c:pt>
                <c:pt idx="1">
                  <c:v>-950.5</c:v>
                </c:pt>
                <c:pt idx="2">
                  <c:v>-1171.3786871588275</c:v>
                </c:pt>
                <c:pt idx="3">
                  <c:v>-1340.615528721723</c:v>
                </c:pt>
                <c:pt idx="4">
                  <c:v>-1419.5283084168145</c:v>
                </c:pt>
                <c:pt idx="5">
                  <c:v>-1344.0285848928534</c:v>
                </c:pt>
                <c:pt idx="6">
                  <c:v>-1456.5</c:v>
                </c:pt>
              </c:numCache>
            </c:numRef>
          </c:val>
          <c:extLst>
            <c:ext xmlns:c16="http://schemas.microsoft.com/office/drawing/2014/chart" uri="{C3380CC4-5D6E-409C-BE32-E72D297353CC}">
              <c16:uniqueId val="{00000000-9E86-4497-99AA-A6226702988E}"/>
            </c:ext>
          </c:extLst>
        </c:ser>
        <c:ser>
          <c:idx val="1"/>
          <c:order val="1"/>
          <c:tx>
            <c:strRef>
              <c:f>q17_a_q19_q26_a_q29_q37_q40_Fig!$T$96</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q17_a_q19_q26_a_q29_q37_q40_Fig!$T$97:$T$103</c:f>
              <c:numCache>
                <c:formatCode>#,##0.00\ "€"</c:formatCode>
                <c:ptCount val="7"/>
                <c:pt idx="0">
                  <c:v>-1290.02</c:v>
                </c:pt>
                <c:pt idx="1">
                  <c:v>-1135</c:v>
                </c:pt>
                <c:pt idx="2">
                  <c:v>-1407.9649789743371</c:v>
                </c:pt>
                <c:pt idx="3">
                  <c:v>-1633.6152324644449</c:v>
                </c:pt>
                <c:pt idx="4">
                  <c:v>-1751.7699752233802</c:v>
                </c:pt>
                <c:pt idx="5">
                  <c:v>-1655.5514476389026</c:v>
                </c:pt>
                <c:pt idx="6">
                  <c:v>-1696.46</c:v>
                </c:pt>
              </c:numCache>
            </c:numRef>
          </c:val>
          <c:extLst>
            <c:ext xmlns:c16="http://schemas.microsoft.com/office/drawing/2014/chart" uri="{C3380CC4-5D6E-409C-BE32-E72D297353CC}">
              <c16:uniqueId val="{00000001-9E86-4497-99AA-A6226702988E}"/>
            </c:ext>
          </c:extLst>
        </c:ser>
        <c:dLbls>
          <c:showLegendKey val="0"/>
          <c:showVal val="0"/>
          <c:showCatName val="0"/>
          <c:showSerName val="0"/>
          <c:showPercent val="0"/>
          <c:showBubbleSize val="0"/>
        </c:dLbls>
        <c:gapWidth val="42"/>
        <c:axId val="1450378176"/>
        <c:axId val="1375020736"/>
      </c:barChart>
      <c:barChart>
        <c:barDir val="bar"/>
        <c:grouping val="clustered"/>
        <c:varyColors val="0"/>
        <c:ser>
          <c:idx val="2"/>
          <c:order val="2"/>
          <c:tx>
            <c:strRef>
              <c:f>q17_a_q19_q26_a_q29_q37_q40_Fig!$U$96</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q17_a_q19_q26_a_q29_q37_q40_Fig!$R$97:$R$103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q17_a_q19_q26_a_q29_q37_q40_Fig!$U$97:$U$103</c:f>
              <c:numCache>
                <c:formatCode>#,##0.00\ "€"</c:formatCode>
                <c:ptCount val="7"/>
                <c:pt idx="0">
                  <c:v>801.79</c:v>
                </c:pt>
                <c:pt idx="1">
                  <c:v>891.28</c:v>
                </c:pt>
                <c:pt idx="2">
                  <c:v>1089.5295678527075</c:v>
                </c:pt>
                <c:pt idx="3">
                  <c:v>1178.8709557441496</c:v>
                </c:pt>
                <c:pt idx="4">
                  <c:v>1194.5282294044509</c:v>
                </c:pt>
                <c:pt idx="5">
                  <c:v>1087.881585360592</c:v>
                </c:pt>
                <c:pt idx="6">
                  <c:v>1157.69</c:v>
                </c:pt>
              </c:numCache>
            </c:numRef>
          </c:val>
          <c:extLst>
            <c:ext xmlns:c16="http://schemas.microsoft.com/office/drawing/2014/chart" uri="{C3380CC4-5D6E-409C-BE32-E72D297353CC}">
              <c16:uniqueId val="{00000002-9E86-4497-99AA-A6226702988E}"/>
            </c:ext>
          </c:extLst>
        </c:ser>
        <c:ser>
          <c:idx val="3"/>
          <c:order val="3"/>
          <c:tx>
            <c:strRef>
              <c:f>q17_a_q19_q26_a_q29_q37_q40_Fig!$V$96</c:f>
              <c:strCache>
                <c:ptCount val="1"/>
                <c:pt idx="0">
                  <c:v>Ganho - M</c:v>
                </c:pt>
              </c:strCache>
            </c:strRef>
          </c:tx>
          <c:spPr>
            <a:solidFill>
              <a:srgbClr val="FFEF57"/>
            </a:solidFill>
          </c:spPr>
          <c:invertIfNegative val="0"/>
          <c:dLbls>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q17_a_q19_q26_a_q29_q37_q40_Fig!$R$97:$R$103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q17_a_q19_q26_a_q29_q37_q40_Fig!$V$97:$V$103</c:f>
              <c:numCache>
                <c:formatCode>#,##0.00\ "€"</c:formatCode>
                <c:ptCount val="7"/>
                <c:pt idx="0">
                  <c:v>912.59</c:v>
                </c:pt>
                <c:pt idx="1">
                  <c:v>1053.73</c:v>
                </c:pt>
                <c:pt idx="2">
                  <c:v>1283.0776747445054</c:v>
                </c:pt>
                <c:pt idx="3">
                  <c:v>1388.7278106261283</c:v>
                </c:pt>
                <c:pt idx="4">
                  <c:v>1416.7996478544317</c:v>
                </c:pt>
                <c:pt idx="5">
                  <c:v>1274.8774038965282</c:v>
                </c:pt>
                <c:pt idx="6">
                  <c:v>1323.72</c:v>
                </c:pt>
              </c:numCache>
            </c:numRef>
          </c:val>
          <c:extLst>
            <c:ext xmlns:c16="http://schemas.microsoft.com/office/drawing/2014/chart" uri="{C3380CC4-5D6E-409C-BE32-E72D297353CC}">
              <c16:uniqueId val="{00000003-9E86-4497-99AA-A6226702988E}"/>
            </c:ext>
          </c:extLst>
        </c:ser>
        <c:dLbls>
          <c:showLegendKey val="0"/>
          <c:showVal val="0"/>
          <c:showCatName val="0"/>
          <c:showSerName val="0"/>
          <c:showPercent val="0"/>
          <c:showBubbleSize val="0"/>
        </c:dLbls>
        <c:gapWidth val="42"/>
        <c:axId val="1450370176"/>
        <c:axId val="1375018240"/>
      </c:barChart>
      <c:valAx>
        <c:axId val="1375020736"/>
        <c:scaling>
          <c:orientation val="minMax"/>
        </c:scaling>
        <c:delete val="1"/>
        <c:axPos val="b"/>
        <c:numFmt formatCode="#,##0.00\ &quot;€&quot;" sourceLinked="1"/>
        <c:majorTickMark val="out"/>
        <c:minorTickMark val="none"/>
        <c:tickLblPos val="nextTo"/>
        <c:crossAx val="1450378176"/>
        <c:crosses val="max"/>
        <c:crossBetween val="between"/>
      </c:valAx>
      <c:catAx>
        <c:axId val="1450378176"/>
        <c:scaling>
          <c:orientation val="maxMin"/>
        </c:scaling>
        <c:delete val="1"/>
        <c:axPos val="l"/>
        <c:numFmt formatCode="General" sourceLinked="1"/>
        <c:majorTickMark val="out"/>
        <c:minorTickMark val="none"/>
        <c:tickLblPos val="nextTo"/>
        <c:crossAx val="1375020736"/>
        <c:crosses val="autoZero"/>
        <c:auto val="1"/>
        <c:lblAlgn val="ctr"/>
        <c:lblOffset val="100"/>
        <c:noMultiLvlLbl val="0"/>
      </c:catAx>
      <c:valAx>
        <c:axId val="1375018240"/>
        <c:scaling>
          <c:orientation val="minMax"/>
        </c:scaling>
        <c:delete val="1"/>
        <c:axPos val="t"/>
        <c:numFmt formatCode="#,##0.00\ &quot;€&quot;" sourceLinked="1"/>
        <c:majorTickMark val="out"/>
        <c:minorTickMark val="none"/>
        <c:tickLblPos val="nextTo"/>
        <c:crossAx val="1450370176"/>
        <c:crosses val="autoZero"/>
        <c:crossBetween val="between"/>
      </c:valAx>
      <c:catAx>
        <c:axId val="1450370176"/>
        <c:scaling>
          <c:orientation val="maxMin"/>
        </c:scaling>
        <c:delete val="1"/>
        <c:axPos val="r"/>
        <c:numFmt formatCode="General" sourceLinked="1"/>
        <c:majorTickMark val="out"/>
        <c:minorTickMark val="none"/>
        <c:tickLblPos val="nextTo"/>
        <c:crossAx val="1375018240"/>
        <c:crosses val="max"/>
        <c:auto val="1"/>
        <c:lblAlgn val="ctr"/>
        <c:lblOffset val="100"/>
        <c:noMultiLvlLbl val="0"/>
      </c:catAx>
      <c:spPr>
        <a:noFill/>
        <a:ln>
          <a:noFill/>
        </a:ln>
        <a:effectLst/>
      </c:spPr>
    </c:plotArea>
    <c:legend>
      <c:legendPos val="t"/>
      <c:layout>
        <c:manualLayout>
          <c:xMode val="edge"/>
          <c:yMode val="edge"/>
          <c:x val="0.10183330070804396"/>
          <c:y val="2.6527633955922166E-2"/>
          <c:w val="0.8636341084320287"/>
          <c:h val="5.274598945994769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q17_a_q19_q26_a_q29_q37_q40_Fig!$R$44</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q17_a_q19_q26_a_q29_q37_q40_Fig!$R$45:$R$52</c:f>
              <c:numCache>
                <c:formatCode>#,##0</c:formatCode>
                <c:ptCount val="8"/>
                <c:pt idx="0">
                  <c:v>-162389</c:v>
                </c:pt>
                <c:pt idx="1">
                  <c:v>-100757</c:v>
                </c:pt>
                <c:pt idx="2">
                  <c:v>-101143</c:v>
                </c:pt>
                <c:pt idx="3">
                  <c:v>-149227</c:v>
                </c:pt>
                <c:pt idx="4">
                  <c:v>-686194</c:v>
                </c:pt>
                <c:pt idx="5">
                  <c:v>-289714</c:v>
                </c:pt>
                <c:pt idx="6">
                  <c:v>-210562</c:v>
                </c:pt>
                <c:pt idx="7">
                  <c:v>-43325</c:v>
                </c:pt>
              </c:numCache>
            </c:numRef>
          </c:val>
          <c:extLst>
            <c:ext xmlns:c16="http://schemas.microsoft.com/office/drawing/2014/chart" uri="{C3380CC4-5D6E-409C-BE32-E72D297353CC}">
              <c16:uniqueId val="{00000000-FB83-4143-BE71-B01D1286994F}"/>
            </c:ext>
          </c:extLst>
        </c:ser>
        <c:ser>
          <c:idx val="1"/>
          <c:order val="1"/>
          <c:tx>
            <c:strRef>
              <c:f>q17_a_q19_q26_a_q29_q37_q40_Fig!$S$44</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q17_a_q19_q26_a_q29_q37_q40_Fig!$S$45:$S$52</c:f>
              <c:numCache>
                <c:formatCode>#,##0</c:formatCode>
                <c:ptCount val="8"/>
                <c:pt idx="0">
                  <c:v>152799</c:v>
                </c:pt>
                <c:pt idx="1">
                  <c:v>96479</c:v>
                </c:pt>
                <c:pt idx="2">
                  <c:v>68210</c:v>
                </c:pt>
                <c:pt idx="3">
                  <c:v>147330</c:v>
                </c:pt>
                <c:pt idx="4">
                  <c:v>493181</c:v>
                </c:pt>
                <c:pt idx="5">
                  <c:v>375328</c:v>
                </c:pt>
                <c:pt idx="6">
                  <c:v>185755</c:v>
                </c:pt>
                <c:pt idx="7">
                  <c:v>33741</c:v>
                </c:pt>
              </c:numCache>
            </c:numRef>
          </c:val>
          <c:extLst>
            <c:ext xmlns:c16="http://schemas.microsoft.com/office/drawing/2014/chart" uri="{C3380CC4-5D6E-409C-BE32-E72D297353CC}">
              <c16:uniqueId val="{00000001-FB83-4143-BE71-B01D1286994F}"/>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680000"/>
          <c:min val="-680000"/>
        </c:scaling>
        <c:delete val="1"/>
        <c:axPos val="t"/>
        <c:numFmt formatCode="#,##0;#,##0" sourceLinked="0"/>
        <c:majorTickMark val="out"/>
        <c:minorTickMark val="none"/>
        <c:tickLblPos val="nextTo"/>
        <c:crossAx val="1261817855"/>
        <c:crosses val="autoZero"/>
        <c:crossBetween val="between"/>
        <c:majorUnit val="300000"/>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32626710030457906"/>
          <c:y val="2.196221962219622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0.10057665234430598"/>
          <c:y val="0.1704118028534371"/>
          <c:w val="0.44813898561610344"/>
          <c:h val="0.68743028534370942"/>
        </c:manualLayout>
      </c:layout>
      <c:doughnutChart>
        <c:varyColors val="1"/>
        <c:ser>
          <c:idx val="0"/>
          <c:order val="0"/>
          <c:tx>
            <c:strRef>
              <c:f>q17_a_q19_q26_a_q29_q37_q40_Fig!$T$44</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67E-4AA6-B018-BD07C655A414}"/>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67E-4AA6-B018-BD07C655A414}"/>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67E-4AA6-B018-BD07C655A414}"/>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67E-4AA6-B018-BD07C655A414}"/>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B67E-4AA6-B018-BD07C655A414}"/>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B67E-4AA6-B018-BD07C655A414}"/>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B67E-4AA6-B018-BD07C655A414}"/>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B67E-4AA6-B018-BD07C655A414}"/>
              </c:ext>
            </c:extLst>
          </c:dPt>
          <c:dLbls>
            <c:dLbl>
              <c:idx val="0"/>
              <c:layout>
                <c:manualLayout>
                  <c:x val="5.7951507621849772E-3"/>
                  <c:y val="-3.108895560716781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B67E-4AA6-B018-BD07C655A414}"/>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67E-4AA6-B018-BD07C655A414}"/>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67E-4AA6-B018-BD07C655A414}"/>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B67E-4AA6-B018-BD07C655A41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q17_a_q19_q26_a_q29_q37_q40_Fig!$Q$45:$Q$52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q17_a_q19_q26_a_q29_q37_q40_Fig!$T$45:$T$52</c:f>
              <c:numCache>
                <c:formatCode>#,##0</c:formatCode>
                <c:ptCount val="8"/>
                <c:pt idx="0">
                  <c:v>315188</c:v>
                </c:pt>
                <c:pt idx="1">
                  <c:v>197236</c:v>
                </c:pt>
                <c:pt idx="2">
                  <c:v>169353</c:v>
                </c:pt>
                <c:pt idx="3">
                  <c:v>296557</c:v>
                </c:pt>
                <c:pt idx="4">
                  <c:v>1179375</c:v>
                </c:pt>
                <c:pt idx="5">
                  <c:v>665042</c:v>
                </c:pt>
                <c:pt idx="6">
                  <c:v>396317</c:v>
                </c:pt>
                <c:pt idx="7">
                  <c:v>77066</c:v>
                </c:pt>
              </c:numCache>
            </c:numRef>
          </c:val>
          <c:extLst>
            <c:ext xmlns:c16="http://schemas.microsoft.com/office/drawing/2014/chart" uri="{C3380CC4-5D6E-409C-BE32-E72D297353CC}">
              <c16:uniqueId val="{00000010-B67E-4AA6-B018-BD07C655A414}"/>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169350054184462"/>
          <c:y val="0.14209342093420935"/>
          <c:w val="0.43208164168356555"/>
          <c:h val="0.84273842738427385"/>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3893333333333333"/>
          <c:w val="0.564163817970042"/>
          <c:h val="0.78091002624671901"/>
        </c:manualLayout>
      </c:layout>
      <c:barChart>
        <c:barDir val="bar"/>
        <c:grouping val="clustered"/>
        <c:varyColors val="0"/>
        <c:ser>
          <c:idx val="0"/>
          <c:order val="0"/>
          <c:tx>
            <c:strRef>
              <c:f>q17_a_q19_q26_a_q29_q37_q40_Fig!$Q$132</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D286-44FE-A18E-52AF9A023E14}"/>
              </c:ext>
            </c:extLst>
          </c:dPt>
          <c:dPt>
            <c:idx val="1"/>
            <c:invertIfNegative val="0"/>
            <c:bubble3D val="0"/>
            <c:extLst>
              <c:ext xmlns:c16="http://schemas.microsoft.com/office/drawing/2014/chart" uri="{C3380CC4-5D6E-409C-BE32-E72D297353CC}">
                <c16:uniqueId val="{00000001-D286-44FE-A18E-52AF9A023E14}"/>
              </c:ext>
            </c:extLst>
          </c:dPt>
          <c:dPt>
            <c:idx val="2"/>
            <c:invertIfNegative val="0"/>
            <c:bubble3D val="0"/>
            <c:extLst>
              <c:ext xmlns:c16="http://schemas.microsoft.com/office/drawing/2014/chart" uri="{C3380CC4-5D6E-409C-BE32-E72D297353CC}">
                <c16:uniqueId val="{00000002-D286-44FE-A18E-52AF9A023E14}"/>
              </c:ext>
            </c:extLst>
          </c:dPt>
          <c:dPt>
            <c:idx val="3"/>
            <c:invertIfNegative val="0"/>
            <c:bubble3D val="0"/>
            <c:extLst>
              <c:ext xmlns:c16="http://schemas.microsoft.com/office/drawing/2014/chart" uri="{C3380CC4-5D6E-409C-BE32-E72D297353CC}">
                <c16:uniqueId val="{00000003-D286-44FE-A18E-52AF9A023E14}"/>
              </c:ext>
            </c:extLst>
          </c:dPt>
          <c:dPt>
            <c:idx val="4"/>
            <c:invertIfNegative val="0"/>
            <c:bubble3D val="0"/>
            <c:extLst>
              <c:ext xmlns:c16="http://schemas.microsoft.com/office/drawing/2014/chart" uri="{C3380CC4-5D6E-409C-BE32-E72D297353CC}">
                <c16:uniqueId val="{00000004-D286-44FE-A18E-52AF9A023E14}"/>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q17_a_q19_q26_a_q29_q37_q40_Fig!$R$131:$Z$131</c15:sqref>
                  </c15:fullRef>
                </c:ext>
              </c:extLst>
              <c:f>q17_a_q19_q26_a_q29_q37_q40_Fig!$S$131:$Z$131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q17_a_q19_q26_a_q29_q37_q40_Fig!$R$132:$Z$132</c15:sqref>
                  </c15:fullRef>
                </c:ext>
              </c:extLst>
              <c:f>q17_a_q19_q26_a_q29_q37_q40_Fig!$S$132:$Z$132</c:f>
              <c:numCache>
                <c:formatCode>#,##0.00\ "€"</c:formatCode>
                <c:ptCount val="8"/>
                <c:pt idx="0">
                  <c:v>2373.94</c:v>
                </c:pt>
                <c:pt idx="1">
                  <c:v>1735.82</c:v>
                </c:pt>
                <c:pt idx="2">
                  <c:v>1651.96</c:v>
                </c:pt>
                <c:pt idx="3">
                  <c:v>1334.45</c:v>
                </c:pt>
                <c:pt idx="4">
                  <c:v>976.9</c:v>
                </c:pt>
                <c:pt idx="5">
                  <c:v>852.76</c:v>
                </c:pt>
                <c:pt idx="6">
                  <c:v>805.63</c:v>
                </c:pt>
                <c:pt idx="7">
                  <c:v>824.83</c:v>
                </c:pt>
              </c:numCache>
            </c:numRef>
          </c:val>
          <c:extLst>
            <c:ext xmlns:c16="http://schemas.microsoft.com/office/drawing/2014/chart" uri="{C3380CC4-5D6E-409C-BE32-E72D297353CC}">
              <c16:uniqueId val="{00000005-D286-44FE-A18E-52AF9A023E14}"/>
            </c:ext>
          </c:extLst>
        </c:ser>
        <c:ser>
          <c:idx val="1"/>
          <c:order val="1"/>
          <c:tx>
            <c:strRef>
              <c:f>q17_a_q19_q26_a_q29_q37_q40_Fig!$Q$133</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q17_a_q19_q26_a_q29_q37_q40_Fig!$R$131:$Z$131</c15:sqref>
                  </c15:fullRef>
                </c:ext>
              </c:extLst>
              <c:f>q17_a_q19_q26_a_q29_q37_q40_Fig!$S$131:$Z$131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q17_a_q19_q26_a_q29_q37_q40_Fig!$R$133:$Z$133</c15:sqref>
                  </c15:fullRef>
                </c:ext>
              </c:extLst>
              <c:f>q17_a_q19_q26_a_q29_q37_q40_Fig!$S$133:$Z$133</c:f>
              <c:numCache>
                <c:formatCode>#,##0.00\ "€"</c:formatCode>
                <c:ptCount val="8"/>
                <c:pt idx="0">
                  <c:v>2770.63</c:v>
                </c:pt>
                <c:pt idx="1">
                  <c:v>2069.0700000000002</c:v>
                </c:pt>
                <c:pt idx="2">
                  <c:v>1991.34</c:v>
                </c:pt>
                <c:pt idx="3">
                  <c:v>1649.77</c:v>
                </c:pt>
                <c:pt idx="4">
                  <c:v>1193.5999999999999</c:v>
                </c:pt>
                <c:pt idx="5">
                  <c:v>1028.9100000000001</c:v>
                </c:pt>
                <c:pt idx="6">
                  <c:v>950.15</c:v>
                </c:pt>
                <c:pt idx="7">
                  <c:v>979</c:v>
                </c:pt>
              </c:numCache>
            </c:numRef>
          </c:val>
          <c:extLst>
            <c:ext xmlns:c16="http://schemas.microsoft.com/office/drawing/2014/chart" uri="{C3380CC4-5D6E-409C-BE32-E72D297353CC}">
              <c16:uniqueId val="{00000006-D286-44FE-A18E-52AF9A023E14}"/>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022566875875509"/>
          <c:y val="3.2000000000000001E-2"/>
          <c:w val="0.26686175496572434"/>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7446682230048"/>
          <c:y val="0.22899703122140164"/>
          <c:w val="0.76325533177699523"/>
          <c:h val="0.77100296877859842"/>
        </c:manualLayout>
      </c:layout>
      <c:barChart>
        <c:barDir val="bar"/>
        <c:grouping val="clustered"/>
        <c:varyColors val="0"/>
        <c:ser>
          <c:idx val="0"/>
          <c:order val="0"/>
          <c:tx>
            <c:strRef>
              <c:f>q17_a_q19_q26_a_q29_q37_q40_Fig!$R$120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q17_a_q19_q26_a_q29_q37_q40_Fig!$R$121:$R$128</c:f>
              <c:numCache>
                <c:formatCode>#,##0.00\ "€"</c:formatCode>
                <c:ptCount val="8"/>
                <c:pt idx="0">
                  <c:v>-2702.18</c:v>
                </c:pt>
                <c:pt idx="1">
                  <c:v>-1872.23</c:v>
                </c:pt>
                <c:pt idx="2">
                  <c:v>-1701.91</c:v>
                </c:pt>
                <c:pt idx="3">
                  <c:v>-1437.35</c:v>
                </c:pt>
                <c:pt idx="4">
                  <c:v>-1006.52</c:v>
                </c:pt>
                <c:pt idx="5">
                  <c:v>-890.82</c:v>
                </c:pt>
                <c:pt idx="6">
                  <c:v>-820.99</c:v>
                </c:pt>
                <c:pt idx="7">
                  <c:v>-832.8</c:v>
                </c:pt>
              </c:numCache>
            </c:numRef>
          </c:val>
          <c:extLst>
            <c:ext xmlns:c16="http://schemas.microsoft.com/office/drawing/2014/chart" uri="{C3380CC4-5D6E-409C-BE32-E72D297353CC}">
              <c16:uniqueId val="{00000000-A851-4C2F-AC27-6D22529C78F3}"/>
            </c:ext>
          </c:extLst>
        </c:ser>
        <c:ser>
          <c:idx val="1"/>
          <c:order val="1"/>
          <c:tx>
            <c:strRef>
              <c:f>q17_a_q19_q26_a_q29_q37_q40_Fig!$S$120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q17_a_q19_q26_a_q29_q37_q40_Fig!$S$121:$S$128</c:f>
              <c:numCache>
                <c:formatCode>#,##0.00\ "€"</c:formatCode>
                <c:ptCount val="8"/>
                <c:pt idx="0">
                  <c:v>-3162.63</c:v>
                </c:pt>
                <c:pt idx="1">
                  <c:v>-2243.9499999999998</c:v>
                </c:pt>
                <c:pt idx="2">
                  <c:v>-2066.9499999999998</c:v>
                </c:pt>
                <c:pt idx="3">
                  <c:v>-1817.72</c:v>
                </c:pt>
                <c:pt idx="4">
                  <c:v>-1254.57</c:v>
                </c:pt>
                <c:pt idx="5">
                  <c:v>-1097.93</c:v>
                </c:pt>
                <c:pt idx="6">
                  <c:v>-985.99</c:v>
                </c:pt>
                <c:pt idx="7">
                  <c:v>-997.54</c:v>
                </c:pt>
              </c:numCache>
            </c:numRef>
          </c:val>
          <c:extLst>
            <c:ext xmlns:c16="http://schemas.microsoft.com/office/drawing/2014/chart" uri="{C3380CC4-5D6E-409C-BE32-E72D297353CC}">
              <c16:uniqueId val="{00000001-A851-4C2F-AC27-6D22529C78F3}"/>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q17_a_q19_q26_a_q29_q37_q40_Fig!$T$120</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q17_a_q19_q26_a_q29_q37_q40_Fig!$Q$121:$Q$128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q17_a_q19_q26_a_q29_q37_q40_Fig!$T$121:$T$128</c:f>
              <c:numCache>
                <c:formatCode>#,##0.00\ "€"</c:formatCode>
                <c:ptCount val="8"/>
                <c:pt idx="0">
                  <c:v>1999.71</c:v>
                </c:pt>
                <c:pt idx="1">
                  <c:v>1585.82</c:v>
                </c:pt>
                <c:pt idx="2">
                  <c:v>1574.82</c:v>
                </c:pt>
                <c:pt idx="3">
                  <c:v>1225.3</c:v>
                </c:pt>
                <c:pt idx="4">
                  <c:v>933.93</c:v>
                </c:pt>
                <c:pt idx="5">
                  <c:v>820.02</c:v>
                </c:pt>
                <c:pt idx="6">
                  <c:v>785.16</c:v>
                </c:pt>
                <c:pt idx="7">
                  <c:v>812.84</c:v>
                </c:pt>
              </c:numCache>
            </c:numRef>
          </c:val>
          <c:extLst>
            <c:ext xmlns:c16="http://schemas.microsoft.com/office/drawing/2014/chart" uri="{C3380CC4-5D6E-409C-BE32-E72D297353CC}">
              <c16:uniqueId val="{00000002-A851-4C2F-AC27-6D22529C78F3}"/>
            </c:ext>
          </c:extLst>
        </c:ser>
        <c:ser>
          <c:idx val="3"/>
          <c:order val="3"/>
          <c:tx>
            <c:strRef>
              <c:f>q17_a_q19_q26_a_q29_q37_q40_Fig!$U$120</c:f>
              <c:strCache>
                <c:ptCount val="1"/>
                <c:pt idx="0">
                  <c:v>Ganho - M</c:v>
                </c:pt>
              </c:strCache>
            </c:strRef>
          </c:tx>
          <c:spPr>
            <a:solidFill>
              <a:srgbClr val="FFEF57"/>
            </a:solidFill>
          </c:spPr>
          <c:invertIfNegative val="0"/>
          <c:dLbls>
            <c:dLbl>
              <c:idx val="2"/>
              <c:spPr>
                <a:noFill/>
                <a:ln>
                  <a:noFill/>
                </a:ln>
                <a:effectLst/>
              </c:spPr>
              <c:txPr>
                <a:bodyPr wrap="none" lIns="38100" tIns="19050" rIns="38100" bIns="19050" anchor="ctr">
                  <a:no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A851-4C2F-AC27-6D22529C78F3}"/>
                </c:ext>
              </c:extLst>
            </c:dLbl>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q17_a_q19_q26_a_q29_q37_q40_Fig!$Q$121:$Q$128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q17_a_q19_q26_a_q29_q37_q40_Fig!$U$121:$U$128</c:f>
              <c:numCache>
                <c:formatCode>#,##0.00\ "€"</c:formatCode>
                <c:ptCount val="8"/>
                <c:pt idx="0">
                  <c:v>2323.69</c:v>
                </c:pt>
                <c:pt idx="1">
                  <c:v>1876.78</c:v>
                </c:pt>
                <c:pt idx="2">
                  <c:v>1874.53</c:v>
                </c:pt>
                <c:pt idx="3">
                  <c:v>1471.6</c:v>
                </c:pt>
                <c:pt idx="4">
                  <c:v>1105.1600000000001</c:v>
                </c:pt>
                <c:pt idx="5">
                  <c:v>969.55</c:v>
                </c:pt>
                <c:pt idx="6">
                  <c:v>902.36</c:v>
                </c:pt>
                <c:pt idx="7">
                  <c:v>951.06</c:v>
                </c:pt>
              </c:numCache>
            </c:numRef>
          </c:val>
          <c:extLst>
            <c:ext xmlns:c16="http://schemas.microsoft.com/office/drawing/2014/chart" uri="{C3380CC4-5D6E-409C-BE32-E72D297353CC}">
              <c16:uniqueId val="{00000004-A851-4C2F-AC27-6D22529C78F3}"/>
            </c:ext>
          </c:extLst>
        </c:ser>
        <c:dLbls>
          <c:showLegendKey val="0"/>
          <c:showVal val="0"/>
          <c:showCatName val="0"/>
          <c:showSerName val="0"/>
          <c:showPercent val="0"/>
          <c:showBubbleSize val="0"/>
        </c:dLbls>
        <c:gapWidth val="42"/>
        <c:axId val="1450336976"/>
        <c:axId val="465148416"/>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scaling>
        <c:delete val="1"/>
        <c:axPos val="t"/>
        <c:numFmt formatCode="#,##0;#,##0" sourceLinked="0"/>
        <c:majorTickMark val="out"/>
        <c:minorTickMark val="none"/>
        <c:tickLblPos val="nextTo"/>
        <c:crossAx val="1261817855"/>
        <c:crosses val="autoZero"/>
        <c:crossBetween val="between"/>
        <c:majorUnit val="500"/>
      </c:valAx>
      <c:valAx>
        <c:axId val="465148416"/>
        <c:scaling>
          <c:orientation val="minMax"/>
        </c:scaling>
        <c:delete val="1"/>
        <c:axPos val="b"/>
        <c:numFmt formatCode="#,##0.00\ &quot;€&quot;" sourceLinked="1"/>
        <c:majorTickMark val="out"/>
        <c:minorTickMark val="none"/>
        <c:tickLblPos val="nextTo"/>
        <c:crossAx val="1450336976"/>
        <c:crosses val="max"/>
        <c:crossBetween val="between"/>
      </c:valAx>
      <c:catAx>
        <c:axId val="1450336976"/>
        <c:scaling>
          <c:orientation val="maxMin"/>
        </c:scaling>
        <c:delete val="1"/>
        <c:axPos val="r"/>
        <c:numFmt formatCode="General" sourceLinked="1"/>
        <c:majorTickMark val="out"/>
        <c:minorTickMark val="none"/>
        <c:tickLblPos val="nextTo"/>
        <c:crossAx val="465148416"/>
        <c:crosses val="max"/>
        <c:auto val="1"/>
        <c:lblAlgn val="ctr"/>
        <c:lblOffset val="100"/>
        <c:noMultiLvlLbl val="0"/>
      </c:catAx>
      <c:spPr>
        <a:noFill/>
        <a:ln>
          <a:noFill/>
        </a:ln>
        <a:effectLst/>
      </c:spPr>
    </c:plotArea>
    <c:legend>
      <c:legendPos val="t"/>
      <c:layout>
        <c:manualLayout>
          <c:xMode val="edge"/>
          <c:yMode val="edge"/>
          <c:x val="0.18002599047564213"/>
          <c:y val="4.1970662888849528E-2"/>
          <c:w val="0.72325983073291489"/>
          <c:h val="5.494043051374378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793875765529326E-2"/>
          <c:y val="0.13630659253375696"/>
          <c:w val="0.48423902012248471"/>
          <c:h val="0.73270479216309237"/>
        </c:manualLayout>
      </c:layout>
      <c:doughnutChart>
        <c:varyColors val="1"/>
        <c:ser>
          <c:idx val="0"/>
          <c:order val="0"/>
          <c:tx>
            <c:strRef>
              <c:f>q17_a_q19_q26_a_q29_q37_q40_Fig!$R$76</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6A8-4EEE-A542-B4D51138FBC7}"/>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6A8-4EEE-A542-B4D51138FBC7}"/>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6A8-4EEE-A542-B4D51138FBC7}"/>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6A8-4EEE-A542-B4D51138FBC7}"/>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6A8-4EEE-A542-B4D51138FBC7}"/>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6A8-4EEE-A542-B4D51138FBC7}"/>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6A8-4EEE-A542-B4D51138FBC7}"/>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6A8-4EEE-A542-B4D51138FBC7}"/>
              </c:ext>
            </c:extLst>
          </c:dPt>
          <c:dLbls>
            <c:dLbl>
              <c:idx val="0"/>
              <c:layout>
                <c:manualLayout>
                  <c:x val="3.60926650137601E-2"/>
                  <c:y val="-0.187732173338472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F6A8-4EEE-A542-B4D51138FBC7}"/>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6A8-4EEE-A542-B4D51138FBC7}"/>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6A8-4EEE-A542-B4D51138FBC7}"/>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F6A8-4EEE-A542-B4D51138FBC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q17_a_q19_q26_a_q29_q37_q40_Fig!$Q$77:$Q$80</c:f>
              <c:strCache>
                <c:ptCount val="4"/>
                <c:pt idx="0">
                  <c:v>&lt; 1.º ciclo do ensino básico</c:v>
                </c:pt>
                <c:pt idx="1">
                  <c:v>Ensino básico</c:v>
                </c:pt>
                <c:pt idx="2">
                  <c:v>Ensino secundário + pós sec. não superior nível IV</c:v>
                </c:pt>
                <c:pt idx="3">
                  <c:v>Ensino superior**</c:v>
                </c:pt>
              </c:strCache>
            </c:strRef>
          </c:cat>
          <c:val>
            <c:numRef>
              <c:f>q17_a_q19_q26_a_q29_q37_q40_Fig!$R$77:$R$80</c:f>
              <c:numCache>
                <c:formatCode>#,##0</c:formatCode>
                <c:ptCount val="4"/>
                <c:pt idx="0">
                  <c:v>6162</c:v>
                </c:pt>
                <c:pt idx="1">
                  <c:v>946247</c:v>
                </c:pt>
                <c:pt idx="2">
                  <c:v>861654</c:v>
                </c:pt>
                <c:pt idx="3">
                  <c:v>645431</c:v>
                </c:pt>
              </c:numCache>
            </c:numRef>
          </c:val>
          <c:extLst>
            <c:ext xmlns:c16="http://schemas.microsoft.com/office/drawing/2014/chart" uri="{C3380CC4-5D6E-409C-BE32-E72D297353CC}">
              <c16:uniqueId val="{00000010-F6A8-4EEE-A542-B4D51138FBC7}"/>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653718285214348"/>
          <c:y val="4.9101932750860465E-2"/>
          <c:w val="0.39061767279090115"/>
          <c:h val="0.82165051628276409"/>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2694453453786034"/>
          <c:w val="0.41229760119940023"/>
          <c:h val="0.79289885381340897"/>
        </c:manualLayout>
      </c:layout>
      <c:barChart>
        <c:barDir val="bar"/>
        <c:grouping val="clustered"/>
        <c:varyColors val="0"/>
        <c:ser>
          <c:idx val="0"/>
          <c:order val="0"/>
          <c:tx>
            <c:strRef>
              <c:f>q17_a_q19_q26_a_q29_q37_q40_Fig!$R$76</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2E37-440C-A5BE-4854FC0E97E7}"/>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2E37-440C-A5BE-4854FC0E97E7}"/>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2E37-440C-A5BE-4854FC0E97E7}"/>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2E37-440C-A5BE-4854FC0E97E7}"/>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2E37-440C-A5BE-4854FC0E97E7}"/>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37-440C-A5BE-4854FC0E97E7}"/>
                </c:ext>
              </c:extLst>
            </c:dLbl>
            <c:spPr>
              <a:noFill/>
              <a:ln>
                <a:noFill/>
              </a:ln>
              <a:effectLst/>
            </c:spPr>
            <c:txPr>
              <a:bodyPr rot="0" spcFirstLastPara="1" vertOverflow="overflow" horzOverflow="overflow" vert="horz" wrap="non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q17_a_q19_q26_a_q29_q37_q40_Fig!$Q$77:$Q$81</c15:sqref>
                  </c15:fullRef>
                </c:ext>
              </c:extLst>
              <c:f>q17_a_q19_q26_a_q29_q37_q40_Fig!$Q$77:$Q$80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q17_a_q19_q26_a_q29_q37_q40_Fig!$R$77:$R$81</c15:sqref>
                  </c15:fullRef>
                </c:ext>
              </c:extLst>
              <c:f>q17_a_q19_q26_a_q29_q37_q40_Fig!$R$77:$R$80</c:f>
              <c:numCache>
                <c:formatCode>#,##0</c:formatCode>
                <c:ptCount val="4"/>
                <c:pt idx="0">
                  <c:v>6162</c:v>
                </c:pt>
                <c:pt idx="1">
                  <c:v>946247</c:v>
                </c:pt>
                <c:pt idx="2">
                  <c:v>861654</c:v>
                </c:pt>
                <c:pt idx="3">
                  <c:v>645431</c:v>
                </c:pt>
              </c:numCache>
            </c:numRef>
          </c:val>
          <c:extLst>
            <c:ext xmlns:c15="http://schemas.microsoft.com/office/drawing/2012/chart" uri="{02D57815-91ED-43cb-92C2-25804820EDAC}">
              <c15:categoryFilterExceptions>
                <c15:categoryFilterException>
                  <c15:sqref>q17_a_q19_q26_a_q29_q37_q40_Fig!$R$81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A-2E37-440C-A5BE-4854FC0E97E7}"/>
            </c:ext>
          </c:extLst>
        </c:ser>
        <c:dLbls>
          <c:showLegendKey val="0"/>
          <c:showVal val="0"/>
          <c:showCatName val="0"/>
          <c:showSerName val="0"/>
          <c:showPercent val="0"/>
          <c:showBubbleSize val="0"/>
        </c:dLbls>
        <c:gapWidth val="118"/>
        <c:axId val="891633855"/>
        <c:axId val="1319480015"/>
      </c:barChart>
      <c:valAx>
        <c:axId val="1319480015"/>
        <c:scaling>
          <c:orientation val="minMax"/>
          <c:max val="12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4.0807028631546345E-2"/>
          <c:y val="3.567815386713024E-2"/>
          <c:w val="0.93031205225533231"/>
          <c:h val="0.92049561986569861"/>
        </c:manualLayout>
      </c:layout>
      <c:barChart>
        <c:barDir val="bar"/>
        <c:grouping val="clustered"/>
        <c:varyColors val="0"/>
        <c:ser>
          <c:idx val="0"/>
          <c:order val="0"/>
          <c:tx>
            <c:strRef>
              <c:f>q3_q7_q11_q15_q24_q35_Fig!$AT$19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0C14-4F04-819A-C076A41DC74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q3_q7_q11_q15_q24_q35_Fig!$AS$38</c:f>
              <c:strCache>
                <c:ptCount val="1"/>
                <c:pt idx="0">
                  <c:v>Continente</c:v>
                </c:pt>
              </c:strCache>
            </c:strRef>
          </c:cat>
          <c:val>
            <c:numRef>
              <c:f>q3_q7_q11_q15_q24_q35_Fig!$AT$38</c:f>
              <c:numCache>
                <c:formatCode>#,##0</c:formatCode>
                <c:ptCount val="1"/>
                <c:pt idx="0">
                  <c:v>3489583</c:v>
                </c:pt>
              </c:numCache>
            </c:numRef>
          </c:val>
          <c:extLst>
            <c:ext xmlns:c16="http://schemas.microsoft.com/office/drawing/2014/chart" uri="{C3380CC4-5D6E-409C-BE32-E72D297353CC}">
              <c16:uniqueId val="{00000001-0C14-4F04-819A-C076A41DC744}"/>
            </c:ext>
          </c:extLst>
        </c:ser>
        <c:ser>
          <c:idx val="1"/>
          <c:order val="1"/>
          <c:tx>
            <c:strRef>
              <c:f>q3_q7_q11_q15_q24_q35_Fig!$AU$19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32908443900534484"/>
                  <c:y val="1.8754372112998842E-6"/>
                </c:manualLayout>
              </c:layout>
              <c:numFmt formatCode="#,##0"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38273118034296499"/>
                      <c:h val="0.4785046764026864"/>
                    </c:manualLayout>
                  </c15:layout>
                </c:ext>
                <c:ext xmlns:c16="http://schemas.microsoft.com/office/drawing/2014/chart" uri="{C3380CC4-5D6E-409C-BE32-E72D297353CC}">
                  <c16:uniqueId val="{00000002-0C14-4F04-819A-C076A41DC74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q3_q7_q11_q15_q24_q35_Fig!$AS$38</c:f>
              <c:strCache>
                <c:ptCount val="1"/>
                <c:pt idx="0">
                  <c:v>Continente</c:v>
                </c:pt>
              </c:strCache>
            </c:strRef>
          </c:cat>
          <c:val>
            <c:numRef>
              <c:f>q3_q7_q11_q15_q24_q35_Fig!$AU$38</c:f>
              <c:numCache>
                <c:formatCode>#,##0</c:formatCode>
                <c:ptCount val="1"/>
                <c:pt idx="0">
                  <c:v>3296134</c:v>
                </c:pt>
              </c:numCache>
            </c:numRef>
          </c:val>
          <c:extLst>
            <c:ext xmlns:c16="http://schemas.microsoft.com/office/drawing/2014/chart" uri="{C3380CC4-5D6E-409C-BE32-E72D297353CC}">
              <c16:uniqueId val="{00000003-0C14-4F04-819A-C076A41DC744}"/>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8179050350130707"/>
          <c:w val="0.60632456527300227"/>
          <c:h val="0.70374569616569937"/>
        </c:manualLayout>
      </c:layout>
      <c:barChart>
        <c:barDir val="bar"/>
        <c:grouping val="clustered"/>
        <c:varyColors val="0"/>
        <c:ser>
          <c:idx val="0"/>
          <c:order val="0"/>
          <c:tx>
            <c:strRef>
              <c:f>q17_a_q19_q26_a_q29_q37_q40_Fig!$Q$156</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AF3C-44B0-B92E-8C82D080F099}"/>
              </c:ext>
            </c:extLst>
          </c:dPt>
          <c:dPt>
            <c:idx val="1"/>
            <c:invertIfNegative val="0"/>
            <c:bubble3D val="0"/>
            <c:extLst>
              <c:ext xmlns:c16="http://schemas.microsoft.com/office/drawing/2014/chart" uri="{C3380CC4-5D6E-409C-BE32-E72D297353CC}">
                <c16:uniqueId val="{00000001-AF3C-44B0-B92E-8C82D080F099}"/>
              </c:ext>
            </c:extLst>
          </c:dPt>
          <c:dPt>
            <c:idx val="2"/>
            <c:invertIfNegative val="0"/>
            <c:bubble3D val="0"/>
            <c:extLst>
              <c:ext xmlns:c16="http://schemas.microsoft.com/office/drawing/2014/chart" uri="{C3380CC4-5D6E-409C-BE32-E72D297353CC}">
                <c16:uniqueId val="{00000002-AF3C-44B0-B92E-8C82D080F099}"/>
              </c:ext>
            </c:extLst>
          </c:dPt>
          <c:dPt>
            <c:idx val="3"/>
            <c:invertIfNegative val="0"/>
            <c:bubble3D val="0"/>
            <c:extLst>
              <c:ext xmlns:c16="http://schemas.microsoft.com/office/drawing/2014/chart" uri="{C3380CC4-5D6E-409C-BE32-E72D297353CC}">
                <c16:uniqueId val="{00000003-AF3C-44B0-B92E-8C82D080F099}"/>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q17_a_q19_q26_a_q29_q37_q40_Fig!$R$155:$W$155</c15:sqref>
                  </c15:fullRef>
                </c:ext>
              </c:extLst>
              <c:f>q17_a_q19_q26_a_q29_q37_q40_Fig!$S$155:$V$155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q17_a_q19_q26_a_q29_q37_q40_Fig!$R$156:$W$156</c15:sqref>
                  </c15:fullRef>
                </c:ext>
              </c:extLst>
              <c:f>q17_a_q19_q26_a_q29_q37_q40_Fig!$S$156:$V$156</c:f>
              <c:numCache>
                <c:formatCode>#,##0.00\ "€"</c:formatCode>
                <c:ptCount val="4"/>
                <c:pt idx="0">
                  <c:v>821.44</c:v>
                </c:pt>
                <c:pt idx="1">
                  <c:v>927.83</c:v>
                </c:pt>
                <c:pt idx="2">
                  <c:v>1057.23</c:v>
                </c:pt>
                <c:pt idx="3">
                  <c:v>1870.81</c:v>
                </c:pt>
              </c:numCache>
            </c:numRef>
          </c:val>
          <c:extLst>
            <c:ext xmlns:c15="http://schemas.microsoft.com/office/drawing/2012/chart" uri="{02D57815-91ED-43cb-92C2-25804820EDAC}">
              <c15:categoryFilterExceptions>
                <c15:categoryFilterException>
                  <c15:sqref>q17_a_q19_q26_a_q29_q37_q40_Fig!$W$156</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AF3C-44B0-B92E-8C82D080F099}"/>
            </c:ext>
          </c:extLst>
        </c:ser>
        <c:ser>
          <c:idx val="1"/>
          <c:order val="1"/>
          <c:tx>
            <c:strRef>
              <c:f>q17_a_q19_q26_a_q29_q37_q40_Fig!$Q$157</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q17_a_q19_q26_a_q29_q37_q40_Fig!$R$155:$W$155</c15:sqref>
                  </c15:fullRef>
                </c:ext>
              </c:extLst>
              <c:f>q17_a_q19_q26_a_q29_q37_q40_Fig!$S$155:$V$155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q17_a_q19_q26_a_q29_q37_q40_Fig!$R$157:$W$157</c15:sqref>
                  </c15:fullRef>
                </c:ext>
              </c:extLst>
              <c:f>q17_a_q19_q26_a_q29_q37_q40_Fig!$S$157:$V$157</c:f>
              <c:numCache>
                <c:formatCode>#,##0.00\ "€"</c:formatCode>
                <c:ptCount val="4"/>
                <c:pt idx="0">
                  <c:v>968.17</c:v>
                </c:pt>
                <c:pt idx="1">
                  <c:v>1122.23</c:v>
                </c:pt>
                <c:pt idx="2">
                  <c:v>1297.5899999999999</c:v>
                </c:pt>
                <c:pt idx="3">
                  <c:v>2204.65</c:v>
                </c:pt>
              </c:numCache>
            </c:numRef>
          </c:val>
          <c:extLst>
            <c:ext xmlns:c16="http://schemas.microsoft.com/office/drawing/2014/chart" uri="{C3380CC4-5D6E-409C-BE32-E72D297353CC}">
              <c16:uniqueId val="{00000005-AF3C-44B0-B92E-8C82D080F099}"/>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9273983843809283"/>
          <c:y val="8.2522611688207285E-3"/>
          <c:w val="0.23703567588317281"/>
          <c:h val="6.992608664633585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7702860588135602"/>
          <c:w val="0.7546157966014222"/>
          <c:h val="0.74281478392983291"/>
        </c:manualLayout>
      </c:layout>
      <c:barChart>
        <c:barDir val="bar"/>
        <c:grouping val="clustered"/>
        <c:varyColors val="0"/>
        <c:ser>
          <c:idx val="0"/>
          <c:order val="0"/>
          <c:tx>
            <c:strRef>
              <c:f>q17_a_q19_q26_a_q29_q37_q40_Fig!$Q$161</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AF9A-4CAE-9A72-B3E5B5E27BF3}"/>
              </c:ext>
            </c:extLst>
          </c:dPt>
          <c:dPt>
            <c:idx val="1"/>
            <c:invertIfNegative val="0"/>
            <c:bubble3D val="0"/>
            <c:extLst>
              <c:ext xmlns:c16="http://schemas.microsoft.com/office/drawing/2014/chart" uri="{C3380CC4-5D6E-409C-BE32-E72D297353CC}">
                <c16:uniqueId val="{00000001-AF9A-4CAE-9A72-B3E5B5E27BF3}"/>
              </c:ext>
            </c:extLst>
          </c:dPt>
          <c:dPt>
            <c:idx val="2"/>
            <c:invertIfNegative val="0"/>
            <c:bubble3D val="0"/>
            <c:extLst>
              <c:ext xmlns:c16="http://schemas.microsoft.com/office/drawing/2014/chart" uri="{C3380CC4-5D6E-409C-BE32-E72D297353CC}">
                <c16:uniqueId val="{00000002-AF9A-4CAE-9A72-B3E5B5E27BF3}"/>
              </c:ext>
            </c:extLst>
          </c:dPt>
          <c:dPt>
            <c:idx val="3"/>
            <c:invertIfNegative val="0"/>
            <c:bubble3D val="0"/>
            <c:extLst>
              <c:ext xmlns:c16="http://schemas.microsoft.com/office/drawing/2014/chart" uri="{C3380CC4-5D6E-409C-BE32-E72D297353CC}">
                <c16:uniqueId val="{00000003-AF9A-4CAE-9A72-B3E5B5E27BF3}"/>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q17_a_q19_q26_a_q29_q37_q40_Fig!$R$160:$W$160</c15:sqref>
                  </c15:fullRef>
                </c:ext>
              </c:extLst>
              <c:f>q17_a_q19_q26_a_q29_q37_q40_Fig!$S$160:$V$160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q17_a_q19_q26_a_q29_q37_q40_Fig!$R$161:$W$161</c15:sqref>
                  </c15:fullRef>
                </c:ext>
              </c:extLst>
              <c:f>q17_a_q19_q26_a_q29_q37_q40_Fig!$S$161:$V$161</c:f>
              <c:numCache>
                <c:formatCode>#,##0.00\ "€"</c:formatCode>
                <c:ptCount val="4"/>
                <c:pt idx="0">
                  <c:v>764</c:v>
                </c:pt>
                <c:pt idx="1">
                  <c:v>800</c:v>
                </c:pt>
                <c:pt idx="2">
                  <c:v>850</c:v>
                </c:pt>
                <c:pt idx="3">
                  <c:v>1452.5</c:v>
                </c:pt>
              </c:numCache>
            </c:numRef>
          </c:val>
          <c:extLst>
            <c:ext xmlns:c15="http://schemas.microsoft.com/office/drawing/2012/chart" uri="{02D57815-91ED-43cb-92C2-25804820EDAC}">
              <c15:categoryFilterExceptions>
                <c15:categoryFilterException>
                  <c15:sqref>q17_a_q19_q26_a_q29_q37_q40_Fig!$W$161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AF9A-4CAE-9A72-B3E5B5E27BF3}"/>
            </c:ext>
          </c:extLst>
        </c:ser>
        <c:ser>
          <c:idx val="1"/>
          <c:order val="1"/>
          <c:tx>
            <c:strRef>
              <c:f>q17_a_q19_q26_a_q29_q37_q40_Fig!$Q$162</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q17_a_q19_q26_a_q29_q37_q40_Fig!$R$160:$W$160</c15:sqref>
                  </c15:fullRef>
                </c:ext>
              </c:extLst>
              <c:f>q17_a_q19_q26_a_q29_q37_q40_Fig!$S$160:$V$160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q17_a_q19_q26_a_q29_q37_q40_Fig!$R$162:$W$162</c15:sqref>
                  </c15:fullRef>
                </c:ext>
              </c:extLst>
              <c:f>q17_a_q19_q26_a_q29_q37_q40_Fig!$S$162:$V$162</c:f>
              <c:numCache>
                <c:formatCode>#,##0.00\ "€"</c:formatCode>
                <c:ptCount val="4"/>
                <c:pt idx="0">
                  <c:v>893.11</c:v>
                </c:pt>
                <c:pt idx="1">
                  <c:v>964</c:v>
                </c:pt>
                <c:pt idx="2">
                  <c:v>1050.8</c:v>
                </c:pt>
                <c:pt idx="3">
                  <c:v>1734.72</c:v>
                </c:pt>
              </c:numCache>
            </c:numRef>
          </c:val>
          <c:extLst>
            <c:ext xmlns:c16="http://schemas.microsoft.com/office/drawing/2014/chart" uri="{C3380CC4-5D6E-409C-BE32-E72D297353CC}">
              <c16:uniqueId val="{00000005-AF9A-4CAE-9A72-B3E5B5E27BF3}"/>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2584854060556499"/>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541962742462074E-2"/>
          <c:y val="0.13630659253375696"/>
          <c:w val="0.48749094168107027"/>
          <c:h val="0.61503188433701927"/>
        </c:manualLayout>
      </c:layout>
      <c:doughnutChart>
        <c:varyColors val="1"/>
        <c:ser>
          <c:idx val="0"/>
          <c:order val="0"/>
          <c:tx>
            <c:strRef>
              <c:f>q17_a_q19_q26_a_q29_q37_q40_Fig!$T$253</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F1A-4464-BB2F-940E13F026B7}"/>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F1A-4464-BB2F-940E13F026B7}"/>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F1A-4464-BB2F-940E13F026B7}"/>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F1A-4464-BB2F-940E13F026B7}"/>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F1A-4464-BB2F-940E13F026B7}"/>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F1A-4464-BB2F-940E13F026B7}"/>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F1A-4464-BB2F-940E13F026B7}"/>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F1A-4464-BB2F-940E13F026B7}"/>
              </c:ext>
            </c:extLst>
          </c:dPt>
          <c:dPt>
            <c:idx val="8"/>
            <c:bubble3D val="0"/>
            <c:spPr>
              <a:solidFill>
                <a:schemeClr val="accent5">
                  <a:lumMod val="80000"/>
                  <a:lumOff val="20000"/>
                </a:schemeClr>
              </a:solidFill>
              <a:ln>
                <a:noFill/>
              </a:ln>
              <a:effectLst/>
            </c:spPr>
            <c:extLst>
              <c:ext xmlns:c16="http://schemas.microsoft.com/office/drawing/2014/chart" uri="{C3380CC4-5D6E-409C-BE32-E72D297353CC}">
                <c16:uniqueId val="{00000011-FF1A-4464-BB2F-940E13F026B7}"/>
              </c:ext>
            </c:extLst>
          </c:dPt>
          <c:dPt>
            <c:idx val="9"/>
            <c:bubble3D val="0"/>
            <c:spPr>
              <a:solidFill>
                <a:schemeClr val="accent1">
                  <a:lumMod val="80000"/>
                </a:schemeClr>
              </a:solidFill>
              <a:ln>
                <a:noFill/>
              </a:ln>
              <a:effectLst/>
            </c:spPr>
            <c:extLst>
              <c:ext xmlns:c16="http://schemas.microsoft.com/office/drawing/2014/chart" uri="{C3380CC4-5D6E-409C-BE32-E72D297353CC}">
                <c16:uniqueId val="{00000013-FF1A-4464-BB2F-940E13F026B7}"/>
              </c:ext>
            </c:extLst>
          </c:dPt>
          <c:dLbls>
            <c:dLbl>
              <c:idx val="0"/>
              <c:layout>
                <c:manualLayout>
                  <c:x val="4.2276422764227585E-2"/>
                  <c:y val="-0.1805255334758886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1A-4464-BB2F-940E13F026B7}"/>
                </c:ext>
              </c:extLst>
            </c:dLbl>
            <c:dLbl>
              <c:idx val="5"/>
              <c:layout>
                <c:manualLayout>
                  <c:x val="-0.14308943089430895"/>
                  <c:y val="0.1518055622410881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F1A-4464-BB2F-940E13F026B7}"/>
                </c:ext>
              </c:extLst>
            </c:dLbl>
            <c:dLbl>
              <c:idx val="9"/>
              <c:layout>
                <c:manualLayout>
                  <c:x val="-0.11382113821138215"/>
                  <c:y val="-0.18462838650943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layout>
                    <c:manualLayout>
                      <c:w val="8.4585365853658528E-2"/>
                      <c:h val="7.0589747971752992E-2"/>
                    </c:manualLayout>
                  </c15:layout>
                </c:ext>
                <c:ext xmlns:c16="http://schemas.microsoft.com/office/drawing/2014/chart" uri="{C3380CC4-5D6E-409C-BE32-E72D297353CC}">
                  <c16:uniqueId val="{00000013-FF1A-4464-BB2F-940E13F026B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q17_a_q19_q26_a_q29_q37_q40_Fig!$S$254:$S$263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q17_a_q19_q26_a_q29_q37_q40_Fig!$T$254:$T$263</c:f>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14-FF1A-4464-BB2F-940E13F026B7}"/>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9856961782216245"/>
          <c:y val="2.0381810857182919E-2"/>
          <c:w val="0.33858523782088212"/>
          <c:h val="0.9037076545992175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0742898448458355"/>
          <c:w val="0.41229760119940023"/>
          <c:h val="0.85925208587139457"/>
        </c:manualLayout>
      </c:layout>
      <c:barChart>
        <c:barDir val="bar"/>
        <c:grouping val="clustered"/>
        <c:varyColors val="0"/>
        <c:ser>
          <c:idx val="0"/>
          <c:order val="0"/>
          <c:tx>
            <c:strRef>
              <c:f>q17_a_q19_q26_a_q29_q37_q40_Fig!$T$253</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C592-4B66-A6E6-55447F0EA565}"/>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C592-4B66-A6E6-55447F0EA565}"/>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C592-4B66-A6E6-55447F0EA565}"/>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C592-4B66-A6E6-55447F0EA565}"/>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C592-4B66-A6E6-55447F0EA565}"/>
              </c:ext>
            </c:extLst>
          </c:dPt>
          <c:dPt>
            <c:idx val="5"/>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B-C592-4B66-A6E6-55447F0EA565}"/>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92-4B66-A6E6-55447F0EA565}"/>
                </c:ext>
              </c:extLst>
            </c:dLbl>
            <c:spPr>
              <a:noFill/>
              <a:ln>
                <a:noFill/>
              </a:ln>
              <a:effectLst/>
            </c:spPr>
            <c:txPr>
              <a:bodyPr rot="0" spcFirstLastPara="1" vertOverflow="overflow" horzOverflow="overflow" vert="horz" wrap="non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q17_a_q19_q26_a_q29_q37_q40_Fig!$T$254:$T$263</c:f>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0C-C592-4B66-A6E6-55447F0EA565}"/>
            </c:ext>
          </c:extLst>
        </c:ser>
        <c:dLbls>
          <c:showLegendKey val="0"/>
          <c:showVal val="0"/>
          <c:showCatName val="0"/>
          <c:showSerName val="0"/>
          <c:showPercent val="0"/>
          <c:showBubbleSize val="0"/>
        </c:dLbls>
        <c:gapWidth val="118"/>
        <c:axId val="891633855"/>
        <c:axId val="1319480015"/>
      </c:barChart>
      <c:valAx>
        <c:axId val="1319480015"/>
        <c:scaling>
          <c:orientation val="minMax"/>
          <c:max val="8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4696557342948274"/>
          <c:w val="0.46826480651678509"/>
          <c:h val="0.79171744577056835"/>
        </c:manualLayout>
      </c:layout>
      <c:barChart>
        <c:barDir val="bar"/>
        <c:grouping val="clustered"/>
        <c:varyColors val="0"/>
        <c:ser>
          <c:idx val="1"/>
          <c:order val="1"/>
          <c:tx>
            <c:strRef>
              <c:f>q17_a_q19_q26_a_q29_q37_q40_Fig!$U$253</c:f>
              <c:strCache>
                <c:ptCount val="1"/>
                <c:pt idx="0">
                  <c:v>Base</c:v>
                </c:pt>
              </c:strCache>
            </c:strRef>
          </c:tx>
          <c:spPr>
            <a:solidFill>
              <a:srgbClr val="4F81BD"/>
            </a:solidFill>
            <a:ln w="19050">
              <a:solidFill>
                <a:schemeClr val="lt1"/>
              </a:solidFill>
            </a:ln>
            <a:effectLst/>
          </c:spPr>
          <c:invertIfNegative val="0"/>
          <c:dLbls>
            <c:numFmt formatCode="#,##0.00\ &quot;€&quot;"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q19_q28_q29_q39_Fig!$S$17:$S$26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q17_a_q19_q26_a_q29_q37_q40_Fig!$U$254:$U$263</c:f>
              <c:numCache>
                <c:formatCode>#,##0.00\ "€"</c:formatCode>
                <c:ptCount val="10"/>
                <c:pt idx="0">
                  <c:v>2657.57</c:v>
                </c:pt>
                <c:pt idx="1">
                  <c:v>1907.03</c:v>
                </c:pt>
                <c:pt idx="2">
                  <c:v>1506.33</c:v>
                </c:pt>
                <c:pt idx="3">
                  <c:v>1075.58</c:v>
                </c:pt>
                <c:pt idx="4">
                  <c:v>897.05</c:v>
                </c:pt>
                <c:pt idx="5">
                  <c:v>921.84</c:v>
                </c:pt>
                <c:pt idx="6">
                  <c:v>951.56</c:v>
                </c:pt>
                <c:pt idx="7">
                  <c:v>925.47</c:v>
                </c:pt>
                <c:pt idx="8">
                  <c:v>853.75</c:v>
                </c:pt>
                <c:pt idx="9">
                  <c:v>2853.07</c:v>
                </c:pt>
              </c:numCache>
            </c:numRef>
          </c:val>
          <c:extLst>
            <c:ext xmlns:c16="http://schemas.microsoft.com/office/drawing/2014/chart" uri="{C3380CC4-5D6E-409C-BE32-E72D297353CC}">
              <c16:uniqueId val="{00000000-CDE0-4F97-9545-8A5134AC7C40}"/>
            </c:ext>
          </c:extLst>
        </c:ser>
        <c:ser>
          <c:idx val="2"/>
          <c:order val="2"/>
          <c:tx>
            <c:strRef>
              <c:f>q17_a_q19_q26_a_q29_q37_q40_Fig!$V$253</c:f>
              <c:strCache>
                <c:ptCount val="1"/>
                <c:pt idx="0">
                  <c:v>Ganho</c:v>
                </c:pt>
              </c:strCache>
            </c:strRef>
          </c:tx>
          <c:spPr>
            <a:solidFill>
              <a:srgbClr val="FFC000"/>
            </a:solidFill>
            <a:ln>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q19_q28_q29_q39_Fig!$S$17:$S$26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q17_a_q19_q26_a_q29_q37_q40_Fig!$V$254:$V$263</c:f>
              <c:numCache>
                <c:formatCode>#,##0.00\ "€"</c:formatCode>
                <c:ptCount val="10"/>
                <c:pt idx="0">
                  <c:v>3072.68</c:v>
                </c:pt>
                <c:pt idx="1">
                  <c:v>2222.79</c:v>
                </c:pt>
                <c:pt idx="2">
                  <c:v>1836.79</c:v>
                </c:pt>
                <c:pt idx="3">
                  <c:v>1303.32</c:v>
                </c:pt>
                <c:pt idx="4">
                  <c:v>1078.9100000000001</c:v>
                </c:pt>
                <c:pt idx="5">
                  <c:v>1062.6099999999999</c:v>
                </c:pt>
                <c:pt idx="6">
                  <c:v>1154.1400000000001</c:v>
                </c:pt>
                <c:pt idx="7">
                  <c:v>1235.24</c:v>
                </c:pt>
                <c:pt idx="8">
                  <c:v>1007.47</c:v>
                </c:pt>
                <c:pt idx="9">
                  <c:v>3169.09</c:v>
                </c:pt>
              </c:numCache>
            </c:numRef>
          </c:val>
          <c:extLst>
            <c:ext xmlns:c16="http://schemas.microsoft.com/office/drawing/2014/chart" uri="{C3380CC4-5D6E-409C-BE32-E72D297353CC}">
              <c16:uniqueId val="{00000001-CDE0-4F97-9545-8A5134AC7C40}"/>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q17_a_q19_q26_a_q29_q37_q40_Fig!$T$253</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2-CDE0-4F97-9545-8A5134AC7C40}"/>
                    </c:ext>
                  </c:extLst>
                </c:dPt>
                <c:dPt>
                  <c:idx val="2"/>
                  <c:invertIfNegative val="0"/>
                  <c:bubble3D val="0"/>
                  <c:extLst>
                    <c:ext xmlns:c16="http://schemas.microsoft.com/office/drawing/2014/chart" uri="{C3380CC4-5D6E-409C-BE32-E72D297353CC}">
                      <c16:uniqueId val="{00000003-CDE0-4F97-9545-8A5134AC7C40}"/>
                    </c:ext>
                  </c:extLst>
                </c:dPt>
                <c:dPt>
                  <c:idx val="3"/>
                  <c:invertIfNegative val="0"/>
                  <c:bubble3D val="0"/>
                  <c:extLst>
                    <c:ext xmlns:c16="http://schemas.microsoft.com/office/drawing/2014/chart" uri="{C3380CC4-5D6E-409C-BE32-E72D297353CC}">
                      <c16:uniqueId val="{00000004-CDE0-4F97-9545-8A5134AC7C40}"/>
                    </c:ext>
                  </c:extLst>
                </c:dPt>
                <c:dPt>
                  <c:idx val="4"/>
                  <c:invertIfNegative val="0"/>
                  <c:bubble3D val="0"/>
                  <c:extLst>
                    <c:ext xmlns:c16="http://schemas.microsoft.com/office/drawing/2014/chart" uri="{C3380CC4-5D6E-409C-BE32-E72D297353CC}">
                      <c16:uniqueId val="{00000005-CDE0-4F97-9545-8A5134AC7C40}"/>
                    </c:ext>
                  </c:extLst>
                </c:dPt>
                <c:dPt>
                  <c:idx val="5"/>
                  <c:invertIfNegative val="0"/>
                  <c:bubble3D val="0"/>
                  <c:extLst>
                    <c:ext xmlns:c16="http://schemas.microsoft.com/office/drawing/2014/chart" uri="{C3380CC4-5D6E-409C-BE32-E72D297353CC}">
                      <c16:uniqueId val="{00000006-CDE0-4F97-9545-8A5134AC7C40}"/>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q19_q28_q29_q39_Fig!$S$17:$S$26</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q17_a_q19_q26_a_q29_q37_q40_Fig!$T$254:$T$263</c15:sqref>
                        </c15:formulaRef>
                      </c:ext>
                    </c:extLst>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07-CDE0-4F97-9545-8A5134AC7C40}"/>
                  </c:ext>
                </c:extLst>
              </c15:ser>
            </c15:filteredBarSeries>
          </c:ext>
        </c:extLst>
      </c:barChart>
      <c:valAx>
        <c:axId val="1319480015"/>
        <c:scaling>
          <c:orientation val="minMax"/>
          <c:max val="3300"/>
          <c:min val="0"/>
        </c:scaling>
        <c:delete val="1"/>
        <c:axPos val="t"/>
        <c:numFmt formatCode="#,##0.00\ &quot;€&quot;" sourceLinked="1"/>
        <c:majorTickMark val="out"/>
        <c:minorTickMark val="none"/>
        <c:tickLblPos val="nextTo"/>
        <c:crossAx val="891633855"/>
        <c:crosses val="autoZero"/>
        <c:crossBetween val="between"/>
        <c:majorUnit val="3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5036216525202521"/>
          <c:y val="1.9620487218601212E-2"/>
          <c:w val="0.16526299705334702"/>
          <c:h val="8.889572494316742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2141943790027154"/>
          <c:w val="0.7546157966014222"/>
          <c:h val="0.84693069647889441"/>
        </c:manualLayout>
      </c:layout>
      <c:barChart>
        <c:barDir val="bar"/>
        <c:grouping val="clustered"/>
        <c:varyColors val="0"/>
        <c:ser>
          <c:idx val="3"/>
          <c:order val="3"/>
          <c:tx>
            <c:strRef>
              <c:f>q17_a_q19_q26_a_q29_q37_q40_Fig!$W$253</c:f>
              <c:strCache>
                <c:ptCount val="1"/>
                <c:pt idx="0">
                  <c:v>Base</c:v>
                </c:pt>
              </c:strCache>
            </c:strRef>
          </c:tx>
          <c:spPr>
            <a:solidFill>
              <a:srgbClr val="4F81BD"/>
            </a:solidFill>
            <a:ln w="19050">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q17_a_q19_q26_a_q29_q37_q40_Fig!$S$254:$S$263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q17_a_q19_q26_a_q29_q37_q40_Fig!$W$254:$W$263</c:f>
              <c:numCache>
                <c:formatCode>#,##0.00\ "€"</c:formatCode>
                <c:ptCount val="10"/>
                <c:pt idx="0">
                  <c:v>15.43</c:v>
                </c:pt>
                <c:pt idx="1">
                  <c:v>11.33</c:v>
                </c:pt>
                <c:pt idx="2">
                  <c:v>8.6999999999999993</c:v>
                </c:pt>
                <c:pt idx="3">
                  <c:v>6.18</c:v>
                </c:pt>
                <c:pt idx="4">
                  <c:v>5.18</c:v>
                </c:pt>
                <c:pt idx="5">
                  <c:v>5</c:v>
                </c:pt>
                <c:pt idx="6">
                  <c:v>5.41</c:v>
                </c:pt>
                <c:pt idx="7">
                  <c:v>5.33</c:v>
                </c:pt>
                <c:pt idx="8">
                  <c:v>4.8600000000000003</c:v>
                </c:pt>
                <c:pt idx="9">
                  <c:v>16.690000000000001</c:v>
                </c:pt>
              </c:numCache>
            </c:numRef>
          </c:val>
          <c:extLst>
            <c:ext xmlns:c16="http://schemas.microsoft.com/office/drawing/2014/chart" uri="{C3380CC4-5D6E-409C-BE32-E72D297353CC}">
              <c16:uniqueId val="{00000000-0A04-4607-BAFE-8C8002BB7319}"/>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q17_a_q19_q26_a_q29_q37_q40_Fig!$T$253</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1-0A04-4607-BAFE-8C8002BB7319}"/>
                    </c:ext>
                  </c:extLst>
                </c:dPt>
                <c:dPt>
                  <c:idx val="2"/>
                  <c:invertIfNegative val="0"/>
                  <c:bubble3D val="0"/>
                  <c:extLst>
                    <c:ext xmlns:c16="http://schemas.microsoft.com/office/drawing/2014/chart" uri="{C3380CC4-5D6E-409C-BE32-E72D297353CC}">
                      <c16:uniqueId val="{00000002-0A04-4607-BAFE-8C8002BB7319}"/>
                    </c:ext>
                  </c:extLst>
                </c:dPt>
                <c:dPt>
                  <c:idx val="3"/>
                  <c:invertIfNegative val="0"/>
                  <c:bubble3D val="0"/>
                  <c:extLst>
                    <c:ext xmlns:c16="http://schemas.microsoft.com/office/drawing/2014/chart" uri="{C3380CC4-5D6E-409C-BE32-E72D297353CC}">
                      <c16:uniqueId val="{00000003-0A04-4607-BAFE-8C8002BB7319}"/>
                    </c:ext>
                  </c:extLst>
                </c:dPt>
                <c:dPt>
                  <c:idx val="4"/>
                  <c:invertIfNegative val="0"/>
                  <c:bubble3D val="0"/>
                  <c:extLst>
                    <c:ext xmlns:c16="http://schemas.microsoft.com/office/drawing/2014/chart" uri="{C3380CC4-5D6E-409C-BE32-E72D297353CC}">
                      <c16:uniqueId val="{00000004-0A04-4607-BAFE-8C8002BB7319}"/>
                    </c:ext>
                  </c:extLst>
                </c:dPt>
                <c:dPt>
                  <c:idx val="5"/>
                  <c:invertIfNegative val="0"/>
                  <c:bubble3D val="0"/>
                  <c:extLst>
                    <c:ext xmlns:c16="http://schemas.microsoft.com/office/drawing/2014/chart" uri="{C3380CC4-5D6E-409C-BE32-E72D297353CC}">
                      <c16:uniqueId val="{00000005-0A04-4607-BAFE-8C8002BB7319}"/>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q17_a_q19_q26_a_q29_q37_q40_Fig!$S$254:$S$263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q17_a_q19_q26_a_q29_q37_q40_Fig!$T$254:$T$263</c15:sqref>
                        </c15:formulaRef>
                      </c:ext>
                    </c:extLst>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06-0A04-4607-BAFE-8C8002BB731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q17_a_q19_q26_a_q29_q37_q40_Fig!$U$253</c15:sqref>
                        </c15:formulaRef>
                      </c:ext>
                    </c:extLst>
                    <c:strCache>
                      <c:ptCount val="1"/>
                      <c:pt idx="0">
                        <c:v>Base</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q17_a_q19_q26_a_q29_q37_q40_Fig!$S$254:$S$263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xmlns:c15="http://schemas.microsoft.com/office/drawing/2012/chart">
                      <c:ext xmlns:c15="http://schemas.microsoft.com/office/drawing/2012/chart" uri="{02D57815-91ED-43cb-92C2-25804820EDAC}">
                        <c15:formulaRef>
                          <c15:sqref>q17_a_q19_q26_a_q29_q37_q40_Fig!$U$254:$U$263</c15:sqref>
                        </c15:formulaRef>
                      </c:ext>
                    </c:extLst>
                    <c:numCache>
                      <c:formatCode>#,##0.00\ "€"</c:formatCode>
                      <c:ptCount val="10"/>
                      <c:pt idx="0">
                        <c:v>2657.57</c:v>
                      </c:pt>
                      <c:pt idx="1">
                        <c:v>1907.03</c:v>
                      </c:pt>
                      <c:pt idx="2">
                        <c:v>1506.33</c:v>
                      </c:pt>
                      <c:pt idx="3">
                        <c:v>1075.58</c:v>
                      </c:pt>
                      <c:pt idx="4">
                        <c:v>897.05</c:v>
                      </c:pt>
                      <c:pt idx="5">
                        <c:v>921.84</c:v>
                      </c:pt>
                      <c:pt idx="6">
                        <c:v>951.56</c:v>
                      </c:pt>
                      <c:pt idx="7">
                        <c:v>925.47</c:v>
                      </c:pt>
                      <c:pt idx="8">
                        <c:v>853.75</c:v>
                      </c:pt>
                      <c:pt idx="9">
                        <c:v>2853.07</c:v>
                      </c:pt>
                    </c:numCache>
                  </c:numRef>
                </c:val>
                <c:extLst xmlns:c15="http://schemas.microsoft.com/office/drawing/2012/chart">
                  <c:ext xmlns:c16="http://schemas.microsoft.com/office/drawing/2014/chart" uri="{C3380CC4-5D6E-409C-BE32-E72D297353CC}">
                    <c16:uniqueId val="{00000007-0A04-4607-BAFE-8C8002BB731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q17_a_q19_q26_a_q29_q37_q40_Fig!$V$253</c15:sqref>
                        </c15:formulaRef>
                      </c:ext>
                    </c:extLst>
                    <c:strCache>
                      <c:ptCount val="1"/>
                      <c:pt idx="0">
                        <c:v>Ganho</c:v>
                      </c:pt>
                    </c:strCache>
                  </c:strRef>
                </c:tx>
                <c:invertIfNegative val="0"/>
                <c:cat>
                  <c:strRef>
                    <c:extLst xmlns:c15="http://schemas.microsoft.com/office/drawing/2012/chart">
                      <c:ext xmlns:c15="http://schemas.microsoft.com/office/drawing/2012/chart" uri="{02D57815-91ED-43cb-92C2-25804820EDAC}">
                        <c15:formulaRef>
                          <c15:sqref>q17_a_q19_q26_a_q29_q37_q40_Fig!$S$254:$S$263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xmlns:c15="http://schemas.microsoft.com/office/drawing/2012/chart">
                      <c:ext xmlns:c15="http://schemas.microsoft.com/office/drawing/2012/chart" uri="{02D57815-91ED-43cb-92C2-25804820EDAC}">
                        <c15:formulaRef>
                          <c15:sqref>q17_a_q19_q26_a_q29_q37_q40_Fig!$V$254:$V$263</c15:sqref>
                        </c15:formulaRef>
                      </c:ext>
                    </c:extLst>
                    <c:numCache>
                      <c:formatCode>#,##0.00\ "€"</c:formatCode>
                      <c:ptCount val="10"/>
                      <c:pt idx="0">
                        <c:v>3072.68</c:v>
                      </c:pt>
                      <c:pt idx="1">
                        <c:v>2222.79</c:v>
                      </c:pt>
                      <c:pt idx="2">
                        <c:v>1836.79</c:v>
                      </c:pt>
                      <c:pt idx="3">
                        <c:v>1303.32</c:v>
                      </c:pt>
                      <c:pt idx="4">
                        <c:v>1078.9100000000001</c:v>
                      </c:pt>
                      <c:pt idx="5">
                        <c:v>1062.6099999999999</c:v>
                      </c:pt>
                      <c:pt idx="6">
                        <c:v>1154.1400000000001</c:v>
                      </c:pt>
                      <c:pt idx="7">
                        <c:v>1235.24</c:v>
                      </c:pt>
                      <c:pt idx="8">
                        <c:v>1007.47</c:v>
                      </c:pt>
                      <c:pt idx="9">
                        <c:v>3169.09</c:v>
                      </c:pt>
                    </c:numCache>
                  </c:numRef>
                </c:val>
                <c:extLst xmlns:c15="http://schemas.microsoft.com/office/drawing/2012/chart">
                  <c:ext xmlns:c16="http://schemas.microsoft.com/office/drawing/2014/chart" uri="{C3380CC4-5D6E-409C-BE32-E72D297353CC}">
                    <c16:uniqueId val="{00000008-0A04-4607-BAFE-8C8002BB7319}"/>
                  </c:ext>
                </c:extLst>
              </c15:ser>
            </c15:filteredBarSeries>
          </c:ext>
        </c:extLst>
      </c:barChart>
      <c:valAx>
        <c:axId val="1319480015"/>
        <c:scaling>
          <c:orientation val="minMax"/>
          <c:max val="20"/>
          <c:min val="0"/>
        </c:scaling>
        <c:delete val="1"/>
        <c:axPos val="t"/>
        <c:numFmt formatCode="#,##0.00\ &quot;€&quot;" sourceLinked="1"/>
        <c:majorTickMark val="out"/>
        <c:minorTickMark val="none"/>
        <c:tickLblPos val="nextTo"/>
        <c:crossAx val="891633855"/>
        <c:crosses val="autoZero"/>
        <c:crossBetween val="between"/>
        <c:majorUnit val="2"/>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17017432744235686"/>
          <c:h val="5.546408946742573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pt-PT" sz="700"/>
              <a:t>...por escalão de remuneração mensal base</a:t>
            </a:r>
            <a:r>
              <a:rPr lang="pt-PT" sz="700" baseline="0"/>
              <a:t> </a:t>
            </a:r>
            <a:r>
              <a:rPr lang="pt-PT" sz="700"/>
              <a:t>(%)</a:t>
            </a:r>
          </a:p>
        </c:rich>
      </c:tx>
      <c:layout>
        <c:manualLayout>
          <c:xMode val="edge"/>
          <c:yMode val="edge"/>
          <c:x val="0.24460062429221535"/>
          <c:y val="3.2610264249369317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2.8038397288886921E-2"/>
          <c:y val="0.13305232558139532"/>
          <c:w val="0.74059544722107495"/>
          <c:h val="0.74988738326313853"/>
        </c:manualLayout>
      </c:layout>
      <c:barChart>
        <c:barDir val="col"/>
        <c:grouping val="stacked"/>
        <c:varyColors val="0"/>
        <c:ser>
          <c:idx val="0"/>
          <c:order val="0"/>
          <c:tx>
            <c:strRef>
              <c:f>q21_q31_Fig!$A$6</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q21_q31_Fig!$B$6:$L$6</c:f>
              <c:numCache>
                <c:formatCode>0.0%</c:formatCode>
                <c:ptCount val="11"/>
                <c:pt idx="0">
                  <c:v>5.1753203234469409E-3</c:v>
                </c:pt>
                <c:pt idx="1">
                  <c:v>7.5470347823245985E-3</c:v>
                </c:pt>
                <c:pt idx="2">
                  <c:v>5.8283457994476508E-3</c:v>
                </c:pt>
                <c:pt idx="3">
                  <c:v>5.3890411798856496E-3</c:v>
                </c:pt>
                <c:pt idx="4">
                  <c:v>5.3899189612480261E-3</c:v>
                </c:pt>
                <c:pt idx="5">
                  <c:v>4.6670768628066213E-3</c:v>
                </c:pt>
                <c:pt idx="6">
                  <c:v>4.9964164128292422E-3</c:v>
                </c:pt>
                <c:pt idx="7">
                  <c:v>4.6522416984656105E-3</c:v>
                </c:pt>
                <c:pt idx="8">
                  <c:v>5.0086476651304149E-3</c:v>
                </c:pt>
                <c:pt idx="9">
                  <c:v>4.7863844973833336E-3</c:v>
                </c:pt>
                <c:pt idx="10">
                  <c:v>4.5003242016534283E-3</c:v>
                </c:pt>
              </c:numCache>
            </c:numRef>
          </c:val>
          <c:extLst>
            <c:ext xmlns:c16="http://schemas.microsoft.com/office/drawing/2014/chart" uri="{C3380CC4-5D6E-409C-BE32-E72D297353CC}">
              <c16:uniqueId val="{00000000-8EB1-48C6-AC35-A358207DC3FF}"/>
            </c:ext>
          </c:extLst>
        </c:ser>
        <c:ser>
          <c:idx val="1"/>
          <c:order val="1"/>
          <c:tx>
            <c:strRef>
              <c:f>q21_q31_Fig!$A$7</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q21_q31_Fig!$B$7:$L$7</c:f>
              <c:numCache>
                <c:formatCode>0.0%</c:formatCode>
                <c:ptCount val="11"/>
                <c:pt idx="0">
                  <c:v>0.14163154829567243</c:v>
                </c:pt>
                <c:pt idx="1">
                  <c:v>0.20369215067932647</c:v>
                </c:pt>
                <c:pt idx="2">
                  <c:v>0.18384224845075486</c:v>
                </c:pt>
                <c:pt idx="3">
                  <c:v>0.22109181370872022</c:v>
                </c:pt>
                <c:pt idx="4">
                  <c:v>0.22888510621531627</c:v>
                </c:pt>
                <c:pt idx="5">
                  <c:v>0.22317088266380225</c:v>
                </c:pt>
                <c:pt idx="6">
                  <c:v>0.20974556531087618</c:v>
                </c:pt>
                <c:pt idx="7">
                  <c:v>0.23879843890213009</c:v>
                </c:pt>
                <c:pt idx="8">
                  <c:v>0.23485068122516012</c:v>
                </c:pt>
                <c:pt idx="9">
                  <c:v>0.23346050170130656</c:v>
                </c:pt>
                <c:pt idx="10">
                  <c:v>0.20624493434916519</c:v>
                </c:pt>
              </c:numCache>
            </c:numRef>
          </c:val>
          <c:extLst>
            <c:ext xmlns:c16="http://schemas.microsoft.com/office/drawing/2014/chart" uri="{C3380CC4-5D6E-409C-BE32-E72D297353CC}">
              <c16:uniqueId val="{00000001-8EB1-48C6-AC35-A358207DC3FF}"/>
            </c:ext>
          </c:extLst>
        </c:ser>
        <c:ser>
          <c:idx val="2"/>
          <c:order val="2"/>
          <c:tx>
            <c:strRef>
              <c:f>q21_q31_Fig!$A$8</c:f>
              <c:strCache>
                <c:ptCount val="1"/>
                <c:pt idx="0">
                  <c:v>&gt;RMMG e &lt;= 999,99 €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q21_q31_Fig!$B$8:$L$8</c:f>
              <c:numCache>
                <c:formatCode>0.0%</c:formatCode>
                <c:ptCount val="11"/>
                <c:pt idx="0">
                  <c:v>0.60319352809901661</c:v>
                </c:pt>
                <c:pt idx="1">
                  <c:v>0.54175553996329417</c:v>
                </c:pt>
                <c:pt idx="2">
                  <c:v>0.5613940017005411</c:v>
                </c:pt>
                <c:pt idx="3">
                  <c:v>0.52377937535980879</c:v>
                </c:pt>
                <c:pt idx="4">
                  <c:v>0.50997986343912571</c:v>
                </c:pt>
                <c:pt idx="5">
                  <c:v>0.50294203130519</c:v>
                </c:pt>
                <c:pt idx="6">
                  <c:v>0.49900779430209641</c:v>
                </c:pt>
                <c:pt idx="7">
                  <c:v>0.44975874698144924</c:v>
                </c:pt>
                <c:pt idx="8">
                  <c:v>0.43323348150544805</c:v>
                </c:pt>
                <c:pt idx="9">
                  <c:v>0.40428893382685605</c:v>
                </c:pt>
                <c:pt idx="10">
                  <c:v>0.38834576106338142</c:v>
                </c:pt>
              </c:numCache>
            </c:numRef>
          </c:val>
          <c:extLst>
            <c:ext xmlns:c16="http://schemas.microsoft.com/office/drawing/2014/chart" uri="{C3380CC4-5D6E-409C-BE32-E72D297353CC}">
              <c16:uniqueId val="{00000002-8EB1-48C6-AC35-A358207DC3FF}"/>
            </c:ext>
          </c:extLst>
        </c:ser>
        <c:ser>
          <c:idx val="4"/>
          <c:order val="3"/>
          <c:tx>
            <c:strRef>
              <c:f>q21_q31_Fig!$A$9</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q21_q31_Fig!$B$9:$L$9</c:f>
              <c:numCache>
                <c:formatCode>0.0%</c:formatCode>
                <c:ptCount val="11"/>
                <c:pt idx="0">
                  <c:v>0.13618645963974821</c:v>
                </c:pt>
                <c:pt idx="1">
                  <c:v>0.13515638329373902</c:v>
                </c:pt>
                <c:pt idx="2">
                  <c:v>0.13673033065127307</c:v>
                </c:pt>
                <c:pt idx="3">
                  <c:v>0.13732516882726309</c:v>
                </c:pt>
                <c:pt idx="4">
                  <c:v>0.1414573466551404</c:v>
                </c:pt>
                <c:pt idx="5">
                  <c:v>0.14863141246975106</c:v>
                </c:pt>
                <c:pt idx="6">
                  <c:v>0.15694678373051424</c:v>
                </c:pt>
                <c:pt idx="7">
                  <c:v>0.16926526187573876</c:v>
                </c:pt>
                <c:pt idx="8">
                  <c:v>0.17971693097409155</c:v>
                </c:pt>
                <c:pt idx="9">
                  <c:v>0.19453183031966045</c:v>
                </c:pt>
                <c:pt idx="10">
                  <c:v>0.21866266817960772</c:v>
                </c:pt>
              </c:numCache>
            </c:numRef>
          </c:val>
          <c:extLst>
            <c:ext xmlns:c16="http://schemas.microsoft.com/office/drawing/2014/chart" uri="{C3380CC4-5D6E-409C-BE32-E72D297353CC}">
              <c16:uniqueId val="{00000004-8EB1-48C6-AC35-A358207DC3FF}"/>
            </c:ext>
          </c:extLst>
        </c:ser>
        <c:ser>
          <c:idx val="5"/>
          <c:order val="4"/>
          <c:tx>
            <c:strRef>
              <c:f>q21_q31_Fig!$A$10</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q21_q31_Fig!$B$10:$L$10</c:f>
              <c:numCache>
                <c:formatCode>0.0%</c:formatCode>
                <c:ptCount val="11"/>
                <c:pt idx="0">
                  <c:v>7.7581669717869936E-2</c:v>
                </c:pt>
                <c:pt idx="1">
                  <c:v>7.6610207814419587E-2</c:v>
                </c:pt>
                <c:pt idx="2">
                  <c:v>7.6416368385605976E-2</c:v>
                </c:pt>
                <c:pt idx="3">
                  <c:v>7.5857299902526196E-2</c:v>
                </c:pt>
                <c:pt idx="4">
                  <c:v>7.7197654909160335E-2</c:v>
                </c:pt>
                <c:pt idx="5">
                  <c:v>8.1324936554869331E-2</c:v>
                </c:pt>
                <c:pt idx="6">
                  <c:v>8.6777011288299594E-2</c:v>
                </c:pt>
                <c:pt idx="7">
                  <c:v>9.2550406216296899E-2</c:v>
                </c:pt>
                <c:pt idx="8">
                  <c:v>9.8043982670133603E-2</c:v>
                </c:pt>
                <c:pt idx="9">
                  <c:v>0.10679828206968098</c:v>
                </c:pt>
                <c:pt idx="10">
                  <c:v>0.11902577403144755</c:v>
                </c:pt>
              </c:numCache>
            </c:numRef>
          </c:val>
          <c:extLst>
            <c:ext xmlns:c16="http://schemas.microsoft.com/office/drawing/2014/chart" uri="{C3380CC4-5D6E-409C-BE32-E72D297353CC}">
              <c16:uniqueId val="{00000005-8EB1-48C6-AC35-A358207DC3FF}"/>
            </c:ext>
          </c:extLst>
        </c:ser>
        <c:ser>
          <c:idx val="6"/>
          <c:order val="5"/>
          <c:tx>
            <c:strRef>
              <c:f>q21_q31_Fig!$A$11</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q21_q31_Fig!$B$11:$L$11</c:f>
              <c:numCache>
                <c:formatCode>0.0%</c:formatCode>
                <c:ptCount val="11"/>
                <c:pt idx="0">
                  <c:v>2.3744902833149343E-2</c:v>
                </c:pt>
                <c:pt idx="1">
                  <c:v>2.339357788982771E-2</c:v>
                </c:pt>
                <c:pt idx="2">
                  <c:v>2.3905006752443711E-2</c:v>
                </c:pt>
                <c:pt idx="3">
                  <c:v>2.4396190394620498E-2</c:v>
                </c:pt>
                <c:pt idx="4">
                  <c:v>2.4870739977569757E-2</c:v>
                </c:pt>
                <c:pt idx="5">
                  <c:v>2.6643100792627713E-2</c:v>
                </c:pt>
                <c:pt idx="6">
                  <c:v>2.8876545421967388E-2</c:v>
                </c:pt>
                <c:pt idx="7">
                  <c:v>3.0903582891505917E-2</c:v>
                </c:pt>
                <c:pt idx="8">
                  <c:v>3.3638190415860442E-2</c:v>
                </c:pt>
                <c:pt idx="9">
                  <c:v>3.7576464102116271E-2</c:v>
                </c:pt>
                <c:pt idx="10">
                  <c:v>4.157278327119468E-2</c:v>
                </c:pt>
              </c:numCache>
            </c:numRef>
          </c:val>
          <c:extLst>
            <c:ext xmlns:c16="http://schemas.microsoft.com/office/drawing/2014/chart" uri="{C3380CC4-5D6E-409C-BE32-E72D297353CC}">
              <c16:uniqueId val="{00000006-8EB1-48C6-AC35-A358207DC3FF}"/>
            </c:ext>
          </c:extLst>
        </c:ser>
        <c:ser>
          <c:idx val="7"/>
          <c:order val="6"/>
          <c:tx>
            <c:strRef>
              <c:f>q21_q31_Fig!$A$12</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q21_q31_Fig!$B$12:$L$12</c:f>
              <c:numCache>
                <c:formatCode>0.0%</c:formatCode>
                <c:ptCount val="11"/>
                <c:pt idx="0">
                  <c:v>6.7965751058840706E-3</c:v>
                </c:pt>
                <c:pt idx="1">
                  <c:v>6.3013825080757372E-3</c:v>
                </c:pt>
                <c:pt idx="2">
                  <c:v>6.294412572552986E-3</c:v>
                </c:pt>
                <c:pt idx="3">
                  <c:v>6.5929862655852252E-3</c:v>
                </c:pt>
                <c:pt idx="4">
                  <c:v>6.6052422602292842E-3</c:v>
                </c:pt>
                <c:pt idx="5">
                  <c:v>6.8258209552794014E-3</c:v>
                </c:pt>
                <c:pt idx="6">
                  <c:v>7.3396344741085825E-3</c:v>
                </c:pt>
                <c:pt idx="7">
                  <c:v>7.7306320635011586E-3</c:v>
                </c:pt>
                <c:pt idx="8">
                  <c:v>8.580410561875567E-3</c:v>
                </c:pt>
                <c:pt idx="9">
                  <c:v>1.0213310382704541E-2</c:v>
                </c:pt>
                <c:pt idx="10">
                  <c:v>1.179202463932566E-2</c:v>
                </c:pt>
              </c:numCache>
            </c:numRef>
          </c:val>
          <c:extLst>
            <c:ext xmlns:c16="http://schemas.microsoft.com/office/drawing/2014/chart" uri="{C3380CC4-5D6E-409C-BE32-E72D297353CC}">
              <c16:uniqueId val="{00000007-8EB1-48C6-AC35-A358207DC3FF}"/>
            </c:ext>
          </c:extLst>
        </c:ser>
        <c:ser>
          <c:idx val="8"/>
          <c:order val="7"/>
          <c:tx>
            <c:strRef>
              <c:f>q21_q31_Fig!$A$13</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q21_q31_Fig!$B$13:$L$13</c:f>
              <c:numCache>
                <c:formatCode>0.0%</c:formatCode>
                <c:ptCount val="11"/>
                <c:pt idx="0">
                  <c:v>5.6899959852124635E-3</c:v>
                </c:pt>
                <c:pt idx="1">
                  <c:v>5.5437230689926445E-3</c:v>
                </c:pt>
                <c:pt idx="2">
                  <c:v>5.58928568738069E-3</c:v>
                </c:pt>
                <c:pt idx="3">
                  <c:v>5.5681243615903556E-3</c:v>
                </c:pt>
                <c:pt idx="4">
                  <c:v>5.6141275822102184E-3</c:v>
                </c:pt>
                <c:pt idx="5">
                  <c:v>5.7947383956736247E-3</c:v>
                </c:pt>
                <c:pt idx="6">
                  <c:v>6.3102490593083677E-3</c:v>
                </c:pt>
                <c:pt idx="7">
                  <c:v>6.340689370912307E-3</c:v>
                </c:pt>
                <c:pt idx="8">
                  <c:v>6.9276749823002333E-3</c:v>
                </c:pt>
                <c:pt idx="9">
                  <c:v>8.3442931002918625E-3</c:v>
                </c:pt>
                <c:pt idx="10">
                  <c:v>9.8557302642243473E-3</c:v>
                </c:pt>
              </c:numCache>
            </c:numRef>
          </c:val>
          <c:extLst>
            <c:ext xmlns:c16="http://schemas.microsoft.com/office/drawing/2014/chart" uri="{C3380CC4-5D6E-409C-BE32-E72D297353CC}">
              <c16:uniqueId val="{00000008-8EB1-48C6-AC35-A358207DC3FF}"/>
            </c:ext>
          </c:extLst>
        </c:ser>
        <c:dLbls>
          <c:dLblPos val="ctr"/>
          <c:showLegendKey val="0"/>
          <c:showVal val="1"/>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legend>
      <c:legendPos val="r"/>
      <c:layout>
        <c:manualLayout>
          <c:xMode val="edge"/>
          <c:yMode val="edge"/>
          <c:x val="0.81165842097773233"/>
          <c:y val="8.6394371814666263E-2"/>
          <c:w val="0.18834138026711106"/>
          <c:h val="0.8590699048194694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pt-PT" sz="700"/>
              <a:t>...por escalão de remuneração mensal ganho</a:t>
            </a:r>
            <a:r>
              <a:rPr lang="pt-PT" sz="700" baseline="0"/>
              <a:t> </a:t>
            </a:r>
            <a:r>
              <a:rPr lang="pt-PT" sz="700"/>
              <a:t>(%)</a:t>
            </a:r>
          </a:p>
        </c:rich>
      </c:tx>
      <c:layout>
        <c:manualLayout>
          <c:xMode val="edge"/>
          <c:yMode val="edge"/>
          <c:x val="0.31378080738981168"/>
          <c:y val="4.1862217730566899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2.8038397288886921E-2"/>
          <c:y val="0.13305232558139532"/>
          <c:w val="0.76942714940518253"/>
          <c:h val="0.74988738326313853"/>
        </c:manualLayout>
      </c:layout>
      <c:barChart>
        <c:barDir val="col"/>
        <c:grouping val="stacked"/>
        <c:varyColors val="0"/>
        <c:ser>
          <c:idx val="0"/>
          <c:order val="0"/>
          <c:tx>
            <c:strRef>
              <c:f>q21_q31_Fig!$A$21</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q21_q31_Fig!$B$21:$L$21</c:f>
              <c:numCache>
                <c:formatCode>0.0%</c:formatCode>
                <c:ptCount val="11"/>
                <c:pt idx="0">
                  <c:v>2.4342624824716702E-3</c:v>
                </c:pt>
                <c:pt idx="1">
                  <c:v>2.7480064118420976E-3</c:v>
                </c:pt>
                <c:pt idx="2">
                  <c:v>2.4257570195029862E-3</c:v>
                </c:pt>
                <c:pt idx="3">
                  <c:v>2.4886722587985563E-3</c:v>
                </c:pt>
                <c:pt idx="4">
                  <c:v>2.1126268385224184E-3</c:v>
                </c:pt>
                <c:pt idx="5">
                  <c:v>1.7647200184633606E-3</c:v>
                </c:pt>
                <c:pt idx="6">
                  <c:v>1.8872065938003943E-3</c:v>
                </c:pt>
                <c:pt idx="7">
                  <c:v>1.6981513947021373E-3</c:v>
                </c:pt>
                <c:pt idx="8">
                  <c:v>1.7358949447285597E-3</c:v>
                </c:pt>
                <c:pt idx="9">
                  <c:v>1.761278389303548E-3</c:v>
                </c:pt>
                <c:pt idx="10">
                  <c:v>1.5618414653914734E-3</c:v>
                </c:pt>
              </c:numCache>
            </c:numRef>
          </c:val>
          <c:extLst>
            <c:ext xmlns:c16="http://schemas.microsoft.com/office/drawing/2014/chart" uri="{C3380CC4-5D6E-409C-BE32-E72D297353CC}">
              <c16:uniqueId val="{00000000-8338-4B33-9382-8B5E19BF3BEE}"/>
            </c:ext>
          </c:extLst>
        </c:ser>
        <c:ser>
          <c:idx val="1"/>
          <c:order val="1"/>
          <c:tx>
            <c:strRef>
              <c:f>q21_q31_Fig!$A$22</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q21_q31_Fig!$B$22:$L$22</c:f>
              <c:numCache>
                <c:formatCode>0.0%</c:formatCode>
                <c:ptCount val="11"/>
                <c:pt idx="0">
                  <c:v>4.0476886936918116E-2</c:v>
                </c:pt>
                <c:pt idx="1">
                  <c:v>4.9883135828475443E-2</c:v>
                </c:pt>
                <c:pt idx="2">
                  <c:v>4.7405720668303591E-2</c:v>
                </c:pt>
                <c:pt idx="3">
                  <c:v>5.4094800212758608E-2</c:v>
                </c:pt>
                <c:pt idx="4">
                  <c:v>5.3383697406544174E-2</c:v>
                </c:pt>
                <c:pt idx="5">
                  <c:v>5.2246503999865787E-2</c:v>
                </c:pt>
                <c:pt idx="6">
                  <c:v>4.8300483784268052E-2</c:v>
                </c:pt>
                <c:pt idx="7">
                  <c:v>4.9281970761298595E-2</c:v>
                </c:pt>
                <c:pt idx="8">
                  <c:v>4.6096644814990859E-2</c:v>
                </c:pt>
                <c:pt idx="9">
                  <c:v>4.5002451480673285E-2</c:v>
                </c:pt>
                <c:pt idx="10">
                  <c:v>4.1181715026746633E-2</c:v>
                </c:pt>
              </c:numCache>
            </c:numRef>
          </c:val>
          <c:extLst>
            <c:ext xmlns:c16="http://schemas.microsoft.com/office/drawing/2014/chart" uri="{C3380CC4-5D6E-409C-BE32-E72D297353CC}">
              <c16:uniqueId val="{00000001-8338-4B33-9382-8B5E19BF3BEE}"/>
            </c:ext>
          </c:extLst>
        </c:ser>
        <c:ser>
          <c:idx val="2"/>
          <c:order val="2"/>
          <c:tx>
            <c:strRef>
              <c:f>q21_q31_Fig!$A$23</c:f>
              <c:strCache>
                <c:ptCount val="1"/>
                <c:pt idx="0">
                  <c:v>&gt;RMMG e &lt;= 999,99 €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q21_q31_Fig!$B$23:$L$23</c:f>
              <c:numCache>
                <c:formatCode>0.0%</c:formatCode>
                <c:ptCount val="11"/>
                <c:pt idx="0">
                  <c:v>0.62176892914138027</c:v>
                </c:pt>
                <c:pt idx="1">
                  <c:v>0.6144576563794043</c:v>
                </c:pt>
                <c:pt idx="2">
                  <c:v>0.61444575972148496</c:v>
                </c:pt>
                <c:pt idx="3">
                  <c:v>0.60386167576114003</c:v>
                </c:pt>
                <c:pt idx="4">
                  <c:v>0.59158476563397799</c:v>
                </c:pt>
                <c:pt idx="5">
                  <c:v>0.56911857857515635</c:v>
                </c:pt>
                <c:pt idx="6">
                  <c:v>0.54308860419279703</c:v>
                </c:pt>
                <c:pt idx="7">
                  <c:v>0.5133172035905621</c:v>
                </c:pt>
                <c:pt idx="8">
                  <c:v>0.48613783369399355</c:v>
                </c:pt>
                <c:pt idx="9">
                  <c:v>0.43309814550221687</c:v>
                </c:pt>
                <c:pt idx="10">
                  <c:v>0.34796685038093694</c:v>
                </c:pt>
              </c:numCache>
            </c:numRef>
          </c:val>
          <c:extLst>
            <c:ext xmlns:c16="http://schemas.microsoft.com/office/drawing/2014/chart" uri="{C3380CC4-5D6E-409C-BE32-E72D297353CC}">
              <c16:uniqueId val="{00000002-8338-4B33-9382-8B5E19BF3BEE}"/>
            </c:ext>
          </c:extLst>
        </c:ser>
        <c:ser>
          <c:idx val="4"/>
          <c:order val="3"/>
          <c:tx>
            <c:strRef>
              <c:f>q21_q31_Fig!$A$24</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q21_q31_Fig!$B$24:$L$24</c:f>
              <c:numCache>
                <c:formatCode>0.0%</c:formatCode>
                <c:ptCount val="11"/>
                <c:pt idx="0">
                  <c:v>0.16860362092577086</c:v>
                </c:pt>
                <c:pt idx="1">
                  <c:v>0.16805000448580024</c:v>
                </c:pt>
                <c:pt idx="2">
                  <c:v>0.17108266608274392</c:v>
                </c:pt>
                <c:pt idx="3">
                  <c:v>0.17426058841477807</c:v>
                </c:pt>
                <c:pt idx="4">
                  <c:v>0.18309823480271284</c:v>
                </c:pt>
                <c:pt idx="5">
                  <c:v>0.19677308339480987</c:v>
                </c:pt>
                <c:pt idx="6">
                  <c:v>0.21366197814011825</c:v>
                </c:pt>
                <c:pt idx="7">
                  <c:v>0.22926383866314129</c:v>
                </c:pt>
                <c:pt idx="8">
                  <c:v>0.24640756086765664</c:v>
                </c:pt>
                <c:pt idx="9">
                  <c:v>0.27650387291860873</c:v>
                </c:pt>
                <c:pt idx="10">
                  <c:v>0.33085021883611604</c:v>
                </c:pt>
              </c:numCache>
            </c:numRef>
          </c:val>
          <c:extLst>
            <c:ext xmlns:c16="http://schemas.microsoft.com/office/drawing/2014/chart" uri="{C3380CC4-5D6E-409C-BE32-E72D297353CC}">
              <c16:uniqueId val="{00000004-8338-4B33-9382-8B5E19BF3BEE}"/>
            </c:ext>
          </c:extLst>
        </c:ser>
        <c:ser>
          <c:idx val="5"/>
          <c:order val="4"/>
          <c:tx>
            <c:strRef>
              <c:f>q21_q31_Fig!$A$25</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q21_q31_Fig!$B$25:$L$25</c:f>
              <c:numCache>
                <c:formatCode>0.0%</c:formatCode>
                <c:ptCount val="11"/>
                <c:pt idx="0">
                  <c:v>0.10744449516559279</c:v>
                </c:pt>
                <c:pt idx="1">
                  <c:v>0.10662150788230297</c:v>
                </c:pt>
                <c:pt idx="2">
                  <c:v>0.10646562179987153</c:v>
                </c:pt>
                <c:pt idx="3">
                  <c:v>0.10664549462239484</c:v>
                </c:pt>
                <c:pt idx="4">
                  <c:v>0.11032658940694005</c:v>
                </c:pt>
                <c:pt idx="5">
                  <c:v>0.11769757541434873</c:v>
                </c:pt>
                <c:pt idx="6">
                  <c:v>0.12736964701666367</c:v>
                </c:pt>
                <c:pt idx="7">
                  <c:v>0.13675455774592699</c:v>
                </c:pt>
                <c:pt idx="8">
                  <c:v>0.14504629204660197</c:v>
                </c:pt>
                <c:pt idx="9">
                  <c:v>0.15884584710756844</c:v>
                </c:pt>
                <c:pt idx="10">
                  <c:v>0.18160196142000323</c:v>
                </c:pt>
              </c:numCache>
            </c:numRef>
          </c:val>
          <c:extLst>
            <c:ext xmlns:c16="http://schemas.microsoft.com/office/drawing/2014/chart" uri="{C3380CC4-5D6E-409C-BE32-E72D297353CC}">
              <c16:uniqueId val="{00000005-8338-4B33-9382-8B5E19BF3BEE}"/>
            </c:ext>
          </c:extLst>
        </c:ser>
        <c:ser>
          <c:idx val="6"/>
          <c:order val="5"/>
          <c:tx>
            <c:strRef>
              <c:f>q21_q31_Fig!$A$26</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38-4B33-9382-8B5E19BF3BE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q21_q31_Fig!$B$26:$L$26</c:f>
              <c:numCache>
                <c:formatCode>0.0%</c:formatCode>
                <c:ptCount val="11"/>
                <c:pt idx="0">
                  <c:v>3.8930744121562902E-2</c:v>
                </c:pt>
                <c:pt idx="1">
                  <c:v>3.8366297482714112E-2</c:v>
                </c:pt>
                <c:pt idx="2">
                  <c:v>3.8309885185856679E-2</c:v>
                </c:pt>
                <c:pt idx="3">
                  <c:v>3.8479525390637356E-2</c:v>
                </c:pt>
                <c:pt idx="4">
                  <c:v>3.9048886391427916E-2</c:v>
                </c:pt>
                <c:pt idx="5">
                  <c:v>4.0913210869986109E-2</c:v>
                </c:pt>
                <c:pt idx="6">
                  <c:v>4.3067998566565131E-2</c:v>
                </c:pt>
                <c:pt idx="7">
                  <c:v>4.6109315665781622E-2</c:v>
                </c:pt>
                <c:pt idx="8">
                  <c:v>4.8960871473792987E-2</c:v>
                </c:pt>
                <c:pt idx="9">
                  <c:v>5.5147583345082206E-2</c:v>
                </c:pt>
                <c:pt idx="10">
                  <c:v>6.1939131139568809E-2</c:v>
                </c:pt>
              </c:numCache>
            </c:numRef>
          </c:val>
          <c:extLst>
            <c:ext xmlns:c16="http://schemas.microsoft.com/office/drawing/2014/chart" uri="{C3380CC4-5D6E-409C-BE32-E72D297353CC}">
              <c16:uniqueId val="{00000007-8338-4B33-9382-8B5E19BF3BEE}"/>
            </c:ext>
          </c:extLst>
        </c:ser>
        <c:ser>
          <c:idx val="7"/>
          <c:order val="6"/>
          <c:tx>
            <c:strRef>
              <c:f>q21_q31_Fig!$A$27</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q21_q31_Fig!$B$27:$L$27</c:f>
              <c:numCache>
                <c:formatCode>0.0%</c:formatCode>
                <c:ptCount val="11"/>
                <c:pt idx="0">
                  <c:v>1.1290069192932493E-2</c:v>
                </c:pt>
                <c:pt idx="1">
                  <c:v>1.1010694873793437E-2</c:v>
                </c:pt>
                <c:pt idx="2">
                  <c:v>1.1017356467254038E-2</c:v>
                </c:pt>
                <c:pt idx="3">
                  <c:v>1.1287106838203699E-2</c:v>
                </c:pt>
                <c:pt idx="4">
                  <c:v>1.1404151049066509E-2</c:v>
                </c:pt>
                <c:pt idx="5">
                  <c:v>1.1988941934272794E-2</c:v>
                </c:pt>
                <c:pt idx="6">
                  <c:v>1.2757122379501881E-2</c:v>
                </c:pt>
                <c:pt idx="7">
                  <c:v>1.3377274252143367E-2</c:v>
                </c:pt>
                <c:pt idx="8">
                  <c:v>1.4589697145407103E-2</c:v>
                </c:pt>
                <c:pt idx="9">
                  <c:v>1.6623774522697764E-2</c:v>
                </c:pt>
                <c:pt idx="10">
                  <c:v>1.9549359701734478E-2</c:v>
                </c:pt>
              </c:numCache>
            </c:numRef>
          </c:val>
          <c:extLst>
            <c:ext xmlns:c16="http://schemas.microsoft.com/office/drawing/2014/chart" uri="{C3380CC4-5D6E-409C-BE32-E72D297353CC}">
              <c16:uniqueId val="{00000008-8338-4B33-9382-8B5E19BF3BEE}"/>
            </c:ext>
          </c:extLst>
        </c:ser>
        <c:ser>
          <c:idx val="8"/>
          <c:order val="7"/>
          <c:tx>
            <c:strRef>
              <c:f>q21_q31_Fig!$A$28</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q21_q31_Fig!$B$28:$L$28</c:f>
              <c:numCache>
                <c:formatCode>0.0%</c:formatCode>
                <c:ptCount val="11"/>
                <c:pt idx="0">
                  <c:v>9.0509920333708711E-3</c:v>
                </c:pt>
                <c:pt idx="1">
                  <c:v>8.8626966556673813E-3</c:v>
                </c:pt>
                <c:pt idx="2">
                  <c:v>8.8472330549823185E-3</c:v>
                </c:pt>
                <c:pt idx="3">
                  <c:v>8.8821365012888634E-3</c:v>
                </c:pt>
                <c:pt idx="4">
                  <c:v>9.0410484708080847E-3</c:v>
                </c:pt>
                <c:pt idx="5">
                  <c:v>9.497385793097007E-3</c:v>
                </c:pt>
                <c:pt idx="6">
                  <c:v>9.8669593262856112E-3</c:v>
                </c:pt>
                <c:pt idx="7">
                  <c:v>1.0197687926443938E-2</c:v>
                </c:pt>
                <c:pt idx="8">
                  <c:v>1.1025205012828354E-2</c:v>
                </c:pt>
                <c:pt idx="9">
                  <c:v>1.3017046733849161E-2</c:v>
                </c:pt>
                <c:pt idx="10">
                  <c:v>1.5348922029502351E-2</c:v>
                </c:pt>
              </c:numCache>
            </c:numRef>
          </c:val>
          <c:extLst>
            <c:ext xmlns:c16="http://schemas.microsoft.com/office/drawing/2014/chart" uri="{C3380CC4-5D6E-409C-BE32-E72D297353CC}">
              <c16:uniqueId val="{00000009-8338-4B33-9382-8B5E19BF3BEE}"/>
            </c:ext>
          </c:extLst>
        </c:ser>
        <c:dLbls>
          <c:showLegendKey val="0"/>
          <c:showVal val="0"/>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79149606299213"/>
          <c:y val="0.12026229508196722"/>
          <c:w val="0.74945871766029237"/>
          <c:h val="0.77416152489135581"/>
        </c:manualLayout>
      </c:layout>
      <c:lineChart>
        <c:grouping val="standard"/>
        <c:varyColors val="0"/>
        <c:ser>
          <c:idx val="0"/>
          <c:order val="0"/>
          <c:tx>
            <c:strRef>
              <c:f>q20_q30_q41_Fig!$A$5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q20_q30_q41_Fig!$B$5:$L$5</c:f>
              <c:numCache>
                <c:formatCode>#,##0</c:formatCode>
                <c:ptCount val="11"/>
                <c:pt idx="0">
                  <c:v>2384121</c:v>
                </c:pt>
                <c:pt idx="1">
                  <c:v>2458163</c:v>
                </c:pt>
                <c:pt idx="2">
                  <c:v>2537653</c:v>
                </c:pt>
                <c:pt idx="3">
                  <c:v>2641919</c:v>
                </c:pt>
                <c:pt idx="4">
                  <c:v>2767521</c:v>
                </c:pt>
                <c:pt idx="5">
                  <c:v>2877918</c:v>
                </c:pt>
                <c:pt idx="6">
                  <c:v>2930482</c:v>
                </c:pt>
                <c:pt idx="7">
                  <c:v>2902825</c:v>
                </c:pt>
                <c:pt idx="8">
                  <c:v>2922343</c:v>
                </c:pt>
                <c:pt idx="9">
                  <c:v>3148147</c:v>
                </c:pt>
                <c:pt idx="10">
                  <c:v>3296134</c:v>
                </c:pt>
              </c:numCache>
            </c:numRef>
          </c:val>
          <c:smooth val="0"/>
          <c:extLst xmlns:c15="http://schemas.microsoft.com/office/drawing/2012/chart">
            <c:ext xmlns:c16="http://schemas.microsoft.com/office/drawing/2014/chart" uri="{C3380CC4-5D6E-409C-BE32-E72D297353CC}">
              <c16:uniqueId val="{00000000-2499-4221-9725-565BF95CA3A6}"/>
            </c:ext>
          </c:extLst>
        </c:ser>
        <c:ser>
          <c:idx val="1"/>
          <c:order val="1"/>
          <c:tx>
            <c:strRef>
              <c:f>q20_q30_q41_Fig!$A$6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q20_q30_q41_Fig!$B$6:$L$6</c:f>
              <c:numCache>
                <c:formatCode>#,##0</c:formatCode>
                <c:ptCount val="11"/>
                <c:pt idx="0">
                  <c:v>1752648</c:v>
                </c:pt>
                <c:pt idx="1">
                  <c:v>1802130</c:v>
                </c:pt>
                <c:pt idx="2">
                  <c:v>1855203</c:v>
                </c:pt>
                <c:pt idx="3">
                  <c:v>1911498</c:v>
                </c:pt>
                <c:pt idx="4">
                  <c:v>1975887</c:v>
                </c:pt>
                <c:pt idx="5">
                  <c:v>2073822</c:v>
                </c:pt>
                <c:pt idx="6">
                  <c:v>2078465</c:v>
                </c:pt>
                <c:pt idx="7">
                  <c:v>2014412</c:v>
                </c:pt>
                <c:pt idx="8">
                  <c:v>2031422</c:v>
                </c:pt>
                <c:pt idx="9">
                  <c:v>2174986</c:v>
                </c:pt>
                <c:pt idx="10">
                  <c:v>2283826</c:v>
                </c:pt>
              </c:numCache>
            </c:numRef>
          </c:val>
          <c:smooth val="0"/>
          <c:extLst>
            <c:ext xmlns:c16="http://schemas.microsoft.com/office/drawing/2014/chart" uri="{C3380CC4-5D6E-409C-BE32-E72D297353CC}">
              <c16:uniqueId val="{00000001-2499-4221-9725-565BF95CA3A6}"/>
            </c:ext>
          </c:extLst>
        </c:ser>
        <c:ser>
          <c:idx val="2"/>
          <c:order val="2"/>
          <c:tx>
            <c:strRef>
              <c:f>q20_q30_q41_Fig!$A$7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q20_q30_q41_Fig!$B$7:$L$7</c:f>
              <c:numCache>
                <c:formatCode>#,##0</c:formatCode>
                <c:ptCount val="11"/>
                <c:pt idx="0">
                  <c:v>97694</c:v>
                </c:pt>
                <c:pt idx="1">
                  <c:v>97038</c:v>
                </c:pt>
                <c:pt idx="2">
                  <c:v>99532</c:v>
                </c:pt>
                <c:pt idx="3">
                  <c:v>101183</c:v>
                </c:pt>
                <c:pt idx="4">
                  <c:v>106693</c:v>
                </c:pt>
                <c:pt idx="5">
                  <c:v>109690</c:v>
                </c:pt>
                <c:pt idx="6">
                  <c:v>104297</c:v>
                </c:pt>
                <c:pt idx="7">
                  <c:v>118636</c:v>
                </c:pt>
                <c:pt idx="8">
                  <c:v>118983</c:v>
                </c:pt>
                <c:pt idx="9">
                  <c:v>122759</c:v>
                </c:pt>
                <c:pt idx="10">
                  <c:v>125278</c:v>
                </c:pt>
              </c:numCache>
            </c:numRef>
          </c:val>
          <c:smooth val="0"/>
          <c:extLst>
            <c:ext xmlns:c16="http://schemas.microsoft.com/office/drawing/2014/chart" uri="{C3380CC4-5D6E-409C-BE32-E72D297353CC}">
              <c16:uniqueId val="{00000002-2499-4221-9725-565BF95CA3A6}"/>
            </c:ext>
          </c:extLst>
        </c:ser>
        <c:ser>
          <c:idx val="3"/>
          <c:order val="3"/>
          <c:tx>
            <c:strRef>
              <c:f>q20_q30_q41_Fig!$A$8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q20_q30_q41_Fig!$B$8:$L$8</c:f>
              <c:numCache>
                <c:formatCode>#,##0</c:formatCode>
                <c:ptCount val="11"/>
                <c:pt idx="0">
                  <c:v>194848</c:v>
                </c:pt>
                <c:pt idx="1">
                  <c:v>205896</c:v>
                </c:pt>
                <c:pt idx="2">
                  <c:v>212238</c:v>
                </c:pt>
                <c:pt idx="3">
                  <c:v>219677</c:v>
                </c:pt>
                <c:pt idx="4">
                  <c:v>226793</c:v>
                </c:pt>
                <c:pt idx="5">
                  <c:v>211503</c:v>
                </c:pt>
                <c:pt idx="6">
                  <c:v>219272</c:v>
                </c:pt>
                <c:pt idx="7">
                  <c:v>221568</c:v>
                </c:pt>
                <c:pt idx="8">
                  <c:v>214401</c:v>
                </c:pt>
                <c:pt idx="9">
                  <c:v>232081</c:v>
                </c:pt>
                <c:pt idx="10">
                  <c:v>241230</c:v>
                </c:pt>
              </c:numCache>
            </c:numRef>
          </c:val>
          <c:smooth val="0"/>
          <c:extLst>
            <c:ext xmlns:c16="http://schemas.microsoft.com/office/drawing/2014/chart" uri="{C3380CC4-5D6E-409C-BE32-E72D297353CC}">
              <c16:uniqueId val="{00000003-2499-4221-9725-565BF95CA3A6}"/>
            </c:ext>
          </c:extLst>
        </c:ser>
        <c:ser>
          <c:idx val="4"/>
          <c:order val="4"/>
          <c:tx>
            <c:strRef>
              <c:f>q20_q30_q41_Fig!$A$9</c:f>
              <c:strCache>
                <c:ptCount val="1"/>
                <c:pt idx="0">
                  <c:v>Acordo de Empresa (AE)</c:v>
                </c:pt>
              </c:strCache>
            </c:strRef>
          </c:tx>
          <c:spPr>
            <a:ln w="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q20_q30_q41_Fig!$B$9:$L$9</c:f>
              <c:numCache>
                <c:formatCode>#,##0</c:formatCode>
                <c:ptCount val="11"/>
                <c:pt idx="0">
                  <c:v>80074</c:v>
                </c:pt>
                <c:pt idx="1">
                  <c:v>80029</c:v>
                </c:pt>
                <c:pt idx="2">
                  <c:v>78163</c:v>
                </c:pt>
                <c:pt idx="3">
                  <c:v>79933</c:v>
                </c:pt>
                <c:pt idx="4">
                  <c:v>85752</c:v>
                </c:pt>
                <c:pt idx="5">
                  <c:v>86043</c:v>
                </c:pt>
                <c:pt idx="6">
                  <c:v>91984</c:v>
                </c:pt>
                <c:pt idx="7">
                  <c:v>90179</c:v>
                </c:pt>
                <c:pt idx="8">
                  <c:v>89882</c:v>
                </c:pt>
                <c:pt idx="9">
                  <c:v>92151</c:v>
                </c:pt>
                <c:pt idx="10">
                  <c:v>93763</c:v>
                </c:pt>
              </c:numCache>
            </c:numRef>
          </c:val>
          <c:smooth val="0"/>
          <c:extLst>
            <c:ext xmlns:c16="http://schemas.microsoft.com/office/drawing/2014/chart" uri="{C3380CC4-5D6E-409C-BE32-E72D297353CC}">
              <c16:uniqueId val="{00000004-2499-4221-9725-565BF95CA3A6}"/>
            </c:ext>
          </c:extLst>
        </c:ser>
        <c:ser>
          <c:idx val="5"/>
          <c:order val="5"/>
          <c:tx>
            <c:strRef>
              <c:f>q20_q30_q41_Fig!$A$10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q20_q30_q41_Fig!$B$10:$L$10</c:f>
              <c:numCache>
                <c:formatCode>#,##0</c:formatCode>
                <c:ptCount val="11"/>
                <c:pt idx="0">
                  <c:v>258857</c:v>
                </c:pt>
                <c:pt idx="1">
                  <c:v>273070</c:v>
                </c:pt>
                <c:pt idx="2">
                  <c:v>292517</c:v>
                </c:pt>
                <c:pt idx="3">
                  <c:v>329628</c:v>
                </c:pt>
                <c:pt idx="4">
                  <c:v>372396</c:v>
                </c:pt>
                <c:pt idx="5">
                  <c:v>396860</c:v>
                </c:pt>
                <c:pt idx="6">
                  <c:v>436464</c:v>
                </c:pt>
                <c:pt idx="7">
                  <c:v>458030</c:v>
                </c:pt>
                <c:pt idx="8">
                  <c:v>467655</c:v>
                </c:pt>
                <c:pt idx="9">
                  <c:v>526170</c:v>
                </c:pt>
                <c:pt idx="10">
                  <c:v>552037</c:v>
                </c:pt>
              </c:numCache>
            </c:numRef>
          </c:val>
          <c:smooth val="0"/>
          <c:extLst>
            <c:ext xmlns:c16="http://schemas.microsoft.com/office/drawing/2014/chart" uri="{C3380CC4-5D6E-409C-BE32-E72D297353CC}">
              <c16:uniqueId val="{00000005-2499-4221-9725-565BF95CA3A6}"/>
            </c:ext>
          </c:extLst>
        </c:ser>
        <c:dLbls>
          <c:showLegendKey val="0"/>
          <c:showVal val="0"/>
          <c:showCatName val="0"/>
          <c:showSerName val="0"/>
          <c:showPercent val="0"/>
          <c:showBubbleSize val="0"/>
        </c:dLbls>
        <c:smooth val="0"/>
        <c:axId val="164075663"/>
        <c:axId val="442964127"/>
        <c:extLst/>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3500000"/>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960500801841724E-2"/>
          <c:y val="6.5949345426542308E-2"/>
          <c:w val="0.77681941078122041"/>
          <c:h val="0.74648887800473851"/>
        </c:manualLayout>
      </c:layout>
      <c:lineChart>
        <c:grouping val="standard"/>
        <c:varyColors val="0"/>
        <c:ser>
          <c:idx val="0"/>
          <c:order val="0"/>
          <c:tx>
            <c:strRef>
              <c:f>q20_q30_q41_Fig!$A$15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q20_q30_q41_Fig!$B$15:$L$15</c:f>
              <c:numCache>
                <c:formatCode>#,##0.00\ "€"</c:formatCode>
                <c:ptCount val="11"/>
                <c:pt idx="0">
                  <c:v>912.18</c:v>
                </c:pt>
                <c:pt idx="1">
                  <c:v>909.49</c:v>
                </c:pt>
                <c:pt idx="2">
                  <c:v>913.93</c:v>
                </c:pt>
                <c:pt idx="3">
                  <c:v>924.94</c:v>
                </c:pt>
                <c:pt idx="4">
                  <c:v>943</c:v>
                </c:pt>
                <c:pt idx="5">
                  <c:v>970.42</c:v>
                </c:pt>
                <c:pt idx="6">
                  <c:v>1005.09</c:v>
                </c:pt>
                <c:pt idx="7">
                  <c:v>1041.99</c:v>
                </c:pt>
                <c:pt idx="8">
                  <c:v>1082.77</c:v>
                </c:pt>
                <c:pt idx="9">
                  <c:v>1143.45</c:v>
                </c:pt>
                <c:pt idx="10">
                  <c:v>1219.8699999999999</c:v>
                </c:pt>
              </c:numCache>
            </c:numRef>
          </c:val>
          <c:smooth val="0"/>
          <c:extLst xmlns:c15="http://schemas.microsoft.com/office/drawing/2012/chart">
            <c:ext xmlns:c16="http://schemas.microsoft.com/office/drawing/2014/chart" uri="{C3380CC4-5D6E-409C-BE32-E72D297353CC}">
              <c16:uniqueId val="{00000000-3069-4241-A62D-75E234B813F9}"/>
            </c:ext>
          </c:extLst>
        </c:ser>
        <c:ser>
          <c:idx val="1"/>
          <c:order val="1"/>
          <c:tx>
            <c:strRef>
              <c:f>q20_q30_q41_Fig!$A$16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q20_q30_q41_Fig!$B$16:$L$16</c:f>
              <c:numCache>
                <c:formatCode>#,##0.00\ "€"</c:formatCode>
                <c:ptCount val="11"/>
                <c:pt idx="0">
                  <c:v>813.49</c:v>
                </c:pt>
                <c:pt idx="1">
                  <c:v>814.02</c:v>
                </c:pt>
                <c:pt idx="2">
                  <c:v>822.04</c:v>
                </c:pt>
                <c:pt idx="3">
                  <c:v>834.1</c:v>
                </c:pt>
                <c:pt idx="4">
                  <c:v>851.63</c:v>
                </c:pt>
                <c:pt idx="5">
                  <c:v>878.73</c:v>
                </c:pt>
                <c:pt idx="6">
                  <c:v>910.7</c:v>
                </c:pt>
                <c:pt idx="7">
                  <c:v>946.93</c:v>
                </c:pt>
                <c:pt idx="8">
                  <c:v>985.26</c:v>
                </c:pt>
                <c:pt idx="9">
                  <c:v>1034.9100000000001</c:v>
                </c:pt>
                <c:pt idx="10">
                  <c:v>1104.8399999999999</c:v>
                </c:pt>
              </c:numCache>
            </c:numRef>
          </c:val>
          <c:smooth val="0"/>
          <c:extLst>
            <c:ext xmlns:c16="http://schemas.microsoft.com/office/drawing/2014/chart" uri="{C3380CC4-5D6E-409C-BE32-E72D297353CC}">
              <c16:uniqueId val="{00000001-3069-4241-A62D-75E234B813F9}"/>
            </c:ext>
          </c:extLst>
        </c:ser>
        <c:ser>
          <c:idx val="2"/>
          <c:order val="2"/>
          <c:tx>
            <c:strRef>
              <c:f>q20_q30_q41_Fig!$A$17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q20_q30_q41_Fig!$B$17:$L$17</c:f>
              <c:numCache>
                <c:formatCode>#,##0.00\ "€"</c:formatCode>
                <c:ptCount val="11"/>
                <c:pt idx="0">
                  <c:v>1378.62</c:v>
                </c:pt>
                <c:pt idx="1">
                  <c:v>1355.5</c:v>
                </c:pt>
                <c:pt idx="2">
                  <c:v>1369.22</c:v>
                </c:pt>
                <c:pt idx="3">
                  <c:v>1380.34</c:v>
                </c:pt>
                <c:pt idx="4">
                  <c:v>1384.89</c:v>
                </c:pt>
                <c:pt idx="5">
                  <c:v>1383.1</c:v>
                </c:pt>
                <c:pt idx="6">
                  <c:v>1377.83</c:v>
                </c:pt>
                <c:pt idx="7">
                  <c:v>1398.04</c:v>
                </c:pt>
                <c:pt idx="8">
                  <c:v>1401.27</c:v>
                </c:pt>
                <c:pt idx="9">
                  <c:v>1434.7</c:v>
                </c:pt>
                <c:pt idx="10">
                  <c:v>1540.55</c:v>
                </c:pt>
              </c:numCache>
            </c:numRef>
          </c:val>
          <c:smooth val="0"/>
          <c:extLst>
            <c:ext xmlns:c16="http://schemas.microsoft.com/office/drawing/2014/chart" uri="{C3380CC4-5D6E-409C-BE32-E72D297353CC}">
              <c16:uniqueId val="{00000002-3069-4241-A62D-75E234B813F9}"/>
            </c:ext>
          </c:extLst>
        </c:ser>
        <c:ser>
          <c:idx val="3"/>
          <c:order val="3"/>
          <c:tx>
            <c:strRef>
              <c:f>q20_q30_q41_Fig!$A$18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q20_q30_q41_Fig!$B$18:$L$18</c:f>
              <c:numCache>
                <c:formatCode>#,##0.00\ "€"</c:formatCode>
                <c:ptCount val="11"/>
                <c:pt idx="0">
                  <c:v>977.85</c:v>
                </c:pt>
                <c:pt idx="1">
                  <c:v>972.19</c:v>
                </c:pt>
                <c:pt idx="2">
                  <c:v>967.53</c:v>
                </c:pt>
                <c:pt idx="3">
                  <c:v>971.01</c:v>
                </c:pt>
                <c:pt idx="4">
                  <c:v>992.05</c:v>
                </c:pt>
                <c:pt idx="5">
                  <c:v>1032.1099999999999</c:v>
                </c:pt>
                <c:pt idx="6">
                  <c:v>1074.6099999999999</c:v>
                </c:pt>
                <c:pt idx="7">
                  <c:v>1119.8599999999999</c:v>
                </c:pt>
                <c:pt idx="8">
                  <c:v>1179.75</c:v>
                </c:pt>
                <c:pt idx="9">
                  <c:v>1261.6500000000001</c:v>
                </c:pt>
                <c:pt idx="10">
                  <c:v>1353.7</c:v>
                </c:pt>
              </c:numCache>
            </c:numRef>
          </c:val>
          <c:smooth val="0"/>
          <c:extLst>
            <c:ext xmlns:c16="http://schemas.microsoft.com/office/drawing/2014/chart" uri="{C3380CC4-5D6E-409C-BE32-E72D297353CC}">
              <c16:uniqueId val="{00000003-3069-4241-A62D-75E234B813F9}"/>
            </c:ext>
          </c:extLst>
        </c:ser>
        <c:ser>
          <c:idx val="4"/>
          <c:order val="4"/>
          <c:tx>
            <c:strRef>
              <c:f>q20_q30_q41_Fig!$A$19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q20_q30_q41_Fig!$B$19:$L$19</c:f>
              <c:numCache>
                <c:formatCode>#,##0.00\ "€"</c:formatCode>
                <c:ptCount val="11"/>
                <c:pt idx="0">
                  <c:v>1450.63</c:v>
                </c:pt>
                <c:pt idx="1">
                  <c:v>1444.7</c:v>
                </c:pt>
                <c:pt idx="2">
                  <c:v>1449</c:v>
                </c:pt>
                <c:pt idx="3">
                  <c:v>1443.02</c:v>
                </c:pt>
                <c:pt idx="4">
                  <c:v>1460.94</c:v>
                </c:pt>
                <c:pt idx="5">
                  <c:v>1499.23</c:v>
                </c:pt>
                <c:pt idx="6">
                  <c:v>1520.65</c:v>
                </c:pt>
                <c:pt idx="7">
                  <c:v>1451.9</c:v>
                </c:pt>
                <c:pt idx="8">
                  <c:v>1476.86</c:v>
                </c:pt>
                <c:pt idx="9">
                  <c:v>1594.67</c:v>
                </c:pt>
                <c:pt idx="10">
                  <c:v>1672.43</c:v>
                </c:pt>
              </c:numCache>
            </c:numRef>
          </c:val>
          <c:smooth val="0"/>
          <c:extLst>
            <c:ext xmlns:c16="http://schemas.microsoft.com/office/drawing/2014/chart" uri="{C3380CC4-5D6E-409C-BE32-E72D297353CC}">
              <c16:uniqueId val="{00000004-3069-4241-A62D-75E234B813F9}"/>
            </c:ext>
          </c:extLst>
        </c:ser>
        <c:ser>
          <c:idx val="5"/>
          <c:order val="5"/>
          <c:tx>
            <c:strRef>
              <c:f>q20_q30_q41_Fig!$A$20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q20_q30_q41_Fig!$B$20:$L$20</c:f>
              <c:numCache>
                <c:formatCode>#,##0.00\ "€"</c:formatCode>
                <c:ptCount val="11"/>
                <c:pt idx="0">
                  <c:v>1130.8</c:v>
                </c:pt>
                <c:pt idx="1">
                  <c:v>1121.4000000000001</c:v>
                </c:pt>
                <c:pt idx="2">
                  <c:v>1104.3499999999999</c:v>
                </c:pt>
                <c:pt idx="3">
                  <c:v>1107.47</c:v>
                </c:pt>
                <c:pt idx="4">
                  <c:v>1109.81</c:v>
                </c:pt>
                <c:pt idx="5">
                  <c:v>1145.6199999999999</c:v>
                </c:pt>
                <c:pt idx="6">
                  <c:v>1184.1099999999999</c:v>
                </c:pt>
                <c:pt idx="7">
                  <c:v>1211.97</c:v>
                </c:pt>
                <c:pt idx="8">
                  <c:v>1273.56</c:v>
                </c:pt>
                <c:pt idx="9">
                  <c:v>1356.61</c:v>
                </c:pt>
                <c:pt idx="10">
                  <c:v>1446.74</c:v>
                </c:pt>
              </c:numCache>
            </c:numRef>
          </c:val>
          <c:smooth val="0"/>
          <c:extLst>
            <c:ext xmlns:c16="http://schemas.microsoft.com/office/drawing/2014/chart" uri="{C3380CC4-5D6E-409C-BE32-E72D297353CC}">
              <c16:uniqueId val="{00000005-3069-4241-A62D-75E234B813F9}"/>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5.6924250327103458E-2"/>
          <c:y val="3.567815386713024E-2"/>
          <c:w val="0.86584316547310392"/>
          <c:h val="0.92049561986569861"/>
        </c:manualLayout>
      </c:layout>
      <c:barChart>
        <c:barDir val="bar"/>
        <c:grouping val="clustered"/>
        <c:varyColors val="0"/>
        <c:ser>
          <c:idx val="0"/>
          <c:order val="0"/>
          <c:tx>
            <c:strRef>
              <c:f>q3_q7_q11_q15_q24_q35_Fig!$BA$19</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layout>
                <c:manualLayout>
                  <c:x val="-0.35554527606770248"/>
                  <c:y val="2.2621082621082648E-2"/>
                </c:manualLayout>
              </c:layout>
              <c:numFmt formatCode="#,##0\ &quot;€&quot;"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37972174314732537"/>
                      <c:h val="0.32394586894586896"/>
                    </c:manualLayout>
                  </c15:layout>
                </c:ext>
                <c:ext xmlns:c16="http://schemas.microsoft.com/office/drawing/2014/chart" uri="{C3380CC4-5D6E-409C-BE32-E72D297353CC}">
                  <c16:uniqueId val="{00000000-74C7-495F-872D-4C9FA90E437D}"/>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q3_q7_q11_q15_q24_q35_Fig!$AZ$38</c:f>
              <c:strCache>
                <c:ptCount val="1"/>
                <c:pt idx="0">
                  <c:v>Continente</c:v>
                </c:pt>
              </c:strCache>
            </c:strRef>
          </c:cat>
          <c:val>
            <c:numRef>
              <c:f>q3_q7_q11_q15_q24_q35_Fig!$BA$38</c:f>
              <c:numCache>
                <c:formatCode>#,##0\ "€"</c:formatCode>
                <c:ptCount val="1"/>
                <c:pt idx="0">
                  <c:v>1219.8699999999999</c:v>
                </c:pt>
              </c:numCache>
            </c:numRef>
          </c:val>
          <c:extLst>
            <c:ext xmlns:c16="http://schemas.microsoft.com/office/drawing/2014/chart" uri="{C3380CC4-5D6E-409C-BE32-E72D297353CC}">
              <c16:uniqueId val="{00000001-74C7-495F-872D-4C9FA90E437D}"/>
            </c:ext>
          </c:extLst>
        </c:ser>
        <c:ser>
          <c:idx val="1"/>
          <c:order val="1"/>
          <c:tx>
            <c:strRef>
              <c:f>q3_q7_q11_q15_q24_q35_Fig!$BB$19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74C7-495F-872D-4C9FA90E437D}"/>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q3_q7_q11_q15_q24_q35_Fig!$AZ$38</c:f>
              <c:strCache>
                <c:ptCount val="1"/>
                <c:pt idx="0">
                  <c:v>Continente</c:v>
                </c:pt>
              </c:strCache>
            </c:strRef>
          </c:cat>
          <c:val>
            <c:numRef>
              <c:f>q3_q7_q11_q15_q24_q35_Fig!$BB$38</c:f>
              <c:numCache>
                <c:formatCode>#,##0\ "€"</c:formatCode>
                <c:ptCount val="1"/>
                <c:pt idx="0">
                  <c:v>1466.66</c:v>
                </c:pt>
              </c:numCache>
            </c:numRef>
          </c:val>
          <c:extLst>
            <c:ext xmlns:c16="http://schemas.microsoft.com/office/drawing/2014/chart" uri="{C3380CC4-5D6E-409C-BE32-E72D297353CC}">
              <c16:uniqueId val="{00000003-74C7-495F-872D-4C9FA90E437D}"/>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22003499562555"/>
          <c:y val="0.13152482269503546"/>
          <c:w val="0.84854399038524708"/>
          <c:h val="0.68091324320084134"/>
        </c:manualLayout>
      </c:layout>
      <c:lineChart>
        <c:grouping val="standard"/>
        <c:varyColors val="0"/>
        <c:ser>
          <c:idx val="0"/>
          <c:order val="0"/>
          <c:tx>
            <c:strRef>
              <c:f>q20_q30_q41_Fig!$A$26</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q20_q30_q41_Fig!$B$26:$L$26</c:f>
              <c:numCache>
                <c:formatCode>#,##0.00\ "€"</c:formatCode>
                <c:ptCount val="11"/>
                <c:pt idx="0">
                  <c:v>1093.82</c:v>
                </c:pt>
                <c:pt idx="1">
                  <c:v>1093.21</c:v>
                </c:pt>
                <c:pt idx="2">
                  <c:v>1096.6600000000001</c:v>
                </c:pt>
                <c:pt idx="3">
                  <c:v>1107.8599999999999</c:v>
                </c:pt>
                <c:pt idx="4">
                  <c:v>1133.3399999999999</c:v>
                </c:pt>
                <c:pt idx="5">
                  <c:v>1170.25</c:v>
                </c:pt>
                <c:pt idx="6">
                  <c:v>1209.94</c:v>
                </c:pt>
                <c:pt idx="7">
                  <c:v>1250.75</c:v>
                </c:pt>
                <c:pt idx="8">
                  <c:v>1294.1099999999999</c:v>
                </c:pt>
                <c:pt idx="9">
                  <c:v>1368</c:v>
                </c:pt>
                <c:pt idx="10">
                  <c:v>1466.66</c:v>
                </c:pt>
              </c:numCache>
            </c:numRef>
          </c:val>
          <c:smooth val="0"/>
          <c:extLst xmlns:c15="http://schemas.microsoft.com/office/drawing/2012/chart">
            <c:ext xmlns:c16="http://schemas.microsoft.com/office/drawing/2014/chart" uri="{C3380CC4-5D6E-409C-BE32-E72D297353CC}">
              <c16:uniqueId val="{00000000-157C-4427-8EF2-DAAEF1342F78}"/>
            </c:ext>
          </c:extLst>
        </c:ser>
        <c:ser>
          <c:idx val="1"/>
          <c:order val="1"/>
          <c:tx>
            <c:strRef>
              <c:f>q20_q30_q41_Fig!$A$27</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q20_q30_q41_Fig!$B$27:$L$27</c:f>
              <c:numCache>
                <c:formatCode>#,##0.00\ "€"</c:formatCode>
                <c:ptCount val="11"/>
                <c:pt idx="0">
                  <c:v>956.89</c:v>
                </c:pt>
                <c:pt idx="1">
                  <c:v>958.21</c:v>
                </c:pt>
                <c:pt idx="2">
                  <c:v>967.68</c:v>
                </c:pt>
                <c:pt idx="3">
                  <c:v>981.32</c:v>
                </c:pt>
                <c:pt idx="4">
                  <c:v>1003.59</c:v>
                </c:pt>
                <c:pt idx="5">
                  <c:v>1039.96</c:v>
                </c:pt>
                <c:pt idx="6">
                  <c:v>1077.22</c:v>
                </c:pt>
                <c:pt idx="7">
                  <c:v>1117.7</c:v>
                </c:pt>
                <c:pt idx="8">
                  <c:v>1159.75</c:v>
                </c:pt>
                <c:pt idx="9">
                  <c:v>1221.48</c:v>
                </c:pt>
                <c:pt idx="10">
                  <c:v>1310.4000000000001</c:v>
                </c:pt>
              </c:numCache>
            </c:numRef>
          </c:val>
          <c:smooth val="0"/>
          <c:extLst>
            <c:ext xmlns:c16="http://schemas.microsoft.com/office/drawing/2014/chart" uri="{C3380CC4-5D6E-409C-BE32-E72D297353CC}">
              <c16:uniqueId val="{00000001-157C-4427-8EF2-DAAEF1342F78}"/>
            </c:ext>
          </c:extLst>
        </c:ser>
        <c:ser>
          <c:idx val="2"/>
          <c:order val="2"/>
          <c:tx>
            <c:strRef>
              <c:f>q20_q30_q41_Fig!$A$28</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q20_q30_q41_Fig!$B$28:$L$28</c:f>
              <c:numCache>
                <c:formatCode>#,##0.00\ "€"</c:formatCode>
                <c:ptCount val="11"/>
                <c:pt idx="0">
                  <c:v>1912.25</c:v>
                </c:pt>
                <c:pt idx="1">
                  <c:v>1928.43</c:v>
                </c:pt>
                <c:pt idx="2">
                  <c:v>1936.67</c:v>
                </c:pt>
                <c:pt idx="3">
                  <c:v>1944.81</c:v>
                </c:pt>
                <c:pt idx="4">
                  <c:v>1970.67</c:v>
                </c:pt>
                <c:pt idx="5">
                  <c:v>1974.69</c:v>
                </c:pt>
                <c:pt idx="6">
                  <c:v>1933.53</c:v>
                </c:pt>
                <c:pt idx="7">
                  <c:v>1966.25</c:v>
                </c:pt>
                <c:pt idx="8">
                  <c:v>1956.61</c:v>
                </c:pt>
                <c:pt idx="9">
                  <c:v>2014.6</c:v>
                </c:pt>
                <c:pt idx="10">
                  <c:v>2185.2800000000002</c:v>
                </c:pt>
              </c:numCache>
            </c:numRef>
          </c:val>
          <c:smooth val="0"/>
          <c:extLst>
            <c:ext xmlns:c16="http://schemas.microsoft.com/office/drawing/2014/chart" uri="{C3380CC4-5D6E-409C-BE32-E72D297353CC}">
              <c16:uniqueId val="{00000002-157C-4427-8EF2-DAAEF1342F78}"/>
            </c:ext>
          </c:extLst>
        </c:ser>
        <c:ser>
          <c:idx val="3"/>
          <c:order val="3"/>
          <c:tx>
            <c:strRef>
              <c:f>q20_q30_q41_Fig!$A$29</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q20_q30_q41_Fig!$B$29:$L$29</c:f>
              <c:numCache>
                <c:formatCode>#,##0.00\ "€"</c:formatCode>
                <c:ptCount val="11"/>
                <c:pt idx="0">
                  <c:v>1115.6600000000001</c:v>
                </c:pt>
                <c:pt idx="1">
                  <c:v>1112.83</c:v>
                </c:pt>
                <c:pt idx="2">
                  <c:v>1108.6500000000001</c:v>
                </c:pt>
                <c:pt idx="3">
                  <c:v>1109.69</c:v>
                </c:pt>
                <c:pt idx="4">
                  <c:v>1137.24</c:v>
                </c:pt>
                <c:pt idx="5">
                  <c:v>1189.52</c:v>
                </c:pt>
                <c:pt idx="6">
                  <c:v>1243.71</c:v>
                </c:pt>
                <c:pt idx="7">
                  <c:v>1290.47</c:v>
                </c:pt>
                <c:pt idx="8">
                  <c:v>1355.96</c:v>
                </c:pt>
                <c:pt idx="9">
                  <c:v>1448.63</c:v>
                </c:pt>
                <c:pt idx="10">
                  <c:v>1565.83</c:v>
                </c:pt>
              </c:numCache>
            </c:numRef>
          </c:val>
          <c:smooth val="0"/>
          <c:extLst>
            <c:ext xmlns:c16="http://schemas.microsoft.com/office/drawing/2014/chart" uri="{C3380CC4-5D6E-409C-BE32-E72D297353CC}">
              <c16:uniqueId val="{00000003-157C-4427-8EF2-DAAEF1342F78}"/>
            </c:ext>
          </c:extLst>
        </c:ser>
        <c:ser>
          <c:idx val="4"/>
          <c:order val="4"/>
          <c:tx>
            <c:strRef>
              <c:f>q20_q30_q41_Fig!$A$30</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q20_q30_q41_Fig!$B$30:$L$30</c:f>
              <c:numCache>
                <c:formatCode>#,##0.00\ "€"</c:formatCode>
                <c:ptCount val="11"/>
                <c:pt idx="0">
                  <c:v>1992.38</c:v>
                </c:pt>
                <c:pt idx="1">
                  <c:v>2002.28</c:v>
                </c:pt>
                <c:pt idx="2">
                  <c:v>1985.41</c:v>
                </c:pt>
                <c:pt idx="3">
                  <c:v>1982.63</c:v>
                </c:pt>
                <c:pt idx="4">
                  <c:v>2024.68</c:v>
                </c:pt>
                <c:pt idx="5">
                  <c:v>2085.6</c:v>
                </c:pt>
                <c:pt idx="6">
                  <c:v>2111.4</c:v>
                </c:pt>
                <c:pt idx="7">
                  <c:v>1993.24</c:v>
                </c:pt>
                <c:pt idx="8">
                  <c:v>2027.84</c:v>
                </c:pt>
                <c:pt idx="9">
                  <c:v>2202.54</c:v>
                </c:pt>
                <c:pt idx="10">
                  <c:v>2332.16</c:v>
                </c:pt>
              </c:numCache>
            </c:numRef>
          </c:val>
          <c:smooth val="0"/>
          <c:extLst>
            <c:ext xmlns:c16="http://schemas.microsoft.com/office/drawing/2014/chart" uri="{C3380CC4-5D6E-409C-BE32-E72D297353CC}">
              <c16:uniqueId val="{00000004-157C-4427-8EF2-DAAEF1342F78}"/>
            </c:ext>
          </c:extLst>
        </c:ser>
        <c:ser>
          <c:idx val="5"/>
          <c:order val="5"/>
          <c:tx>
            <c:strRef>
              <c:f>q20_q30_q41_Fig!$A$31</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q20_q30_q41_Fig!$B$31:$L$31</c:f>
              <c:numCache>
                <c:formatCode>#,##0.00\ "€"</c:formatCode>
                <c:ptCount val="11"/>
                <c:pt idx="0">
                  <c:v>1327.37</c:v>
                </c:pt>
                <c:pt idx="1">
                  <c:v>1313.3</c:v>
                </c:pt>
                <c:pt idx="2">
                  <c:v>1292.21</c:v>
                </c:pt>
                <c:pt idx="3">
                  <c:v>1292.3699999999999</c:v>
                </c:pt>
                <c:pt idx="4">
                  <c:v>1303.6199999999999</c:v>
                </c:pt>
                <c:pt idx="5">
                  <c:v>1350.43</c:v>
                </c:pt>
                <c:pt idx="6">
                  <c:v>1400.22</c:v>
                </c:pt>
                <c:pt idx="7">
                  <c:v>1426.6</c:v>
                </c:pt>
                <c:pt idx="8">
                  <c:v>1489.71</c:v>
                </c:pt>
                <c:pt idx="9">
                  <c:v>1584.35</c:v>
                </c:pt>
                <c:pt idx="10">
                  <c:v>1696.04</c:v>
                </c:pt>
              </c:numCache>
            </c:numRef>
          </c:val>
          <c:smooth val="0"/>
          <c:extLst>
            <c:ext xmlns:c16="http://schemas.microsoft.com/office/drawing/2014/chart" uri="{C3380CC4-5D6E-409C-BE32-E72D297353CC}">
              <c16:uniqueId val="{00000005-157C-4427-8EF2-DAAEF1342F78}"/>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1"/>
        <c:axPos val="l"/>
        <c:majorGridlines>
          <c:spPr>
            <a:ln w="9525" cap="flat" cmpd="sng" algn="ctr">
              <a:noFill/>
              <a:round/>
            </a:ln>
            <a:effectLst/>
          </c:spPr>
        </c:majorGridlines>
        <c:numFmt formatCode="#,##0\ &quot;€&quot;" sourceLinked="0"/>
        <c:majorTickMark val="out"/>
        <c:minorTickMark val="none"/>
        <c:tickLblPos val="nextTo"/>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9379245171948E-2"/>
          <c:y val="6.5306379971734316E-2"/>
          <c:w val="0.84283504026558664"/>
          <c:h val="0.84110942862911364"/>
        </c:manualLayout>
      </c:layout>
      <c:barChart>
        <c:barDir val="col"/>
        <c:grouping val="clustered"/>
        <c:varyColors val="0"/>
        <c:ser>
          <c:idx val="0"/>
          <c:order val="0"/>
          <c:tx>
            <c:strRef>
              <c:f>q32_Fig!$A$46</c:f>
              <c:strCache>
                <c:ptCount val="1"/>
              </c:strCache>
            </c:strRef>
          </c:tx>
          <c:spPr>
            <a:pattFill prst="narHorz">
              <a:fgClr>
                <a:srgbClr val="4F81BD"/>
              </a:fgClr>
              <a:bgClr>
                <a:schemeClr val="bg1"/>
              </a:bgClr>
            </a:pattFill>
            <a:ln>
              <a:noFill/>
            </a:ln>
            <a:effectLst>
              <a:innerShdw blurRad="114300">
                <a:schemeClr val="accent1"/>
              </a:innerShdw>
            </a:effectLst>
          </c:spPr>
          <c:invertIfNegative val="0"/>
          <c:dPt>
            <c:idx val="0"/>
            <c:invertIfNegative val="0"/>
            <c:bubble3D val="0"/>
            <c:spPr>
              <a:pattFill prst="narHorz">
                <a:fgClr>
                  <a:srgbClr val="4F81BD"/>
                </a:fgClr>
                <a:bgClr>
                  <a:schemeClr val="bg1"/>
                </a:bgClr>
              </a:pattFill>
              <a:ln>
                <a:noFill/>
              </a:ln>
              <a:effectLst>
                <a:innerShdw blurRad="114300">
                  <a:schemeClr val="accent1"/>
                </a:innerShdw>
              </a:effectLst>
            </c:spPr>
            <c:extLst>
              <c:ext xmlns:c16="http://schemas.microsoft.com/office/drawing/2014/chart" uri="{C3380CC4-5D6E-409C-BE32-E72D297353CC}">
                <c16:uniqueId val="{00000005-EBA7-4528-9EA4-D97DD2A1E9FB}"/>
              </c:ext>
            </c:extLst>
          </c:dPt>
          <c:cat>
            <c:numRef>
              <c:f>q32_Fig!$B$45:$L$45</c:f>
              <c:numCache>
                <c:formatCode>General</c:formatCode>
                <c:ptCount val="11"/>
              </c:numCache>
            </c:numRef>
          </c:cat>
          <c:val>
            <c:numRef>
              <c:f>q32_Fig!$B$46:$L$46</c:f>
              <c:numCache>
                <c:formatCode>#,##0\ "€"</c:formatCode>
                <c:ptCount val="11"/>
              </c:numCache>
            </c:numRef>
          </c:val>
          <c:extLst>
            <c:ext xmlns:c16="http://schemas.microsoft.com/office/drawing/2014/chart" uri="{C3380CC4-5D6E-409C-BE32-E72D297353CC}">
              <c16:uniqueId val="{00000000-EBA7-4528-9EA4-D97DD2A1E9FB}"/>
            </c:ext>
          </c:extLst>
        </c:ser>
        <c:ser>
          <c:idx val="1"/>
          <c:order val="1"/>
          <c:tx>
            <c:strRef>
              <c:f>q32_Fig!$A$47</c:f>
              <c:strCache>
                <c:ptCount val="1"/>
              </c:strCache>
            </c:strRef>
          </c:tx>
          <c:spPr>
            <a:pattFill prst="narHorz">
              <a:fgClr>
                <a:srgbClr val="FFC000"/>
              </a:fgClr>
              <a:bgClr>
                <a:schemeClr val="bg1"/>
              </a:bgClr>
            </a:pattFill>
            <a:ln>
              <a:solidFill>
                <a:srgbClr val="1F497D">
                  <a:alpha val="92000"/>
                </a:srgbClr>
              </a:solidFill>
            </a:ln>
            <a:effectLst>
              <a:innerShdw blurRad="114300">
                <a:schemeClr val="accent2"/>
              </a:innerShdw>
            </a:effectLst>
          </c:spPr>
          <c:invertIfNegative val="0"/>
          <c:cat>
            <c:numRef>
              <c:f>q32_Fig!$B$45:$L$45</c:f>
              <c:numCache>
                <c:formatCode>General</c:formatCode>
                <c:ptCount val="11"/>
              </c:numCache>
            </c:numRef>
          </c:cat>
          <c:val>
            <c:numRef>
              <c:f>q32_Fig!$B$47:$L$47</c:f>
              <c:numCache>
                <c:formatCode>#,##0\ "€"</c:formatCode>
                <c:ptCount val="11"/>
              </c:numCache>
            </c:numRef>
          </c:val>
          <c:extLst>
            <c:ext xmlns:c16="http://schemas.microsoft.com/office/drawing/2014/chart" uri="{C3380CC4-5D6E-409C-BE32-E72D297353CC}">
              <c16:uniqueId val="{00000001-EBA7-4528-9EA4-D97DD2A1E9FB}"/>
            </c:ext>
          </c:extLst>
        </c:ser>
        <c:dLbls>
          <c:showLegendKey val="0"/>
          <c:showVal val="0"/>
          <c:showCatName val="0"/>
          <c:showSerName val="0"/>
          <c:showPercent val="0"/>
          <c:showBubbleSize val="0"/>
        </c:dLbls>
        <c:gapWidth val="67"/>
        <c:overlap val="45"/>
        <c:axId val="419314736"/>
        <c:axId val="1816610448"/>
      </c:barChart>
      <c:lineChart>
        <c:grouping val="standard"/>
        <c:varyColors val="0"/>
        <c:ser>
          <c:idx val="2"/>
          <c:order val="2"/>
          <c:tx>
            <c:strRef>
              <c:f>q32_Fig!$A$48</c:f>
              <c:strCache>
                <c:ptCount val="1"/>
              </c:strCache>
            </c:strRef>
          </c:tx>
          <c:spPr>
            <a:ln w="28575" cap="rnd">
              <a:solidFill>
                <a:schemeClr val="accent2"/>
              </a:solidFill>
              <a:round/>
            </a:ln>
            <a:effectLst/>
          </c:spPr>
          <c:marker>
            <c:symbol val="circle"/>
            <c:size val="6"/>
            <c:spPr>
              <a:solidFill>
                <a:schemeClr val="accent2"/>
              </a:solidFill>
              <a:ln>
                <a:noFill/>
              </a:ln>
              <a:effectLst/>
            </c:spPr>
          </c:marker>
          <c:cat>
            <c:numRef>
              <c:f>q32_Fig!$B$45:$L$45</c:f>
              <c:numCache>
                <c:formatCode>General</c:formatCode>
                <c:ptCount val="11"/>
              </c:numCache>
            </c:numRef>
          </c:cat>
          <c:val>
            <c:numRef>
              <c:f>q32_Fig!$B$48:$L$48</c:f>
              <c:numCache>
                <c:formatCode>0.00</c:formatCode>
                <c:ptCount val="11"/>
              </c:numCache>
            </c:numRef>
          </c:val>
          <c:smooth val="0"/>
          <c:extLst>
            <c:ext xmlns:c16="http://schemas.microsoft.com/office/drawing/2014/chart" uri="{C3380CC4-5D6E-409C-BE32-E72D297353CC}">
              <c16:uniqueId val="{00000002-EBA7-4528-9EA4-D97DD2A1E9FB}"/>
            </c:ext>
          </c:extLst>
        </c:ser>
        <c:ser>
          <c:idx val="3"/>
          <c:order val="3"/>
          <c:tx>
            <c:strRef>
              <c:f>q32_Fig!$A$49</c:f>
              <c:strCache>
                <c:ptCount val="1"/>
              </c:strCache>
            </c:strRef>
          </c:tx>
          <c:spPr>
            <a:ln w="28575" cap="rnd">
              <a:solidFill>
                <a:srgbClr val="4F81BD"/>
              </a:solidFill>
              <a:round/>
            </a:ln>
            <a:effectLst/>
          </c:spPr>
          <c:marker>
            <c:symbol val="circle"/>
            <c:size val="6"/>
            <c:spPr>
              <a:solidFill>
                <a:srgbClr val="4F81BD"/>
              </a:solidFill>
              <a:ln>
                <a:noFill/>
              </a:ln>
              <a:effectLst/>
            </c:spPr>
          </c:marker>
          <c:cat>
            <c:numRef>
              <c:f>q32_Fig!$B$45:$L$45</c:f>
              <c:numCache>
                <c:formatCode>General</c:formatCode>
                <c:ptCount val="11"/>
              </c:numCache>
            </c:numRef>
          </c:cat>
          <c:val>
            <c:numRef>
              <c:f>q32_Fig!$B$49:$L$49</c:f>
              <c:numCache>
                <c:formatCode>#,##0\ "€"</c:formatCode>
                <c:ptCount val="11"/>
                <c:pt idx="1">
                  <c:v>0</c:v>
                </c:pt>
                <c:pt idx="2">
                  <c:v>0</c:v>
                </c:pt>
              </c:numCache>
            </c:numRef>
          </c:val>
          <c:smooth val="0"/>
          <c:extLst>
            <c:ext xmlns:c16="http://schemas.microsoft.com/office/drawing/2014/chart" uri="{C3380CC4-5D6E-409C-BE32-E72D297353CC}">
              <c16:uniqueId val="{00000003-EBA7-4528-9EA4-D97DD2A1E9FB}"/>
            </c:ext>
          </c:extLst>
        </c:ser>
        <c:ser>
          <c:idx val="4"/>
          <c:order val="4"/>
          <c:tx>
            <c:strRef>
              <c:f>q32_Fig!$A$50</c:f>
              <c:strCache>
                <c:ptCount val="1"/>
              </c:strCache>
            </c:strRef>
          </c:tx>
          <c:spPr>
            <a:ln w="28575" cap="rnd">
              <a:solidFill>
                <a:srgbClr val="FFC000"/>
              </a:solidFill>
              <a:round/>
            </a:ln>
            <a:effectLst/>
          </c:spPr>
          <c:marker>
            <c:symbol val="circle"/>
            <c:size val="6"/>
            <c:spPr>
              <a:solidFill>
                <a:srgbClr val="FFC000"/>
              </a:solidFill>
              <a:ln>
                <a:noFill/>
              </a:ln>
              <a:effectLst/>
            </c:spPr>
          </c:marker>
          <c:cat>
            <c:numRef>
              <c:f>q32_Fig!$B$45:$L$45</c:f>
              <c:numCache>
                <c:formatCode>General</c:formatCode>
                <c:ptCount val="11"/>
              </c:numCache>
            </c:numRef>
          </c:cat>
          <c:val>
            <c:numRef>
              <c:f>q32_Fig!$B$50:$L$50</c:f>
              <c:numCache>
                <c:formatCode>#,##0\ "€"</c:formatCode>
                <c:ptCount val="11"/>
              </c:numCache>
            </c:numRef>
          </c:val>
          <c:smooth val="0"/>
          <c:extLst>
            <c:ext xmlns:c16="http://schemas.microsoft.com/office/drawing/2014/chart" uri="{C3380CC4-5D6E-409C-BE32-E72D297353CC}">
              <c16:uniqueId val="{00000004-EBA7-4528-9EA4-D97DD2A1E9FB}"/>
            </c:ext>
          </c:extLst>
        </c:ser>
        <c:dLbls>
          <c:showLegendKey val="0"/>
          <c:showVal val="0"/>
          <c:showCatName val="0"/>
          <c:showSerName val="0"/>
          <c:showPercent val="0"/>
          <c:showBubbleSize val="0"/>
        </c:dLbls>
        <c:marker val="1"/>
        <c:smooth val="0"/>
        <c:axId val="419348736"/>
        <c:axId val="255688080"/>
      </c:lineChart>
      <c:catAx>
        <c:axId val="41931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800" b="1" i="0" u="none" strike="noStrike" kern="1200" baseline="0">
                <a:solidFill>
                  <a:schemeClr val="tx2"/>
                </a:solidFill>
                <a:latin typeface="+mn-lt"/>
                <a:ea typeface="+mn-ea"/>
                <a:cs typeface="+mn-cs"/>
              </a:defRPr>
            </a:pPr>
            <a:endParaRPr lang="pt-PT"/>
          </a:p>
        </c:txPr>
        <c:crossAx val="1816610448"/>
        <c:crosses val="autoZero"/>
        <c:auto val="1"/>
        <c:lblAlgn val="ctr"/>
        <c:lblOffset val="100"/>
        <c:noMultiLvlLbl val="0"/>
      </c:catAx>
      <c:valAx>
        <c:axId val="1816610448"/>
        <c:scaling>
          <c:orientation val="minMax"/>
        </c:scaling>
        <c:delete val="0"/>
        <c:axPos val="l"/>
        <c:majorGridlines>
          <c:spPr>
            <a:ln>
              <a:noFill/>
            </a:ln>
            <a:effectLst/>
          </c:spPr>
        </c:majorGridlines>
        <c:numFmt formatCode="#,##0\ &quot;€&quot;"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419314736"/>
        <c:crosses val="autoZero"/>
        <c:crossBetween val="between"/>
      </c:valAx>
      <c:valAx>
        <c:axId val="255688080"/>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419348736"/>
        <c:crosses val="max"/>
        <c:crossBetween val="between"/>
      </c:valAx>
      <c:catAx>
        <c:axId val="419348736"/>
        <c:scaling>
          <c:orientation val="minMax"/>
        </c:scaling>
        <c:delete val="1"/>
        <c:axPos val="b"/>
        <c:numFmt formatCode="General" sourceLinked="1"/>
        <c:majorTickMark val="none"/>
        <c:minorTickMark val="none"/>
        <c:tickLblPos val="nextTo"/>
        <c:crossAx val="255688080"/>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619722949665792E-2"/>
          <c:y val="9.5615259059443292E-2"/>
          <c:w val="0.80138464480865856"/>
          <c:h val="0.85481219311037926"/>
        </c:manualLayout>
      </c:layout>
      <c:lineChart>
        <c:grouping val="standard"/>
        <c:varyColors val="0"/>
        <c:ser>
          <c:idx val="3"/>
          <c:order val="0"/>
          <c:tx>
            <c:strRef>
              <c:f>q32_Fig!$A$38</c:f>
              <c:strCache>
                <c:ptCount val="1"/>
                <c:pt idx="0">
                  <c:v>D2</c:v>
                </c:pt>
              </c:strCache>
            </c:strRef>
          </c:tx>
          <c:spPr>
            <a:ln w="28575" cap="rnd">
              <a:noFill/>
              <a:round/>
            </a:ln>
            <a:effectLst/>
          </c:spPr>
          <c:marker>
            <c:symbol val="dash"/>
            <c:size val="5"/>
            <c:spPr>
              <a:solidFill>
                <a:schemeClr val="accent4"/>
              </a:solidFill>
              <a:ln w="25400">
                <a:solidFill>
                  <a:schemeClr val="accent1"/>
                </a:solidFill>
              </a:ln>
              <a:effectLst/>
            </c:spPr>
          </c:marker>
          <c:dLbls>
            <c:dLbl>
              <c:idx val="0"/>
              <c:layout>
                <c:manualLayout>
                  <c:x val="1.0749222928015713E-3"/>
                  <c:y val="-1.24102724789096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28A-458C-BA0B-8CD76B234446}"/>
                </c:ext>
              </c:extLst>
            </c:dLbl>
            <c:dLbl>
              <c:idx val="1"/>
              <c:layout>
                <c:manualLayout>
                  <c:x val="4.6665343448171184E-3"/>
                  <c:y val="-1.9065018041589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8A-458C-BA0B-8CD76B234446}"/>
                </c:ext>
              </c:extLst>
            </c:dLbl>
            <c:dLbl>
              <c:idx val="2"/>
              <c:layout>
                <c:manualLayout>
                  <c:x val="-9.7794939380095179E-4"/>
                  <c:y val="-2.166405741646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8A-458C-BA0B-8CD76B234446}"/>
                </c:ext>
              </c:extLst>
            </c:dLbl>
            <c:dLbl>
              <c:idx val="3"/>
              <c:layout>
                <c:manualLayout>
                  <c:x val="2.5610041042107554E-3"/>
                  <c:y val="-1.9064946886796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8A-458C-BA0B-8CD76B234446}"/>
                </c:ext>
              </c:extLst>
            </c:dLbl>
            <c:dLbl>
              <c:idx val="4"/>
              <c:layout>
                <c:manualLayout>
                  <c:x val="7.6421889514150453E-4"/>
                  <c:y val="-2.1969619865218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8A-458C-BA0B-8CD76B234446}"/>
                </c:ext>
              </c:extLst>
            </c:dLbl>
            <c:dLbl>
              <c:idx val="5"/>
              <c:layout>
                <c:manualLayout>
                  <c:x val="-9.7794939380088674E-4"/>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8A-458C-BA0B-8CD76B234446}"/>
                </c:ext>
              </c:extLst>
            </c:dLbl>
            <c:dLbl>
              <c:idx val="6"/>
              <c:layout>
                <c:manualLayout>
                  <c:x val="2.5610041042107554E-3"/>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8A-458C-BA0B-8CD76B234446}"/>
                </c:ext>
              </c:extLst>
            </c:dLbl>
            <c:dLbl>
              <c:idx val="7"/>
              <c:layout>
                <c:manualLayout>
                  <c:x val="2.6154816954596758E-3"/>
                  <c:y val="-1.8759384438042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8A-458C-BA0B-8CD76B234446}"/>
                </c:ext>
              </c:extLst>
            </c:dLbl>
            <c:dLbl>
              <c:idx val="8"/>
              <c:layout>
                <c:manualLayout>
                  <c:x val="2.5610041042107554E-3"/>
                  <c:y val="-2.4568730394886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8A-458C-BA0B-8CD76B234446}"/>
                </c:ext>
              </c:extLst>
            </c:dLbl>
            <c:dLbl>
              <c:idx val="9"/>
              <c:layout>
                <c:manualLayout>
                  <c:x val="-9.7794939380108146E-4"/>
                  <c:y val="-2.4874292843640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8A-458C-BA0B-8CD76B234446}"/>
                </c:ext>
              </c:extLst>
            </c:dLbl>
            <c:dLbl>
              <c:idx val="10"/>
              <c:layout>
                <c:manualLayout>
                  <c:x val="6.0999886164291202E-3"/>
                  <c:y val="-2.4634402732546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8A-458C-BA0B-8CD76B23444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q32_Fig!$B$38:$N$38</c15:sqref>
                  </c15:fullRef>
                </c:ext>
              </c:extLst>
              <c:f>q32_Fig!$B$38:$L$38</c:f>
              <c:numCache>
                <c:formatCode>#,##0\ "€"</c:formatCode>
                <c:ptCount val="11"/>
                <c:pt idx="0">
                  <c:v>565.75</c:v>
                </c:pt>
                <c:pt idx="1">
                  <c:v>580.52</c:v>
                </c:pt>
                <c:pt idx="2">
                  <c:v>581.94000000000005</c:v>
                </c:pt>
                <c:pt idx="3">
                  <c:v>600.67999999999995</c:v>
                </c:pt>
                <c:pt idx="4">
                  <c:v>630.6</c:v>
                </c:pt>
                <c:pt idx="5">
                  <c:v>660.08</c:v>
                </c:pt>
                <c:pt idx="6">
                  <c:v>687.04</c:v>
                </c:pt>
                <c:pt idx="7">
                  <c:v>720.8</c:v>
                </c:pt>
                <c:pt idx="8">
                  <c:v>751.73</c:v>
                </c:pt>
                <c:pt idx="9">
                  <c:v>795.53</c:v>
                </c:pt>
                <c:pt idx="10">
                  <c:v>863.33</c:v>
                </c:pt>
              </c:numCache>
            </c:numRef>
          </c:val>
          <c:smooth val="0"/>
          <c:extLst>
            <c:ext xmlns:c15="http://schemas.microsoft.com/office/drawing/2012/chart" uri="{02D57815-91ED-43cb-92C2-25804820EDAC}">
              <c15:categoryFilterExceptions>
                <c15:categoryFilterException>
                  <c15:sqref>q32_Fig!$M$38</c15:sqref>
                  <c15:dLbl>
                    <c:idx val="10"/>
                    <c:layout>
                      <c:manualLayout>
                        <c:x val="-2.2266218149659376E-2"/>
                        <c:y val="-4.260780676756386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A10-485C-BD28-79A5A05BEBF4}"/>
                      </c:ext>
                    </c:extLst>
                  </c15:dLbl>
                </c15:categoryFilterException>
              </c15:categoryFilterExceptions>
            </c:ext>
            <c:ext xmlns:c16="http://schemas.microsoft.com/office/drawing/2014/chart" uri="{C3380CC4-5D6E-409C-BE32-E72D297353CC}">
              <c16:uniqueId val="{0000000C-328A-458C-BA0B-8CD76B234446}"/>
            </c:ext>
          </c:extLst>
        </c:ser>
        <c:ser>
          <c:idx val="0"/>
          <c:order val="1"/>
          <c:tx>
            <c:strRef>
              <c:f>q32_Fig!$A$35</c:f>
              <c:strCache>
                <c:ptCount val="1"/>
                <c:pt idx="0">
                  <c:v>D10</c:v>
                </c:pt>
              </c:strCache>
            </c:strRef>
          </c:tx>
          <c:spPr>
            <a:ln w="28575" cap="rnd">
              <a:noFill/>
              <a:round/>
            </a:ln>
            <a:effectLst/>
          </c:spPr>
          <c:marker>
            <c:symbol val="dash"/>
            <c:size val="5"/>
            <c:spPr>
              <a:solidFill>
                <a:schemeClr val="accent1"/>
              </a:solidFill>
              <a:ln w="25400">
                <a:solidFill>
                  <a:schemeClr val="accent1"/>
                </a:solidFill>
              </a:ln>
              <a:effectLst/>
            </c:spPr>
          </c:marker>
          <c:dLbls>
            <c:dLbl>
              <c:idx val="0"/>
              <c:layout>
                <c:manualLayout>
                  <c:x val="-3.3801464430103803E-2"/>
                  <c:y val="-4.145700226312909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328A-458C-BA0B-8CD76B234446}"/>
                </c:ext>
              </c:extLst>
            </c:dLbl>
            <c:dLbl>
              <c:idx val="1"/>
              <c:layout>
                <c:manualLayout>
                  <c:x val="-3.4448048412030474E-2"/>
                  <c:y val="-4.5876746975418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8A-458C-BA0B-8CD76B234446}"/>
                </c:ext>
              </c:extLst>
            </c:dLbl>
            <c:dLbl>
              <c:idx val="2"/>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28A-458C-BA0B-8CD76B234446}"/>
                </c:ext>
              </c:extLst>
            </c:dLbl>
            <c:dLbl>
              <c:idx val="3"/>
              <c:layout>
                <c:manualLayout>
                  <c:x val="-3.4448048412030509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28A-458C-BA0B-8CD76B234446}"/>
                </c:ext>
              </c:extLst>
            </c:dLbl>
            <c:dLbl>
              <c:idx val="4"/>
              <c:layout>
                <c:manualLayout>
                  <c:x val="-3.4448048412030544E-2"/>
                  <c:y val="-4.5876746975418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28A-458C-BA0B-8CD76B234446}"/>
                </c:ext>
              </c:extLst>
            </c:dLbl>
            <c:dLbl>
              <c:idx val="5"/>
              <c:layout>
                <c:manualLayout>
                  <c:x val="-3.4448048412030544E-2"/>
                  <c:y val="-3.9448064726200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28A-458C-BA0B-8CD76B234446}"/>
                </c:ext>
              </c:extLst>
            </c:dLbl>
            <c:dLbl>
              <c:idx val="6"/>
              <c:layout>
                <c:manualLayout>
                  <c:x val="-3.444804841203047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8A-458C-BA0B-8CD76B234446}"/>
                </c:ext>
              </c:extLst>
            </c:dLbl>
            <c:dLbl>
              <c:idx val="7"/>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28A-458C-BA0B-8CD76B234446}"/>
                </c:ext>
              </c:extLst>
            </c:dLbl>
            <c:dLbl>
              <c:idx val="8"/>
              <c:layout>
                <c:manualLayout>
                  <c:x val="-3.444804841203054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28A-458C-BA0B-8CD76B234446}"/>
                </c:ext>
              </c:extLst>
            </c:dLbl>
            <c:dLbl>
              <c:idx val="9"/>
              <c:layout>
                <c:manualLayout>
                  <c:x val="-3.444804841203047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28A-458C-BA0B-8CD76B234446}"/>
                </c:ext>
              </c:extLst>
            </c:dLbl>
            <c:dLbl>
              <c:idx val="10"/>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28A-458C-BA0B-8CD76B23444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q32_Fig!$B$35:$N$35</c15:sqref>
                  </c15:fullRef>
                </c:ext>
              </c:extLst>
              <c:f>q32_Fig!$B$35:$L$35</c:f>
              <c:numCache>
                <c:formatCode>#,##0\ "€"</c:formatCode>
                <c:ptCount val="11"/>
                <c:pt idx="0">
                  <c:v>3225.2</c:v>
                </c:pt>
                <c:pt idx="1">
                  <c:v>3193.76</c:v>
                </c:pt>
                <c:pt idx="2">
                  <c:v>3206.88</c:v>
                </c:pt>
                <c:pt idx="3">
                  <c:v>3219.96</c:v>
                </c:pt>
                <c:pt idx="4">
                  <c:v>3248.78</c:v>
                </c:pt>
                <c:pt idx="5">
                  <c:v>3312.32</c:v>
                </c:pt>
                <c:pt idx="6">
                  <c:v>3378.28</c:v>
                </c:pt>
                <c:pt idx="7">
                  <c:v>3432.76</c:v>
                </c:pt>
                <c:pt idx="8">
                  <c:v>3525.8</c:v>
                </c:pt>
                <c:pt idx="9">
                  <c:v>3729.82</c:v>
                </c:pt>
                <c:pt idx="10">
                  <c:v>3957.82</c:v>
                </c:pt>
              </c:numCache>
            </c:numRef>
          </c:val>
          <c:smooth val="0"/>
          <c:extLst>
            <c:ext xmlns:c15="http://schemas.microsoft.com/office/drawing/2012/chart" uri="{02D57815-91ED-43cb-92C2-25804820EDAC}">
              <c15:categoryFilterExceptions>
                <c15:categoryFilterException>
                  <c15:sqref>q32_Fig!$M$35</c15:sqref>
                  <c15:dLbl>
                    <c:idx val="10"/>
                    <c:layout>
                      <c:manualLayout>
                        <c:x val="-3.4448048412030474E-2"/>
                        <c:y val="-4.587674697541890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7A10-485C-BD28-79A5A05BEBF4}"/>
                      </c:ext>
                    </c:extLst>
                  </c15:dLbl>
                </c15:categoryFilterException>
              </c15:categoryFilterExceptions>
            </c:ext>
            <c:ext xmlns:c16="http://schemas.microsoft.com/office/drawing/2014/chart" uri="{C3380CC4-5D6E-409C-BE32-E72D297353CC}">
              <c16:uniqueId val="{00000019-328A-458C-BA0B-8CD76B234446}"/>
            </c:ext>
          </c:extLst>
        </c:ser>
        <c:ser>
          <c:idx val="2"/>
          <c:order val="2"/>
          <c:tx>
            <c:strRef>
              <c:f>q32_Fig!$A$37</c:f>
              <c:strCache>
                <c:ptCount val="1"/>
                <c:pt idx="0">
                  <c:v>D5</c:v>
                </c:pt>
              </c:strCache>
            </c:strRef>
          </c:tx>
          <c:spPr>
            <a:ln w="28575" cap="rnd">
              <a:noFill/>
              <a:round/>
            </a:ln>
            <a:effectLst/>
          </c:spPr>
          <c:marker>
            <c:symbol val="dash"/>
            <c:size val="5"/>
            <c:spPr>
              <a:solidFill>
                <a:schemeClr val="accent3"/>
              </a:solidFill>
              <a:ln w="25400">
                <a:solidFill>
                  <a:schemeClr val="accent1"/>
                </a:solidFill>
              </a:ln>
              <a:effectLst/>
            </c:spPr>
          </c:marker>
          <c:dLbls>
            <c:dLbl>
              <c:idx val="0"/>
              <c:layout>
                <c:manualLayout>
                  <c:x val="-1.5038601762259513E-2"/>
                  <c:y val="-3.29067428438120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328A-458C-BA0B-8CD76B234446}"/>
                </c:ext>
              </c:extLst>
            </c:dLbl>
            <c:dLbl>
              <c:idx val="1"/>
              <c:layout>
                <c:manualLayout>
                  <c:x val="-2.2266218149659407E-2"/>
                  <c:y val="-4.2607806767563865E-2"/>
                </c:manualLayout>
              </c:layout>
              <c:spPr>
                <a:noFill/>
                <a:ln>
                  <a:noFill/>
                </a:ln>
                <a:effectLst/>
              </c:spPr>
              <c:txPr>
                <a:bodyPr rot="0" spcFirstLastPara="1" vertOverflow="ellipsis" vert="horz" wrap="none" lIns="38100" tIns="19050" rIns="38100" bIns="19050" anchor="ctr" anchorCtr="1">
                  <a:noAutofit/>
                </a:bodyPr>
                <a:lstStyle/>
                <a:p>
                  <a:pPr>
                    <a:defRPr sz="700" b="1" i="0" u="none" strike="noStrike" kern="1200" baseline="0">
                      <a:solidFill>
                        <a:schemeClr val="tx1"/>
                      </a:solidFill>
                      <a:latin typeface="+mn-lt"/>
                      <a:ea typeface="+mn-ea"/>
                      <a:cs typeface="+mn-cs"/>
                    </a:defRPr>
                  </a:pPr>
                  <a:endParaRPr lang="pt-PT"/>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B-328A-458C-BA0B-8CD76B234446}"/>
                </c:ext>
              </c:extLst>
            </c:dLbl>
            <c:dLbl>
              <c:idx val="2"/>
              <c:layout>
                <c:manualLayout>
                  <c:x val="-1.8863859092054406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28A-458C-BA0B-8CD76B234446}"/>
                </c:ext>
              </c:extLst>
            </c:dLbl>
            <c:dLbl>
              <c:idx val="3"/>
              <c:layout>
                <c:manualLayout>
                  <c:x val="-2.066060573563971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28A-458C-BA0B-8CD76B234446}"/>
                </c:ext>
              </c:extLst>
            </c:dLbl>
            <c:dLbl>
              <c:idx val="4"/>
              <c:layout>
                <c:manualLayout>
                  <c:x val="-1.8863859092054406E-2"/>
                  <c:y val="-4.5999020248699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28A-458C-BA0B-8CD76B234446}"/>
                </c:ext>
              </c:extLst>
            </c:dLbl>
            <c:dLbl>
              <c:idx val="5"/>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28A-458C-BA0B-8CD76B234446}"/>
                </c:ext>
              </c:extLst>
            </c:dLbl>
            <c:dLbl>
              <c:idx val="6"/>
              <c:layout>
                <c:manualLayout>
                  <c:x val="-2.066060573563978E-2"/>
                  <c:y val="-4.2788792817988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28A-458C-BA0B-8CD76B234446}"/>
                </c:ext>
              </c:extLst>
            </c:dLbl>
            <c:dLbl>
              <c:idx val="7"/>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28A-458C-BA0B-8CD76B234446}"/>
                </c:ext>
              </c:extLst>
            </c:dLbl>
            <c:dLbl>
              <c:idx val="8"/>
              <c:layout>
                <c:manualLayout>
                  <c:x val="-1.3246681980974843E-2"/>
                  <c:y val="-4.9209223083827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28A-458C-BA0B-8CD76B234446}"/>
                </c:ext>
              </c:extLst>
            </c:dLbl>
            <c:dLbl>
              <c:idx val="9"/>
              <c:layout>
                <c:manualLayout>
                  <c:x val="-1.7067112448469226E-2"/>
                  <c:y val="-4.599902024869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28A-458C-BA0B-8CD76B234446}"/>
                </c:ext>
              </c:extLst>
            </c:dLbl>
            <c:dLbl>
              <c:idx val="10"/>
              <c:layout>
                <c:manualLayout>
                  <c:x val="-1.527036580488378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28A-458C-BA0B-8CD76B234446}"/>
                </c:ext>
              </c:extLst>
            </c:dLbl>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q32_Fig!$B$37:$N$37</c15:sqref>
                  </c15:fullRef>
                </c:ext>
              </c:extLst>
              <c:f>q32_Fig!$B$37:$L$37</c:f>
              <c:numCache>
                <c:formatCode>#,##0\ "€"</c:formatCode>
                <c:ptCount val="11"/>
                <c:pt idx="0">
                  <c:v>742.51</c:v>
                </c:pt>
                <c:pt idx="1">
                  <c:v>744.94</c:v>
                </c:pt>
                <c:pt idx="2">
                  <c:v>748.82</c:v>
                </c:pt>
                <c:pt idx="3">
                  <c:v>758.29</c:v>
                </c:pt>
                <c:pt idx="4">
                  <c:v>782.49</c:v>
                </c:pt>
                <c:pt idx="5">
                  <c:v>814.41</c:v>
                </c:pt>
                <c:pt idx="6">
                  <c:v>849.92</c:v>
                </c:pt>
                <c:pt idx="7">
                  <c:v>884.65</c:v>
                </c:pt>
                <c:pt idx="8">
                  <c:v>918.75</c:v>
                </c:pt>
                <c:pt idx="9">
                  <c:v>971.89</c:v>
                </c:pt>
                <c:pt idx="10">
                  <c:v>1050.28</c:v>
                </c:pt>
              </c:numCache>
            </c:numRef>
          </c:val>
          <c:smooth val="0"/>
          <c:extLst>
            <c:ext xmlns:c15="http://schemas.microsoft.com/office/drawing/2012/chart" uri="{02D57815-91ED-43cb-92C2-25804820EDAC}">
              <c15:categoryFilterExceptions>
                <c15:categoryFilterException>
                  <c15:sqref>q32_Fig!$M$37</c15:sqref>
                  <c15:dLbl>
                    <c:idx val="10"/>
                    <c:layout>
                      <c:manualLayout>
                        <c:x val="-1.8863859092054406E-2"/>
                        <c:y val="-5.241947511012096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7A10-485C-BD28-79A5A05BEBF4}"/>
                      </c:ext>
                    </c:extLst>
                  </c15:dLbl>
                </c15:categoryFilterException>
              </c15:categoryFilterExceptions>
            </c:ext>
            <c:ext xmlns:c16="http://schemas.microsoft.com/office/drawing/2014/chart" uri="{C3380CC4-5D6E-409C-BE32-E72D297353CC}">
              <c16:uniqueId val="{00000026-328A-458C-BA0B-8CD76B234446}"/>
            </c:ext>
          </c:extLst>
        </c:ser>
        <c:ser>
          <c:idx val="4"/>
          <c:order val="3"/>
          <c:tx>
            <c:strRef>
              <c:f>q32_Fig!$A$39</c:f>
              <c:strCache>
                <c:ptCount val="1"/>
                <c:pt idx="0">
                  <c:v>D1</c:v>
                </c:pt>
              </c:strCache>
            </c:strRef>
          </c:tx>
          <c:spPr>
            <a:ln w="28575" cap="rnd">
              <a:noFill/>
              <a:round/>
            </a:ln>
            <a:effectLst/>
          </c:spPr>
          <c:marker>
            <c:symbol val="dash"/>
            <c:size val="5"/>
            <c:spPr>
              <a:solidFill>
                <a:schemeClr val="accent5"/>
              </a:solidFill>
              <a:ln w="25400">
                <a:solidFill>
                  <a:schemeClr val="accent1"/>
                </a:solidFill>
              </a:ln>
              <a:effectLst/>
            </c:spPr>
          </c:marker>
          <c:dLbls>
            <c:dLbl>
              <c:idx val="0"/>
              <c:layout>
                <c:manualLayout>
                  <c:x val="-2.9006182440297939E-2"/>
                  <c:y val="4.1457002263129067E-2"/>
                </c:manualLayout>
              </c:layout>
              <c:spPr>
                <a:noFill/>
                <a:ln>
                  <a:noFill/>
                </a:ln>
                <a:effectLst/>
              </c:spPr>
              <c:txPr>
                <a:bodyPr rot="0" spcFirstLastPara="1" vertOverflow="ellipsis" horzOverflow="clip" vert="horz" wrap="square" lIns="38100" tIns="19050" rIns="38100" bIns="19050" anchor="ctr" anchorCtr="1">
                  <a:noAutofit/>
                </a:bodyPr>
                <a:lstStyle/>
                <a:p>
                  <a:pPr>
                    <a:defRPr sz="700" b="1" i="0" u="none" strike="noStrike" kern="1200" baseline="0">
                      <a:solidFill>
                        <a:schemeClr val="tx1"/>
                      </a:solidFill>
                      <a:latin typeface="+mn-lt"/>
                      <a:ea typeface="+mn-ea"/>
                      <a:cs typeface="+mn-cs"/>
                    </a:defRPr>
                  </a:pPr>
                  <a:endParaRPr lang="pt-PT"/>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7-328A-458C-BA0B-8CD76B234446}"/>
                </c:ext>
              </c:extLst>
            </c:dLbl>
            <c:dLbl>
              <c:idx val="1"/>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328A-458C-BA0B-8CD76B234446}"/>
                </c:ext>
              </c:extLst>
            </c:dLbl>
            <c:dLbl>
              <c:idx val="2"/>
              <c:layout>
                <c:manualLayout>
                  <c:x val="-2.9561038073299368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9-328A-458C-BA0B-8CD76B234446}"/>
                </c:ext>
              </c:extLst>
            </c:dLbl>
            <c:dLbl>
              <c:idx val="3"/>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A-328A-458C-BA0B-8CD76B234446}"/>
                </c:ext>
              </c:extLst>
            </c:dLbl>
            <c:dLbl>
              <c:idx val="4"/>
              <c:layout>
                <c:manualLayout>
                  <c:x val="-2.9561038073299399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B-328A-458C-BA0B-8CD76B234446}"/>
                </c:ext>
              </c:extLst>
            </c:dLbl>
            <c:dLbl>
              <c:idx val="5"/>
              <c:layout>
                <c:manualLayout>
                  <c:x val="-2.9561038073299333E-2"/>
                  <c:y val="4.2662405850809403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C-328A-458C-BA0B-8CD76B234446}"/>
                </c:ext>
              </c:extLst>
            </c:dLbl>
            <c:dLbl>
              <c:idx val="6"/>
              <c:layout>
                <c:manualLayout>
                  <c:x val="-2.9561038073299333E-2"/>
                  <c:y val="4.587674697541877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D-328A-458C-BA0B-8CD76B234446}"/>
                </c:ext>
              </c:extLst>
            </c:dLbl>
            <c:dLbl>
              <c:idx val="7"/>
              <c:layout>
                <c:manualLayout>
                  <c:x val="-2.9561038073299399E-2"/>
                  <c:y val="4.2662405850809403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E-328A-458C-BA0B-8CD76B234446}"/>
                </c:ext>
              </c:extLst>
            </c:dLbl>
            <c:dLbl>
              <c:idx val="8"/>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F-328A-458C-BA0B-8CD76B234446}"/>
                </c:ext>
              </c:extLst>
            </c:dLbl>
            <c:dLbl>
              <c:idx val="9"/>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0-328A-458C-BA0B-8CD76B234446}"/>
                </c:ext>
              </c:extLst>
            </c:dLbl>
            <c:dLbl>
              <c:idx val="10"/>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1-328A-458C-BA0B-8CD76B23444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q32_Fig!$B$39:$N$39</c15:sqref>
                  </c15:fullRef>
                </c:ext>
              </c:extLst>
              <c:f>q32_Fig!$B$39:$L$39</c:f>
              <c:numCache>
                <c:formatCode>#,##0\ "€"</c:formatCode>
                <c:ptCount val="11"/>
                <c:pt idx="0">
                  <c:v>502.41</c:v>
                </c:pt>
                <c:pt idx="1">
                  <c:v>517.54999999999995</c:v>
                </c:pt>
                <c:pt idx="2">
                  <c:v>518.95000000000005</c:v>
                </c:pt>
                <c:pt idx="3">
                  <c:v>541.09</c:v>
                </c:pt>
                <c:pt idx="4">
                  <c:v>568.88</c:v>
                </c:pt>
                <c:pt idx="5">
                  <c:v>593.04999999999995</c:v>
                </c:pt>
                <c:pt idx="6">
                  <c:v>615.49</c:v>
                </c:pt>
                <c:pt idx="7">
                  <c:v>651.89</c:v>
                </c:pt>
                <c:pt idx="8">
                  <c:v>684.62</c:v>
                </c:pt>
                <c:pt idx="9">
                  <c:v>726.79</c:v>
                </c:pt>
                <c:pt idx="10">
                  <c:v>786.12</c:v>
                </c:pt>
              </c:numCache>
            </c:numRef>
          </c:val>
          <c:smooth val="0"/>
          <c:extLst>
            <c:ext xmlns:c15="http://schemas.microsoft.com/office/drawing/2012/chart" uri="{02D57815-91ED-43cb-92C2-25804820EDAC}">
              <c15:categoryFilterExceptions>
                <c15:categoryFilterException>
                  <c15:sqref>q32_Fig!$M$39</c15:sqref>
                  <c15:dLbl>
                    <c:idx val="10"/>
                    <c:layout>
                      <c:manualLayout>
                        <c:x val="-2.9561038073299333E-2"/>
                        <c:y val="4.5876746975418894E-2"/>
                      </c:manualLayout>
                    </c:layout>
                    <c:dLblPos val="r"/>
                    <c:showLegendKey val="0"/>
                    <c:showVal val="1"/>
                    <c:showCatName val="0"/>
                    <c:showSerName val="0"/>
                    <c:showPercent val="0"/>
                    <c:showBubbleSize val="0"/>
                    <c:separator>
</c:separator>
                    <c:extLst>
                      <c:ext uri="{CE6537A1-D6FC-4f65-9D91-7224C49458BB}"/>
                      <c:ext xmlns:c16="http://schemas.microsoft.com/office/drawing/2014/chart" uri="{C3380CC4-5D6E-409C-BE32-E72D297353CC}">
                        <c16:uniqueId val="{00000003-7A10-485C-BD28-79A5A05BEBF4}"/>
                      </c:ext>
                    </c:extLst>
                  </c15:dLbl>
                </c15:categoryFilterException>
              </c15:categoryFilterExceptions>
            </c:ext>
            <c:ext xmlns:c16="http://schemas.microsoft.com/office/drawing/2014/chart" uri="{C3380CC4-5D6E-409C-BE32-E72D297353CC}">
              <c16:uniqueId val="{00000033-328A-458C-BA0B-8CD76B234446}"/>
            </c:ext>
          </c:extLst>
        </c:ser>
        <c:ser>
          <c:idx val="1"/>
          <c:order val="4"/>
          <c:tx>
            <c:strRef>
              <c:f>q32_Fig!$A$36</c:f>
              <c:strCache>
                <c:ptCount val="1"/>
                <c:pt idx="0">
                  <c:v>D9</c:v>
                </c:pt>
              </c:strCache>
            </c:strRef>
          </c:tx>
          <c:spPr>
            <a:ln w="28575" cap="rnd">
              <a:noFill/>
              <a:round/>
            </a:ln>
            <a:effectLst/>
          </c:spPr>
          <c:marker>
            <c:symbol val="dash"/>
            <c:size val="5"/>
            <c:spPr>
              <a:solidFill>
                <a:schemeClr val="accent2"/>
              </a:solidFill>
              <a:ln w="25400">
                <a:solidFill>
                  <a:schemeClr val="accent1"/>
                </a:solidFill>
              </a:ln>
              <a:effectLst/>
            </c:spPr>
          </c:marker>
          <c:dLbls>
            <c:dLbl>
              <c:idx val="0"/>
              <c:layout>
                <c:manualLayout>
                  <c:x val="-1.2567743442033544E-2"/>
                  <c:y val="-3.855232928470712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4-328A-458C-BA0B-8CD76B234446}"/>
                </c:ext>
              </c:extLst>
            </c:dLbl>
            <c:dLbl>
              <c:idx val="1"/>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28A-458C-BA0B-8CD76B234446}"/>
                </c:ext>
              </c:extLst>
            </c:dLbl>
            <c:dLbl>
              <c:idx val="2"/>
              <c:layout>
                <c:manualLayout>
                  <c:x val="-2.7135401553775598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328A-458C-BA0B-8CD76B234446}"/>
                </c:ext>
              </c:extLst>
            </c:dLbl>
            <c:dLbl>
              <c:idx val="3"/>
              <c:layout>
                <c:manualLayout>
                  <c:x val="-2.1745161623019604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28A-458C-BA0B-8CD76B234446}"/>
                </c:ext>
              </c:extLst>
            </c:dLbl>
            <c:dLbl>
              <c:idx val="4"/>
              <c:layout>
                <c:manualLayout>
                  <c:x val="-2.7135401553775567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28A-458C-BA0B-8CD76B234446}"/>
                </c:ext>
              </c:extLst>
            </c:dLbl>
            <c:dLbl>
              <c:idx val="5"/>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328A-458C-BA0B-8CD76B234446}"/>
                </c:ext>
              </c:extLst>
            </c:dLbl>
            <c:dLbl>
              <c:idx val="6"/>
              <c:layout>
                <c:manualLayout>
                  <c:x val="-2.5338654910190255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28A-458C-BA0B-8CD76B234446}"/>
                </c:ext>
              </c:extLst>
            </c:dLbl>
            <c:dLbl>
              <c:idx val="7"/>
              <c:layout>
                <c:manualLayout>
                  <c:x val="-2.174516162301963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28A-458C-BA0B-8CD76B234446}"/>
                </c:ext>
              </c:extLst>
            </c:dLbl>
            <c:dLbl>
              <c:idx val="8"/>
              <c:layout>
                <c:manualLayout>
                  <c:x val="-2.5338654910190189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328A-458C-BA0B-8CD76B234446}"/>
                </c:ext>
              </c:extLst>
            </c:dLbl>
            <c:dLbl>
              <c:idx val="9"/>
              <c:layout>
                <c:manualLayout>
                  <c:x val="-2.533865491019025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328A-458C-BA0B-8CD76B234446}"/>
                </c:ext>
              </c:extLst>
            </c:dLbl>
            <c:dLbl>
              <c:idx val="10"/>
              <c:layout>
                <c:manualLayout>
                  <c:x val="-2.7135401553775699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28A-458C-BA0B-8CD76B234446}"/>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q32_Fig!$B$36:$N$36</c15:sqref>
                  </c15:fullRef>
                </c:ext>
              </c:extLst>
              <c:f>q32_Fig!$B$36:$L$36</c:f>
              <c:numCache>
                <c:formatCode>#,##0\ "€"</c:formatCode>
                <c:ptCount val="11"/>
                <c:pt idx="0">
                  <c:v>1606.65</c:v>
                </c:pt>
                <c:pt idx="1">
                  <c:v>1596.19</c:v>
                </c:pt>
                <c:pt idx="2">
                  <c:v>1593.99</c:v>
                </c:pt>
                <c:pt idx="3">
                  <c:v>1597.23</c:v>
                </c:pt>
                <c:pt idx="4">
                  <c:v>1617.01</c:v>
                </c:pt>
                <c:pt idx="5">
                  <c:v>1663.94</c:v>
                </c:pt>
                <c:pt idx="6">
                  <c:v>1717.19</c:v>
                </c:pt>
                <c:pt idx="7">
                  <c:v>1773.49</c:v>
                </c:pt>
                <c:pt idx="8">
                  <c:v>1827.6</c:v>
                </c:pt>
                <c:pt idx="9">
                  <c:v>1929.98</c:v>
                </c:pt>
                <c:pt idx="10">
                  <c:v>2057.54</c:v>
                </c:pt>
              </c:numCache>
            </c:numRef>
          </c:val>
          <c:smooth val="0"/>
          <c:extLst>
            <c:ext xmlns:c15="http://schemas.microsoft.com/office/drawing/2012/chart" uri="{02D57815-91ED-43cb-92C2-25804820EDAC}">
              <c15:categoryFilterExceptions>
                <c15:categoryFilterException>
                  <c15:sqref>q32_Fig!$M$36</c15:sqref>
                  <c15:dLbl>
                    <c:idx val="10"/>
                    <c:layout>
                      <c:manualLayout>
                        <c:x val="-2.7135401553775567E-2"/>
                        <c:y val="-4.581803419827482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7A10-485C-BD28-79A5A05BEBF4}"/>
                      </c:ext>
                    </c:extLst>
                  </c15:dLbl>
                </c15:categoryFilterException>
              </c15:categoryFilterExceptions>
            </c:ext>
            <c:ext xmlns:c16="http://schemas.microsoft.com/office/drawing/2014/chart" uri="{C3380CC4-5D6E-409C-BE32-E72D297353CC}">
              <c16:uniqueId val="{00000040-328A-458C-BA0B-8CD76B234446}"/>
            </c:ext>
          </c:extLst>
        </c:ser>
        <c:dLbls>
          <c:showLegendKey val="0"/>
          <c:showVal val="0"/>
          <c:showCatName val="0"/>
          <c:showSerName val="0"/>
          <c:showPercent val="0"/>
          <c:showBubbleSize val="0"/>
        </c:dLbls>
        <c:hiLowLines>
          <c:spPr>
            <a:ln w="9525" cap="flat" cmpd="sng" algn="ctr">
              <a:solidFill>
                <a:schemeClr val="tx1">
                  <a:lumMod val="75000"/>
                  <a:lumOff val="25000"/>
                  <a:alpha val="21000"/>
                </a:schemeClr>
              </a:solidFill>
              <a:round/>
            </a:ln>
            <a:effectLst/>
          </c:spPr>
        </c:hiLowLines>
        <c:upDownBars>
          <c:gapWidth val="219"/>
          <c:upBars>
            <c:spPr>
              <a:solidFill>
                <a:srgbClr val="4F81BD">
                  <a:lumMod val="60000"/>
                  <a:lumOff val="40000"/>
                  <a:alpha val="57000"/>
                </a:srgbClr>
              </a:solidFill>
              <a:ln w="34925">
                <a:solidFill>
                  <a:schemeClr val="tx2">
                    <a:lumMod val="20000"/>
                    <a:lumOff val="80000"/>
                  </a:schemeClr>
                </a:solidFill>
              </a:ln>
              <a:effectLst/>
              <a:scene3d>
                <a:camera prst="orthographicFront"/>
                <a:lightRig rig="threePt" dir="t"/>
              </a:scene3d>
              <a:sp3d>
                <a:bevelB w="133350"/>
              </a:sp3d>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1516193728"/>
        <c:axId val="243822752"/>
      </c:lineChart>
      <c:catAx>
        <c:axId val="151619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243822752"/>
        <c:crosses val="autoZero"/>
        <c:auto val="1"/>
        <c:lblAlgn val="ctr"/>
        <c:lblOffset val="100"/>
        <c:noMultiLvlLbl val="0"/>
      </c:catAx>
      <c:valAx>
        <c:axId val="243822752"/>
        <c:scaling>
          <c:orientation val="minMax"/>
          <c:max val="4000"/>
        </c:scaling>
        <c:delete val="0"/>
        <c:axPos val="l"/>
        <c:majorGridlines>
          <c:spPr>
            <a:ln w="9525" cap="flat" cmpd="sng" algn="ctr">
              <a:noFill/>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516193728"/>
        <c:crosses val="autoZero"/>
        <c:crossBetween val="between"/>
        <c:majorUnit val="400"/>
        <c:minorUnit val="2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13135065521442E-2"/>
          <c:y val="0.12367253030827709"/>
          <c:w val="0.88699439169412064"/>
          <c:h val="0.6110622271565731"/>
        </c:manualLayout>
      </c:layout>
      <c:barChart>
        <c:barDir val="col"/>
        <c:grouping val="clustered"/>
        <c:varyColors val="0"/>
        <c:ser>
          <c:idx val="0"/>
          <c:order val="0"/>
          <c:tx>
            <c:strRef>
              <c:f>q32_Fig!$A$72</c:f>
              <c:strCache>
                <c:ptCount val="1"/>
                <c:pt idx="0">
                  <c:v>Ganho mensal mediano (euros)</c:v>
                </c:pt>
              </c:strCache>
            </c:strRef>
          </c:tx>
          <c:spPr>
            <a:solidFill>
              <a:schemeClr val="accent1"/>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E6-4012-BA50-08563B573A7D}"/>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q32_Fig!$B$72:$L$72</c:f>
              <c:numCache>
                <c:formatCode>#,##0\ "€"</c:formatCode>
                <c:ptCount val="11"/>
                <c:pt idx="0">
                  <c:v>785.45</c:v>
                </c:pt>
                <c:pt idx="1">
                  <c:v>786.99</c:v>
                </c:pt>
                <c:pt idx="2">
                  <c:v>790.03</c:v>
                </c:pt>
                <c:pt idx="3">
                  <c:v>800</c:v>
                </c:pt>
                <c:pt idx="4">
                  <c:v>822.95</c:v>
                </c:pt>
                <c:pt idx="5">
                  <c:v>854.8</c:v>
                </c:pt>
                <c:pt idx="6">
                  <c:v>892.01</c:v>
                </c:pt>
                <c:pt idx="7">
                  <c:v>926.14</c:v>
                </c:pt>
                <c:pt idx="8">
                  <c:v>962.2</c:v>
                </c:pt>
                <c:pt idx="9">
                  <c:v>1017.5</c:v>
                </c:pt>
                <c:pt idx="10">
                  <c:v>1100.17</c:v>
                </c:pt>
              </c:numCache>
            </c:numRef>
          </c:val>
          <c:extLst>
            <c:ext xmlns:c16="http://schemas.microsoft.com/office/drawing/2014/chart" uri="{C3380CC4-5D6E-409C-BE32-E72D297353CC}">
              <c16:uniqueId val="{00000001-9AE6-4012-BA50-08563B573A7D}"/>
            </c:ext>
          </c:extLst>
        </c:ser>
        <c:ser>
          <c:idx val="1"/>
          <c:order val="1"/>
          <c:tx>
            <c:strRef>
              <c:f>q32_Fig!$A$73</c:f>
              <c:strCache>
                <c:ptCount val="1"/>
                <c:pt idx="0">
                  <c:v>Limiar de baixos salários (euros)</c:v>
                </c:pt>
              </c:strCache>
            </c:strRef>
          </c:tx>
          <c:spPr>
            <a:solidFill>
              <a:schemeClr val="accent1">
                <a:lumMod val="20000"/>
                <a:lumOff val="80000"/>
              </a:schemeClr>
            </a:solidFill>
            <a:ln>
              <a:noFill/>
            </a:ln>
            <a:effectLst/>
          </c:spPr>
          <c:invertIfNegative val="0"/>
          <c:dLbls>
            <c:spPr>
              <a:noFill/>
              <a:ln>
                <a:noFill/>
              </a:ln>
              <a:effectLst/>
            </c:spPr>
            <c:txPr>
              <a:bodyPr rot="-5400000" spcFirstLastPara="1" vertOverflow="ellipsis"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q32_Fig!$B$73:$L$73</c:f>
              <c:numCache>
                <c:formatCode>#,##0\ "€"</c:formatCode>
                <c:ptCount val="11"/>
                <c:pt idx="0">
                  <c:v>523.63</c:v>
                </c:pt>
                <c:pt idx="1">
                  <c:v>524.66</c:v>
                </c:pt>
                <c:pt idx="2">
                  <c:v>526.69000000000005</c:v>
                </c:pt>
                <c:pt idx="3">
                  <c:v>533.33000000000004</c:v>
                </c:pt>
                <c:pt idx="4">
                  <c:v>548.63</c:v>
                </c:pt>
                <c:pt idx="5">
                  <c:v>569.87</c:v>
                </c:pt>
                <c:pt idx="6">
                  <c:v>594.66999999999996</c:v>
                </c:pt>
                <c:pt idx="7">
                  <c:v>617.42999999999995</c:v>
                </c:pt>
                <c:pt idx="8">
                  <c:v>641.47</c:v>
                </c:pt>
                <c:pt idx="9">
                  <c:v>678.33</c:v>
                </c:pt>
                <c:pt idx="10">
                  <c:v>733.45</c:v>
                </c:pt>
              </c:numCache>
            </c:numRef>
          </c:val>
          <c:extLst>
            <c:ext xmlns:c16="http://schemas.microsoft.com/office/drawing/2014/chart" uri="{C3380CC4-5D6E-409C-BE32-E72D297353CC}">
              <c16:uniqueId val="{00000002-9AE6-4012-BA50-08563B573A7D}"/>
            </c:ext>
          </c:extLst>
        </c:ser>
        <c:ser>
          <c:idx val="2"/>
          <c:order val="2"/>
          <c:tx>
            <c:strRef>
              <c:f>q32_Fig!$A$74</c:f>
              <c:strCache>
                <c:ptCount val="1"/>
                <c:pt idx="0">
                  <c:v>Retribuição Mínima Mensal Garantida (RMMG)</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q32_Fig!$B$74:$L$74</c:f>
              <c:numCache>
                <c:formatCode>#,##0\ "€"</c:formatCode>
                <c:ptCount val="11"/>
                <c:pt idx="0">
                  <c:v>485</c:v>
                </c:pt>
                <c:pt idx="1">
                  <c:v>485</c:v>
                </c:pt>
                <c:pt idx="2">
                  <c:v>505</c:v>
                </c:pt>
                <c:pt idx="3">
                  <c:v>505</c:v>
                </c:pt>
                <c:pt idx="4">
                  <c:v>530</c:v>
                </c:pt>
                <c:pt idx="5">
                  <c:v>557</c:v>
                </c:pt>
                <c:pt idx="6">
                  <c:v>580</c:v>
                </c:pt>
                <c:pt idx="7">
                  <c:v>600</c:v>
                </c:pt>
                <c:pt idx="8">
                  <c:v>635</c:v>
                </c:pt>
                <c:pt idx="9">
                  <c:v>665</c:v>
                </c:pt>
                <c:pt idx="10">
                  <c:v>705</c:v>
                </c:pt>
              </c:numCache>
            </c:numRef>
          </c:val>
          <c:extLst>
            <c:ext xmlns:c16="http://schemas.microsoft.com/office/drawing/2014/chart" uri="{C3380CC4-5D6E-409C-BE32-E72D297353CC}">
              <c16:uniqueId val="{00000003-9AE6-4012-BA50-08563B573A7D}"/>
            </c:ext>
          </c:extLst>
        </c:ser>
        <c:dLbls>
          <c:showLegendKey val="0"/>
          <c:showVal val="0"/>
          <c:showCatName val="0"/>
          <c:showSerName val="0"/>
          <c:showPercent val="0"/>
          <c:showBubbleSize val="0"/>
        </c:dLbls>
        <c:gapWidth val="150"/>
        <c:axId val="1417600943"/>
        <c:axId val="1841201583"/>
      </c:barChart>
      <c:lineChart>
        <c:grouping val="standard"/>
        <c:varyColors val="0"/>
        <c:ser>
          <c:idx val="3"/>
          <c:order val="3"/>
          <c:tx>
            <c:strRef>
              <c:f>q32_Fig!$A$75</c:f>
              <c:strCache>
                <c:ptCount val="1"/>
                <c:pt idx="0">
                  <c:v>Incidência de baixos salários (%) - Total</c:v>
                </c:pt>
              </c:strCache>
            </c:strRef>
          </c:tx>
          <c:spPr>
            <a:ln w="15875" cap="rnd">
              <a:solidFill>
                <a:srgbClr val="C27535"/>
              </a:solidFill>
              <a:round/>
            </a:ln>
            <a:effectLst/>
          </c:spPr>
          <c:marker>
            <c:symbol val="none"/>
          </c:marker>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q32_Fig!$B$75:$L$75</c:f>
              <c:numCache>
                <c:formatCode>0.00</c:formatCode>
                <c:ptCount val="11"/>
                <c:pt idx="0">
                  <c:v>7.59</c:v>
                </c:pt>
                <c:pt idx="1">
                  <c:v>6.78</c:v>
                </c:pt>
                <c:pt idx="2">
                  <c:v>6.7</c:v>
                </c:pt>
                <c:pt idx="3">
                  <c:v>5.86</c:v>
                </c:pt>
                <c:pt idx="4">
                  <c:v>0.19</c:v>
                </c:pt>
                <c:pt idx="5">
                  <c:v>0.16</c:v>
                </c:pt>
                <c:pt idx="6">
                  <c:v>0.18</c:v>
                </c:pt>
                <c:pt idx="7">
                  <c:v>0.14000000000000001</c:v>
                </c:pt>
                <c:pt idx="8">
                  <c:v>0.11</c:v>
                </c:pt>
                <c:pt idx="9">
                  <c:v>0.11</c:v>
                </c:pt>
                <c:pt idx="10">
                  <c:v>0.1</c:v>
                </c:pt>
              </c:numCache>
            </c:numRef>
          </c:val>
          <c:smooth val="0"/>
          <c:extLst>
            <c:ext xmlns:c16="http://schemas.microsoft.com/office/drawing/2014/chart" uri="{C3380CC4-5D6E-409C-BE32-E72D297353CC}">
              <c16:uniqueId val="{00000004-9AE6-4012-BA50-08563B573A7D}"/>
            </c:ext>
          </c:extLst>
        </c:ser>
        <c:ser>
          <c:idx val="4"/>
          <c:order val="4"/>
          <c:tx>
            <c:strRef>
              <c:f>q32_Fig!$A$76</c:f>
              <c:strCache>
                <c:ptCount val="1"/>
                <c:pt idx="0">
                  <c:v>Incidência de baixos salários (%) - Homens</c:v>
                </c:pt>
              </c:strCache>
            </c:strRef>
          </c:tx>
          <c:spPr>
            <a:ln w="15875" cap="rnd">
              <a:solidFill>
                <a:srgbClr val="F8AA79"/>
              </a:solidFill>
              <a:round/>
            </a:ln>
            <a:effectLst/>
          </c:spPr>
          <c:marker>
            <c:symbol val="none"/>
          </c:marker>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q32_Fig!$B$76:$L$76</c:f>
              <c:numCache>
                <c:formatCode>0.00</c:formatCode>
                <c:ptCount val="11"/>
                <c:pt idx="0">
                  <c:v>5.46</c:v>
                </c:pt>
                <c:pt idx="1">
                  <c:v>5.01</c:v>
                </c:pt>
                <c:pt idx="2">
                  <c:v>4.99</c:v>
                </c:pt>
                <c:pt idx="3">
                  <c:v>4.38</c:v>
                </c:pt>
                <c:pt idx="4">
                  <c:v>0.1</c:v>
                </c:pt>
                <c:pt idx="5">
                  <c:v>0.08</c:v>
                </c:pt>
                <c:pt idx="6">
                  <c:v>0.09</c:v>
                </c:pt>
                <c:pt idx="7">
                  <c:v>7.0000000000000007E-2</c:v>
                </c:pt>
                <c:pt idx="8">
                  <c:v>7.0000000000000007E-2</c:v>
                </c:pt>
                <c:pt idx="9">
                  <c:v>0.08</c:v>
                </c:pt>
                <c:pt idx="10">
                  <c:v>0.08</c:v>
                </c:pt>
              </c:numCache>
            </c:numRef>
          </c:val>
          <c:smooth val="0"/>
          <c:extLst>
            <c:ext xmlns:c16="http://schemas.microsoft.com/office/drawing/2014/chart" uri="{C3380CC4-5D6E-409C-BE32-E72D297353CC}">
              <c16:uniqueId val="{00000005-9AE6-4012-BA50-08563B573A7D}"/>
            </c:ext>
          </c:extLst>
        </c:ser>
        <c:ser>
          <c:idx val="5"/>
          <c:order val="5"/>
          <c:tx>
            <c:strRef>
              <c:f>q32_Fig!$A$77</c:f>
              <c:strCache>
                <c:ptCount val="1"/>
                <c:pt idx="0">
                  <c:v>Incidência de baixos salários (%) - Mulheres</c:v>
                </c:pt>
              </c:strCache>
            </c:strRef>
          </c:tx>
          <c:spPr>
            <a:ln w="15875" cap="rnd">
              <a:solidFill>
                <a:srgbClr val="FACBB4"/>
              </a:solidFill>
              <a:round/>
            </a:ln>
            <a:effectLst/>
          </c:spPr>
          <c:marker>
            <c:symbol val="none"/>
          </c:marker>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q32_Fig!$B$77:$L$77</c:f>
              <c:numCache>
                <c:formatCode>0.00</c:formatCode>
                <c:ptCount val="11"/>
                <c:pt idx="0">
                  <c:v>10.09</c:v>
                </c:pt>
                <c:pt idx="1">
                  <c:v>8.8699999999999992</c:v>
                </c:pt>
                <c:pt idx="2">
                  <c:v>8.6999999999999993</c:v>
                </c:pt>
                <c:pt idx="3">
                  <c:v>7.59</c:v>
                </c:pt>
                <c:pt idx="4">
                  <c:v>0.28999999999999998</c:v>
                </c:pt>
                <c:pt idx="5">
                  <c:v>0.24</c:v>
                </c:pt>
                <c:pt idx="6">
                  <c:v>0.28000000000000003</c:v>
                </c:pt>
                <c:pt idx="7">
                  <c:v>0.21</c:v>
                </c:pt>
                <c:pt idx="8">
                  <c:v>0.15</c:v>
                </c:pt>
                <c:pt idx="9">
                  <c:v>0.15</c:v>
                </c:pt>
                <c:pt idx="10">
                  <c:v>0.13</c:v>
                </c:pt>
              </c:numCache>
            </c:numRef>
          </c:val>
          <c:smooth val="0"/>
          <c:extLst>
            <c:ext xmlns:c16="http://schemas.microsoft.com/office/drawing/2014/chart" uri="{C3380CC4-5D6E-409C-BE32-E72D297353CC}">
              <c16:uniqueId val="{00000006-9AE6-4012-BA50-08563B573A7D}"/>
            </c:ext>
          </c:extLst>
        </c:ser>
        <c:dLbls>
          <c:showLegendKey val="0"/>
          <c:showVal val="0"/>
          <c:showCatName val="0"/>
          <c:showSerName val="0"/>
          <c:showPercent val="0"/>
          <c:showBubbleSize val="0"/>
        </c:dLbls>
        <c:marker val="1"/>
        <c:smooth val="0"/>
        <c:axId val="1043261775"/>
        <c:axId val="636615199"/>
      </c:lineChart>
      <c:catAx>
        <c:axId val="14176009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841201583"/>
        <c:crosses val="autoZero"/>
        <c:auto val="1"/>
        <c:lblAlgn val="ctr"/>
        <c:lblOffset val="100"/>
        <c:noMultiLvlLbl val="0"/>
      </c:catAx>
      <c:valAx>
        <c:axId val="1841201583"/>
        <c:scaling>
          <c:orientation val="minMax"/>
          <c:max val="1200"/>
          <c:min val="0"/>
        </c:scaling>
        <c:delete val="0"/>
        <c:axPos val="l"/>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pt-PT" b="1"/>
                  <a:t>Euros</a:t>
                </a:r>
              </a:p>
            </c:rich>
          </c:tx>
          <c:layout>
            <c:manualLayout>
              <c:xMode val="edge"/>
              <c:yMode val="edge"/>
              <c:x val="8.6198295445675723E-3"/>
              <c:y val="1.9930596498683378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title>
        <c:numFmt formatCode="#,##0\ &quot;€&quot;"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17600943"/>
        <c:crosses val="autoZero"/>
        <c:crossBetween val="between"/>
        <c:majorUnit val="200"/>
      </c:valAx>
      <c:valAx>
        <c:axId val="636615199"/>
        <c:scaling>
          <c:orientation val="minMax"/>
          <c:max val="20"/>
        </c:scaling>
        <c:delete val="0"/>
        <c:axPos val="r"/>
        <c:title>
          <c:tx>
            <c:rich>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r>
                  <a:rPr lang="pt-PT" b="1"/>
                  <a:t>%</a:t>
                </a:r>
              </a:p>
            </c:rich>
          </c:tx>
          <c:layout>
            <c:manualLayout>
              <c:xMode val="edge"/>
              <c:yMode val="edge"/>
              <c:x val="0.95799269735280734"/>
              <c:y val="1.839825347767661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043261775"/>
        <c:crosses val="max"/>
        <c:crossBetween val="between"/>
        <c:majorUnit val="2"/>
      </c:valAx>
      <c:catAx>
        <c:axId val="1043261775"/>
        <c:scaling>
          <c:orientation val="minMax"/>
        </c:scaling>
        <c:delete val="1"/>
        <c:axPos val="b"/>
        <c:numFmt formatCode="General" sourceLinked="1"/>
        <c:majorTickMark val="out"/>
        <c:minorTickMark val="none"/>
        <c:tickLblPos val="nextTo"/>
        <c:crossAx val="636615199"/>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pPr>
      <a:endParaRPr lang="pt-P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601375008343493"/>
          <c:h val="0.61909228840533581"/>
        </c:manualLayout>
      </c:layout>
      <c:barChart>
        <c:barDir val="col"/>
        <c:grouping val="clustered"/>
        <c:varyColors val="0"/>
        <c:ser>
          <c:idx val="0"/>
          <c:order val="0"/>
          <c:tx>
            <c:strRef>
              <c:f>q3_q7_q11_q15_q24_q35_Fig!$S$22</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56548280025974E-2"/>
                  <c:y val="1.516251810434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C3-4D61-97D6-049FCE50A9A0}"/>
                </c:ext>
              </c:extLst>
            </c:dLbl>
            <c:dLbl>
              <c:idx val="10"/>
              <c:layout>
                <c:manualLayout>
                  <c:x val="2.1382411301039447E-2"/>
                  <c:y val="7.05177001583077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C3-4D61-97D6-049FCE50A9A0}"/>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C3-4D61-97D6-049FCE50A9A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q3_q7_q11_q15_q24_q35_Fig!$T$21:$AD$21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q3_q7_q11_q15_q24_q35_Fig!$T$22:$AD$22</c:f>
              <c:numCache>
                <c:formatCode>#\ ###\ ##0</c:formatCode>
                <c:ptCount val="11"/>
                <c:pt idx="0">
                  <c:v>59109</c:v>
                </c:pt>
                <c:pt idx="1">
                  <c:v>59911</c:v>
                </c:pt>
                <c:pt idx="2">
                  <c:v>60537</c:v>
                </c:pt>
                <c:pt idx="3">
                  <c:v>60939</c:v>
                </c:pt>
                <c:pt idx="4">
                  <c:v>61816</c:v>
                </c:pt>
                <c:pt idx="5">
                  <c:v>62991</c:v>
                </c:pt>
                <c:pt idx="6">
                  <c:v>61257</c:v>
                </c:pt>
                <c:pt idx="7">
                  <c:v>62466</c:v>
                </c:pt>
                <c:pt idx="8">
                  <c:v>60609</c:v>
                </c:pt>
                <c:pt idx="9">
                  <c:v>63924</c:v>
                </c:pt>
                <c:pt idx="10" formatCode="#,##0">
                  <c:v>65753</c:v>
                </c:pt>
              </c:numCache>
            </c:numRef>
          </c:val>
          <c:extLst>
            <c:ext xmlns:c16="http://schemas.microsoft.com/office/drawing/2014/chart" uri="{C3380CC4-5D6E-409C-BE32-E72D297353CC}">
              <c16:uniqueId val="{00000003-D0C3-4D61-97D6-049FCE50A9A0}"/>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q3_q7_q11_q15_q24_q35_Fig!$S$23</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D0C3-4D61-97D6-049FCE50A9A0}"/>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D0C3-4D61-97D6-049FCE50A9A0}"/>
              </c:ext>
            </c:extLst>
          </c:dPt>
          <c:dLbls>
            <c:dLbl>
              <c:idx val="0"/>
              <c:layout>
                <c:manualLayout>
                  <c:x val="2.8066432441944428E-2"/>
                  <c:y val="-5.9913435952709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C3-4D61-97D6-049FCE50A9A0}"/>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C3-4D61-97D6-049FCE50A9A0}"/>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C3-4D61-97D6-049FCE50A9A0}"/>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q3_q7_q11_q15_q24_q35_Fig!$T$21:$AD$21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q3_q7_q11_q15_q24_q35_Fig!$T$23:$AD$23</c:f>
              <c:numCache>
                <c:formatCode>#\ ###\ ##0</c:formatCode>
                <c:ptCount val="11"/>
                <c:pt idx="0">
                  <c:v>70961</c:v>
                </c:pt>
                <c:pt idx="1">
                  <c:v>71690</c:v>
                </c:pt>
                <c:pt idx="2">
                  <c:v>72246</c:v>
                </c:pt>
                <c:pt idx="3">
                  <c:v>72756</c:v>
                </c:pt>
                <c:pt idx="4">
                  <c:v>73389</c:v>
                </c:pt>
                <c:pt idx="5">
                  <c:v>74689</c:v>
                </c:pt>
                <c:pt idx="6">
                  <c:v>72677</c:v>
                </c:pt>
                <c:pt idx="7">
                  <c:v>73809</c:v>
                </c:pt>
                <c:pt idx="8">
                  <c:v>71616</c:v>
                </c:pt>
                <c:pt idx="9">
                  <c:v>75266</c:v>
                </c:pt>
                <c:pt idx="10">
                  <c:v>77253</c:v>
                </c:pt>
              </c:numCache>
            </c:numRef>
          </c:val>
          <c:smooth val="0"/>
          <c:extLst>
            <c:ext xmlns:c16="http://schemas.microsoft.com/office/drawing/2014/chart" uri="{C3380CC4-5D6E-409C-BE32-E72D297353CC}">
              <c16:uniqueId val="{00000007-D0C3-4D61-97D6-049FCE50A9A0}"/>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994062500000004"/>
          <c:w val="0.66415393518518528"/>
          <c:h val="7.919131944444443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q3_q7_q11_q15_q24_q35_Fig!$AM$19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q3_q7_q11_q15_q24_q35_Fig!$AL$20:$AL$38</c15:sqref>
                  </c15:fullRef>
                </c:ext>
              </c:extLst>
              <c:f>q3_q7_q11_q15_q24_q35_Fig!$AL$20:$AL$37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q3_q7_q11_q15_q24_q35_Fig!$AM$20:$AM$38</c15:sqref>
                  </c15:fullRef>
                </c:ext>
              </c:extLst>
              <c:f>q3_q7_q11_q15_q24_q35_Fig!$AM$20:$AM$37</c:f>
              <c:numCache>
                <c:formatCode>#,##0</c:formatCode>
                <c:ptCount val="18"/>
                <c:pt idx="0">
                  <c:v>19949</c:v>
                </c:pt>
                <c:pt idx="1">
                  <c:v>4837</c:v>
                </c:pt>
                <c:pt idx="2">
                  <c:v>29169</c:v>
                </c:pt>
                <c:pt idx="3">
                  <c:v>3729</c:v>
                </c:pt>
                <c:pt idx="4">
                  <c:v>4717</c:v>
                </c:pt>
                <c:pt idx="5">
                  <c:v>10326</c:v>
                </c:pt>
                <c:pt idx="6">
                  <c:v>5107</c:v>
                </c:pt>
                <c:pt idx="7">
                  <c:v>18237</c:v>
                </c:pt>
                <c:pt idx="8">
                  <c:v>4169</c:v>
                </c:pt>
                <c:pt idx="9">
                  <c:v>16175</c:v>
                </c:pt>
                <c:pt idx="10">
                  <c:v>65753</c:v>
                </c:pt>
                <c:pt idx="11">
                  <c:v>2865</c:v>
                </c:pt>
                <c:pt idx="12">
                  <c:v>54733</c:v>
                </c:pt>
                <c:pt idx="13">
                  <c:v>11869</c:v>
                </c:pt>
                <c:pt idx="14">
                  <c:v>16783</c:v>
                </c:pt>
                <c:pt idx="15">
                  <c:v>7381</c:v>
                </c:pt>
                <c:pt idx="16">
                  <c:v>5186</c:v>
                </c:pt>
                <c:pt idx="17">
                  <c:v>10267</c:v>
                </c:pt>
              </c:numCache>
            </c:numRef>
          </c:val>
          <c:extLst>
            <c:ext xmlns:c16="http://schemas.microsoft.com/office/drawing/2014/chart" uri="{C3380CC4-5D6E-409C-BE32-E72D297353CC}">
              <c16:uniqueId val="{00000000-6D2B-424E-BA1B-75F5787AF016}"/>
            </c:ext>
          </c:extLst>
        </c:ser>
        <c:ser>
          <c:idx val="1"/>
          <c:order val="1"/>
          <c:tx>
            <c:strRef>
              <c:f>q3_q7_q11_q15_q24_q35_Fig!$AN$19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q3_q7_q11_q15_q24_q35_Fig!$AL$20:$AL$38</c15:sqref>
                  </c15:fullRef>
                </c:ext>
              </c:extLst>
              <c:f>q3_q7_q11_q15_q24_q35_Fig!$AL$20:$AL$37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q3_q7_q11_q15_q24_q35_Fig!$AN$20:$AN$38</c15:sqref>
                  </c15:fullRef>
                </c:ext>
              </c:extLst>
              <c:f>q3_q7_q11_q15_q24_q35_Fig!$AN$20:$AN$37</c:f>
              <c:numCache>
                <c:formatCode>#,##0</c:formatCode>
                <c:ptCount val="18"/>
                <c:pt idx="0">
                  <c:v>22840</c:v>
                </c:pt>
                <c:pt idx="1">
                  <c:v>5600</c:v>
                </c:pt>
                <c:pt idx="2">
                  <c:v>32582</c:v>
                </c:pt>
                <c:pt idx="3">
                  <c:v>4314</c:v>
                </c:pt>
                <c:pt idx="4">
                  <c:v>5606</c:v>
                </c:pt>
                <c:pt idx="5">
                  <c:v>12571</c:v>
                </c:pt>
                <c:pt idx="6">
                  <c:v>6137</c:v>
                </c:pt>
                <c:pt idx="7">
                  <c:v>22034</c:v>
                </c:pt>
                <c:pt idx="8">
                  <c:v>4814</c:v>
                </c:pt>
                <c:pt idx="9">
                  <c:v>18854</c:v>
                </c:pt>
                <c:pt idx="10">
                  <c:v>77253</c:v>
                </c:pt>
                <c:pt idx="11">
                  <c:v>3430</c:v>
                </c:pt>
                <c:pt idx="12">
                  <c:v>63252</c:v>
                </c:pt>
                <c:pt idx="13">
                  <c:v>14124</c:v>
                </c:pt>
                <c:pt idx="14">
                  <c:v>20429</c:v>
                </c:pt>
                <c:pt idx="15">
                  <c:v>8480</c:v>
                </c:pt>
                <c:pt idx="16">
                  <c:v>6133</c:v>
                </c:pt>
                <c:pt idx="17">
                  <c:v>11911</c:v>
                </c:pt>
              </c:numCache>
            </c:numRef>
          </c:val>
          <c:extLst>
            <c:ext xmlns:c16="http://schemas.microsoft.com/office/drawing/2014/chart" uri="{C3380CC4-5D6E-409C-BE32-E72D297353CC}">
              <c16:uniqueId val="{00000001-6D2B-424E-BA1B-75F5787AF016}"/>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29038922336032225"/>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9894576291867485"/>
          <c:h val="0.61909228840533581"/>
        </c:manualLayout>
      </c:layout>
      <c:barChart>
        <c:barDir val="col"/>
        <c:grouping val="clustered"/>
        <c:varyColors val="0"/>
        <c:ser>
          <c:idx val="0"/>
          <c:order val="0"/>
          <c:tx>
            <c:strRef>
              <c:f>q3_q7_q11_q15_q24_q35_Fig!$S$62</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4.8718601826090363E-2"/>
                  <c:y val="-5.5776006812251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F9-4298-81D7-A53EFE6A7603}"/>
                </c:ext>
              </c:extLst>
            </c:dLbl>
            <c:dLbl>
              <c:idx val="10"/>
              <c:layout>
                <c:manualLayout>
                  <c:x val="8.8657097699379912E-3"/>
                  <c:y val="-8.8525822760906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F9-4298-81D7-A53EFE6A7603}"/>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F9-4298-81D7-A53EFE6A760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q3_q7_q11_q15_q24_q35_Fig!$T$61:$AD$61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q3_q7_q11_q15_q24_q35_Fig!$T$62:$AD$62</c:f>
              <c:numCache>
                <c:formatCode>#\ ###\ ##0</c:formatCode>
                <c:ptCount val="11"/>
                <c:pt idx="0">
                  <c:v>739291</c:v>
                </c:pt>
                <c:pt idx="1">
                  <c:v>764524</c:v>
                </c:pt>
                <c:pt idx="2">
                  <c:v>780947</c:v>
                </c:pt>
                <c:pt idx="3">
                  <c:v>817508</c:v>
                </c:pt>
                <c:pt idx="4">
                  <c:v>847011</c:v>
                </c:pt>
                <c:pt idx="5">
                  <c:v>886123</c:v>
                </c:pt>
                <c:pt idx="6">
                  <c:v>905022</c:v>
                </c:pt>
                <c:pt idx="7">
                  <c:v>895425</c:v>
                </c:pt>
                <c:pt idx="8">
                  <c:v>900307</c:v>
                </c:pt>
                <c:pt idx="9">
                  <c:v>981424</c:v>
                </c:pt>
                <c:pt idx="10">
                  <c:v>1039751</c:v>
                </c:pt>
              </c:numCache>
            </c:numRef>
          </c:val>
          <c:extLst>
            <c:ext xmlns:c16="http://schemas.microsoft.com/office/drawing/2014/chart" uri="{C3380CC4-5D6E-409C-BE32-E72D297353CC}">
              <c16:uniqueId val="{00000003-04F9-4298-81D7-A53EFE6A7603}"/>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q3_q7_q11_q15_q24_q35_Fig!$S$63</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04F9-4298-81D7-A53EFE6A7603}"/>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04F9-4298-81D7-A53EFE6A7603}"/>
              </c:ext>
            </c:extLst>
          </c:dPt>
          <c:dLbls>
            <c:dLbl>
              <c:idx val="0"/>
              <c:layout>
                <c:manualLayout>
                  <c:x val="2.0741548314141284E-2"/>
                  <c:y val="-6.4589914787624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F9-4298-81D7-A53EFE6A7603}"/>
                </c:ext>
              </c:extLst>
            </c:dLbl>
            <c:dLbl>
              <c:idx val="10"/>
              <c:layout>
                <c:manualLayout>
                  <c:x val="-0.18669245317552327"/>
                  <c:y val="-0.10832732661928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F9-4298-81D7-A53EFE6A7603}"/>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F9-4298-81D7-A53EFE6A7603}"/>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q3_q7_q11_q15_q24_q35_Fig!$T$61:$AD$61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q3_q7_q11_q15_q24_q35_Fig!$T$63:$AD$63</c:f>
              <c:numCache>
                <c:formatCode>#\ ###\ ##0</c:formatCode>
                <c:ptCount val="11"/>
                <c:pt idx="0">
                  <c:v>699433</c:v>
                </c:pt>
                <c:pt idx="1">
                  <c:v>722854</c:v>
                </c:pt>
                <c:pt idx="2">
                  <c:v>739126</c:v>
                </c:pt>
                <c:pt idx="3">
                  <c:v>776535</c:v>
                </c:pt>
                <c:pt idx="4">
                  <c:v>805619</c:v>
                </c:pt>
                <c:pt idx="5">
                  <c:v>843599</c:v>
                </c:pt>
                <c:pt idx="6">
                  <c:v>863493</c:v>
                </c:pt>
                <c:pt idx="7">
                  <c:v>853268</c:v>
                </c:pt>
                <c:pt idx="8">
                  <c:v>859051</c:v>
                </c:pt>
                <c:pt idx="9">
                  <c:v>937531</c:v>
                </c:pt>
                <c:pt idx="10">
                  <c:v>994831</c:v>
                </c:pt>
              </c:numCache>
            </c:numRef>
          </c:val>
          <c:smooth val="0"/>
          <c:extLst>
            <c:ext xmlns:c16="http://schemas.microsoft.com/office/drawing/2014/chart" uri="{C3380CC4-5D6E-409C-BE32-E72D297353CC}">
              <c16:uniqueId val="{00000007-04F9-4298-81D7-A53EFE6A7603}"/>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764639535528711"/>
          <c:w val="0.62299652777777781"/>
          <c:h val="8.148541666666667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909629306003075"/>
          <c:h val="0.61909228840533581"/>
        </c:manualLayout>
      </c:layout>
      <c:barChart>
        <c:barDir val="col"/>
        <c:grouping val="clustered"/>
        <c:varyColors val="0"/>
        <c:ser>
          <c:idx val="0"/>
          <c:order val="0"/>
          <c:tx>
            <c:strRef>
              <c:f>q3_q7_q11_q15_q24_q35_Fig!$S$102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hade val="76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0-4CF7-45B9-B770-F1F62AA7BE34}"/>
              </c:ext>
            </c:extLst>
          </c:dPt>
          <c:dLbls>
            <c:dLbl>
              <c:idx val="0"/>
              <c:layout>
                <c:manualLayout>
                  <c:x val="5.4788924690077005E-2"/>
                  <c:y val="-8.2851332325181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5B9-B770-F1F62AA7BE34}"/>
                </c:ext>
              </c:extLst>
            </c:dLbl>
            <c:dLbl>
              <c:idx val="10"/>
              <c:layout>
                <c:manualLayout>
                  <c:x val="-9.5602764579882163E-2"/>
                  <c:y val="-4.8872433992108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F7-45B9-B770-F1F62AA7BE34}"/>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F7-45B9-B770-F1F62AA7BE34}"/>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q3_q7_q11_q15_q24_q35_Fig!$T$101:$AD$101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q3_q7_q11_q15_q24_q35_Fig!$T$102:$AD$102</c:f>
              <c:numCache>
                <c:formatCode>#,##0.00</c:formatCode>
                <c:ptCount val="11"/>
                <c:pt idx="0">
                  <c:v>1160.8699999999999</c:v>
                </c:pt>
                <c:pt idx="1">
                  <c:v>1150.47</c:v>
                </c:pt>
                <c:pt idx="2">
                  <c:v>1151.6400000000001</c:v>
                </c:pt>
                <c:pt idx="3">
                  <c:v>1155.93</c:v>
                </c:pt>
                <c:pt idx="4">
                  <c:v>1171.8800000000001</c:v>
                </c:pt>
                <c:pt idx="5">
                  <c:v>1194.22</c:v>
                </c:pt>
                <c:pt idx="6">
                  <c:v>1230.1300000000001</c:v>
                </c:pt>
                <c:pt idx="7">
                  <c:v>1266.69</c:v>
                </c:pt>
                <c:pt idx="8">
                  <c:v>1312.07</c:v>
                </c:pt>
                <c:pt idx="9">
                  <c:v>1388.37</c:v>
                </c:pt>
                <c:pt idx="10">
                  <c:v>1474.84</c:v>
                </c:pt>
              </c:numCache>
            </c:numRef>
          </c:val>
          <c:extLst>
            <c:ext xmlns:c16="http://schemas.microsoft.com/office/drawing/2014/chart" uri="{C3380CC4-5D6E-409C-BE32-E72D297353CC}">
              <c16:uniqueId val="{00000003-4CF7-45B9-B770-F1F62AA7BE34}"/>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q3_q7_q11_q15_q24_q35_Fig!$S$103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4CF7-45B9-B770-F1F62AA7BE34}"/>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4CF7-45B9-B770-F1F62AA7BE34}"/>
              </c:ext>
            </c:extLst>
          </c:dPt>
          <c:dLbls>
            <c:dLbl>
              <c:idx val="0"/>
              <c:layout>
                <c:manualLayout>
                  <c:x val="2.2241993710124357E-2"/>
                  <c:y val="-0.12013416986614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F7-45B9-B770-F1F62AA7BE34}"/>
                </c:ext>
              </c:extLst>
            </c:dLbl>
            <c:dLbl>
              <c:idx val="10"/>
              <c:layout>
                <c:manualLayout>
                  <c:x val="-0.22687549822754238"/>
                  <c:y val="-7.9306513723648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F7-45B9-B770-F1F62AA7BE34}"/>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F7-45B9-B770-F1F62AA7BE34}"/>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q3_q7_q11_q15_q24_q35_Fig!$T$101:$AD$101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q3_q7_q11_q15_q24_q35_Fig!$T$103:$AD$103</c:f>
              <c:numCache>
                <c:formatCode>#,##0.00</c:formatCode>
                <c:ptCount val="11"/>
                <c:pt idx="0">
                  <c:v>1399.09</c:v>
                </c:pt>
                <c:pt idx="1">
                  <c:v>1392.42</c:v>
                </c:pt>
                <c:pt idx="2">
                  <c:v>1391.17</c:v>
                </c:pt>
                <c:pt idx="3">
                  <c:v>1395.75</c:v>
                </c:pt>
                <c:pt idx="4">
                  <c:v>1416.56</c:v>
                </c:pt>
                <c:pt idx="5">
                  <c:v>1449.43</c:v>
                </c:pt>
                <c:pt idx="6">
                  <c:v>1487.75</c:v>
                </c:pt>
                <c:pt idx="7">
                  <c:v>1526.77</c:v>
                </c:pt>
                <c:pt idx="8">
                  <c:v>1576.15</c:v>
                </c:pt>
                <c:pt idx="9">
                  <c:v>1668.92</c:v>
                </c:pt>
                <c:pt idx="10">
                  <c:v>1779.36</c:v>
                </c:pt>
              </c:numCache>
            </c:numRef>
          </c:val>
          <c:smooth val="0"/>
          <c:extLst>
            <c:ext xmlns:c16="http://schemas.microsoft.com/office/drawing/2014/chart" uri="{C3380CC4-5D6E-409C-BE32-E72D297353CC}">
              <c16:uniqueId val="{00000007-4CF7-45B9-B770-F1F62AA7BE34}"/>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8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112118055555555"/>
          <c:w val="0.49070486111111111"/>
          <c:h val="8.36010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a:t>
            </a:r>
          </a:p>
        </c:rich>
      </c:tx>
      <c:layout>
        <c:manualLayout>
          <c:xMode val="edge"/>
          <c:yMode val="edge"/>
          <c:x val="0.69405849673202613"/>
          <c:y val="1.954490106544901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0.14150043257940922"/>
          <c:y val="0.11372189638318671"/>
          <c:w val="0.81533432208626866"/>
          <c:h val="0.69414711632453563"/>
        </c:manualLayout>
      </c:layout>
      <c:lineChart>
        <c:grouping val="standard"/>
        <c:varyColors val="0"/>
        <c:ser>
          <c:idx val="0"/>
          <c:order val="0"/>
          <c:tx>
            <c:strRef>
              <c:f>q1_q2_q5_q6_Fig!$R$31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01-45CE-43A9-93F2-729F247558C2}"/>
                </c:ext>
              </c:extLst>
            </c:dLbl>
            <c:dLbl>
              <c:idx val="2"/>
              <c:delete val="1"/>
              <c:extLst>
                <c:ext xmlns:c15="http://schemas.microsoft.com/office/drawing/2012/chart" uri="{CE6537A1-D6FC-4f65-9D91-7224C49458BB}"/>
                <c:ext xmlns:c16="http://schemas.microsoft.com/office/drawing/2014/chart" uri="{C3380CC4-5D6E-409C-BE32-E72D297353CC}">
                  <c16:uniqueId val="{00000002-45CE-43A9-93F2-729F247558C2}"/>
                </c:ext>
              </c:extLst>
            </c:dLbl>
            <c:dLbl>
              <c:idx val="3"/>
              <c:layout>
                <c:manualLayout>
                  <c:x val="0.22531828099800777"/>
                  <c:y val="0.10212761394868422"/>
                </c:manualLayout>
              </c:layout>
              <c:tx>
                <c:rich>
                  <a:bodyPr/>
                  <a:lstStyle/>
                  <a:p>
                    <a:fld id="{7AE942E9-FA11-48D9-B659-61D94B19015C}"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04-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05-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06-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07-45CE-43A9-93F2-729F247558C2}"/>
                </c:ext>
              </c:extLst>
            </c:dLbl>
            <c:dLbl>
              <c:idx val="8"/>
              <c:delete val="1"/>
              <c:extLst>
                <c:ext xmlns:c15="http://schemas.microsoft.com/office/drawing/2012/chart" uri="{CE6537A1-D6FC-4f65-9D91-7224C49458BB}"/>
                <c:ext xmlns:c16="http://schemas.microsoft.com/office/drawing/2014/chart" uri="{C3380CC4-5D6E-409C-BE32-E72D297353CC}">
                  <c16:uniqueId val="{00000008-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09-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0A-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q1_q2_q5_q6_Fig!$S$30:$AC$30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q1_q2_q5_q6_Fig!$S$31:$AC$31</c:f>
              <c:numCache>
                <c:formatCode>General</c:formatCode>
                <c:ptCount val="11"/>
                <c:pt idx="0">
                  <c:v>268798</c:v>
                </c:pt>
                <c:pt idx="1">
                  <c:v>271147</c:v>
                </c:pt>
                <c:pt idx="2">
                  <c:v>272301</c:v>
                </c:pt>
                <c:pt idx="3">
                  <c:v>273993</c:v>
                </c:pt>
                <c:pt idx="4">
                  <c:v>274084</c:v>
                </c:pt>
                <c:pt idx="5">
                  <c:v>275129</c:v>
                </c:pt>
                <c:pt idx="6">
                  <c:v>266320</c:v>
                </c:pt>
                <c:pt idx="7">
                  <c:v>268913</c:v>
                </c:pt>
                <c:pt idx="8">
                  <c:v>262011</c:v>
                </c:pt>
                <c:pt idx="9">
                  <c:v>272062</c:v>
                </c:pt>
                <c:pt idx="10">
                  <c:v>276817</c:v>
                </c:pt>
              </c:numCache>
            </c:numRef>
          </c:val>
          <c:smooth val="0"/>
          <c:extLst>
            <c:ext xmlns:c16="http://schemas.microsoft.com/office/drawing/2014/chart" uri="{C3380CC4-5D6E-409C-BE32-E72D297353CC}">
              <c16:uniqueId val="{0000000B-45CE-43A9-93F2-729F247558C2}"/>
            </c:ext>
          </c:extLst>
        </c:ser>
        <c:ser>
          <c:idx val="1"/>
          <c:order val="1"/>
          <c:tx>
            <c:strRef>
              <c:f>q1_q2_q5_q6_Fig!$R$32</c:f>
              <c:strCache>
                <c:ptCount val="1"/>
                <c:pt idx="0">
                  <c:v>Pequenos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0D-45CE-43A9-93F2-729F247558C2}"/>
                </c:ext>
              </c:extLst>
            </c:dLbl>
            <c:dLbl>
              <c:idx val="2"/>
              <c:delete val="1"/>
              <c:extLst>
                <c:ext xmlns:c15="http://schemas.microsoft.com/office/drawing/2012/chart" uri="{CE6537A1-D6FC-4f65-9D91-7224C49458BB}"/>
                <c:ext xmlns:c16="http://schemas.microsoft.com/office/drawing/2014/chart" uri="{C3380CC4-5D6E-409C-BE32-E72D297353CC}">
                  <c16:uniqueId val="{0000000E-45CE-43A9-93F2-729F247558C2}"/>
                </c:ext>
              </c:extLst>
            </c:dLbl>
            <c:dLbl>
              <c:idx val="3"/>
              <c:layout>
                <c:manualLayout>
                  <c:x val="5.0748505834361066E-2"/>
                  <c:y val="-0.17021268991447372"/>
                </c:manualLayout>
              </c:layout>
              <c:tx>
                <c:rich>
                  <a:bodyPr/>
                  <a:lstStyle/>
                  <a:p>
                    <a:fld id="{FF27E1B3-1137-4F82-AAC9-A7D282C22438}"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10-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11-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12-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13-45CE-43A9-93F2-729F247558C2}"/>
                </c:ext>
              </c:extLst>
            </c:dLbl>
            <c:dLbl>
              <c:idx val="8"/>
              <c:delete val="1"/>
              <c:extLst>
                <c:ext xmlns:c15="http://schemas.microsoft.com/office/drawing/2012/chart" uri="{CE6537A1-D6FC-4f65-9D91-7224C49458BB}"/>
                <c:ext xmlns:c16="http://schemas.microsoft.com/office/drawing/2014/chart" uri="{C3380CC4-5D6E-409C-BE32-E72D297353CC}">
                  <c16:uniqueId val="{00000014-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15-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16-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q1_q2_q5_q6_Fig!$S$30:$AC$30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q1_q2_q5_q6_Fig!$S$32:$AC$32</c:f>
              <c:numCache>
                <c:formatCode>General</c:formatCode>
                <c:ptCount val="11"/>
                <c:pt idx="0">
                  <c:v>38063</c:v>
                </c:pt>
                <c:pt idx="1">
                  <c:v>39365</c:v>
                </c:pt>
                <c:pt idx="2">
                  <c:v>40661</c:v>
                </c:pt>
                <c:pt idx="3">
                  <c:v>42031</c:v>
                </c:pt>
                <c:pt idx="4">
                  <c:v>43973</c:v>
                </c:pt>
                <c:pt idx="5">
                  <c:v>45897</c:v>
                </c:pt>
                <c:pt idx="6">
                  <c:v>46757</c:v>
                </c:pt>
                <c:pt idx="7">
                  <c:v>45757</c:v>
                </c:pt>
                <c:pt idx="8">
                  <c:v>46152</c:v>
                </c:pt>
                <c:pt idx="9">
                  <c:v>49721</c:v>
                </c:pt>
                <c:pt idx="10">
                  <c:v>52145</c:v>
                </c:pt>
              </c:numCache>
            </c:numRef>
          </c:val>
          <c:smooth val="0"/>
          <c:extLst>
            <c:ext xmlns:c16="http://schemas.microsoft.com/office/drawing/2014/chart" uri="{C3380CC4-5D6E-409C-BE32-E72D297353CC}">
              <c16:uniqueId val="{00000017-45CE-43A9-93F2-729F247558C2}"/>
            </c:ext>
          </c:extLst>
        </c:ser>
        <c:ser>
          <c:idx val="2"/>
          <c:order val="2"/>
          <c:tx>
            <c:strRef>
              <c:f>q1_q2_q5_q6_Fig!$R$33</c:f>
              <c:strCache>
                <c:ptCount val="1"/>
                <c:pt idx="0">
                  <c:v>Médios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19-45CE-43A9-93F2-729F247558C2}"/>
                </c:ext>
              </c:extLst>
            </c:dLbl>
            <c:dLbl>
              <c:idx val="2"/>
              <c:layout>
                <c:manualLayout>
                  <c:x val="-0.18290891349424698"/>
                  <c:y val="-0.20992898422785092"/>
                </c:manualLayout>
              </c:layout>
              <c:tx>
                <c:rich>
                  <a:bodyPr/>
                  <a:lstStyle/>
                  <a:p>
                    <a:fld id="{BBF6D15E-DC9B-4ED3-B3CB-790E242BBF83}"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45CE-43A9-93F2-729F247558C2}"/>
                </c:ext>
              </c:extLst>
            </c:dLbl>
            <c:dLbl>
              <c:idx val="3"/>
              <c:delete val="1"/>
              <c:extLst>
                <c:ext xmlns:c15="http://schemas.microsoft.com/office/drawing/2012/chart" uri="{CE6537A1-D6FC-4f65-9D91-7224C49458BB}"/>
                <c:ext xmlns:c16="http://schemas.microsoft.com/office/drawing/2014/chart" uri="{C3380CC4-5D6E-409C-BE32-E72D297353CC}">
                  <c16:uniqueId val="{0000001B-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1C-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1D-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1E-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1F-45CE-43A9-93F2-729F247558C2}"/>
                </c:ext>
              </c:extLst>
            </c:dLbl>
            <c:dLbl>
              <c:idx val="8"/>
              <c:delete val="1"/>
              <c:extLst>
                <c:ext xmlns:c15="http://schemas.microsoft.com/office/drawing/2012/chart" uri="{CE6537A1-D6FC-4f65-9D91-7224C49458BB}"/>
                <c:ext xmlns:c16="http://schemas.microsoft.com/office/drawing/2014/chart" uri="{C3380CC4-5D6E-409C-BE32-E72D297353CC}">
                  <c16:uniqueId val="{00000020-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21-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22-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q1_q2_q5_q6_Fig!$S$30:$AC$30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q1_q2_q5_q6_Fig!$S$33:$AC$33</c:f>
              <c:numCache>
                <c:formatCode>General</c:formatCode>
                <c:ptCount val="11"/>
                <c:pt idx="0">
                  <c:v>5864</c:v>
                </c:pt>
                <c:pt idx="1">
                  <c:v>6032</c:v>
                </c:pt>
                <c:pt idx="2">
                  <c:v>6244</c:v>
                </c:pt>
                <c:pt idx="3">
                  <c:v>6541</c:v>
                </c:pt>
                <c:pt idx="4">
                  <c:v>6822</c:v>
                </c:pt>
                <c:pt idx="5">
                  <c:v>7206</c:v>
                </c:pt>
                <c:pt idx="6">
                  <c:v>7384</c:v>
                </c:pt>
                <c:pt idx="7">
                  <c:v>7265</c:v>
                </c:pt>
                <c:pt idx="8">
                  <c:v>7437</c:v>
                </c:pt>
                <c:pt idx="9">
                  <c:v>8143</c:v>
                </c:pt>
                <c:pt idx="10">
                  <c:v>8569</c:v>
                </c:pt>
              </c:numCache>
            </c:numRef>
          </c:val>
          <c:smooth val="0"/>
          <c:extLst>
            <c:ext xmlns:c16="http://schemas.microsoft.com/office/drawing/2014/chart" uri="{C3380CC4-5D6E-409C-BE32-E72D297353CC}">
              <c16:uniqueId val="{00000023-45CE-43A9-93F2-729F247558C2}"/>
            </c:ext>
          </c:extLst>
        </c:ser>
        <c:ser>
          <c:idx val="3"/>
          <c:order val="3"/>
          <c:tx>
            <c:strRef>
              <c:f>q1_q2_q5_q6_Fig!$R$34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25-45CE-43A9-93F2-729F247558C2}"/>
                </c:ext>
              </c:extLst>
            </c:dLbl>
            <c:dLbl>
              <c:idx val="2"/>
              <c:delete val="1"/>
              <c:extLst>
                <c:ext xmlns:c15="http://schemas.microsoft.com/office/drawing/2012/chart" uri="{CE6537A1-D6FC-4f65-9D91-7224C49458BB}"/>
                <c:ext xmlns:c16="http://schemas.microsoft.com/office/drawing/2014/chart" uri="{C3380CC4-5D6E-409C-BE32-E72D297353CC}">
                  <c16:uniqueId val="{00000026-45CE-43A9-93F2-729F247558C2}"/>
                </c:ext>
              </c:extLst>
            </c:dLbl>
            <c:dLbl>
              <c:idx val="3"/>
              <c:delete val="1"/>
              <c:extLst>
                <c:ext xmlns:c15="http://schemas.microsoft.com/office/drawing/2012/chart" uri="{CE6537A1-D6FC-4f65-9D91-7224C49458BB}"/>
                <c:ext xmlns:c16="http://schemas.microsoft.com/office/drawing/2014/chart" uri="{C3380CC4-5D6E-409C-BE32-E72D297353CC}">
                  <c16:uniqueId val="{00000027-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28-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29-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2A-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2B-45CE-43A9-93F2-729F247558C2}"/>
                </c:ext>
              </c:extLst>
            </c:dLbl>
            <c:dLbl>
              <c:idx val="8"/>
              <c:layout>
                <c:manualLayout>
                  <c:x val="-1.1325301204819277E-2"/>
                  <c:y val="-0.19858147156688605"/>
                </c:manualLayout>
              </c:layout>
              <c:tx>
                <c:rich>
                  <a:bodyPr/>
                  <a:lstStyle/>
                  <a:p>
                    <a:fld id="{47492D47-E9A8-4AC7-B31C-7C4B0314522E}"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2D-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2E-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B6C3FF"/>
                      </a:solidFill>
                    </a:ln>
                    <a:effectLst/>
                  </c:spPr>
                </c15:leaderLines>
              </c:ext>
            </c:extLst>
          </c:dLbls>
          <c:cat>
            <c:numRef>
              <c:f>q1_q2_q5_q6_Fig!$S$30:$AC$30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q1_q2_q5_q6_Fig!$S$34:$AC$34</c:f>
              <c:numCache>
                <c:formatCode>General</c:formatCode>
                <c:ptCount val="11"/>
                <c:pt idx="0">
                  <c:v>714</c:v>
                </c:pt>
                <c:pt idx="1">
                  <c:v>722</c:v>
                </c:pt>
                <c:pt idx="2">
                  <c:v>759</c:v>
                </c:pt>
                <c:pt idx="3">
                  <c:v>804</c:v>
                </c:pt>
                <c:pt idx="4">
                  <c:v>855</c:v>
                </c:pt>
                <c:pt idx="5">
                  <c:v>904</c:v>
                </c:pt>
                <c:pt idx="6">
                  <c:v>940</c:v>
                </c:pt>
                <c:pt idx="7">
                  <c:v>922</c:v>
                </c:pt>
                <c:pt idx="8">
                  <c:v>937</c:v>
                </c:pt>
                <c:pt idx="9">
                  <c:v>1017</c:v>
                </c:pt>
                <c:pt idx="10">
                  <c:v>1103</c:v>
                </c:pt>
              </c:numCache>
            </c:numRef>
          </c:val>
          <c:smooth val="0"/>
          <c:extLst>
            <c:ext xmlns:c16="http://schemas.microsoft.com/office/drawing/2014/chart" uri="{C3380CC4-5D6E-409C-BE32-E72D297353CC}">
              <c16:uniqueId val="{0000002F-45CE-43A9-93F2-729F247558C2}"/>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30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q3_q7_q11_q15_q24_q35_Fig!$AT$19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q3_q7_q11_q15_q24_q35_Fig!$AT$20:$AT$37</c:f>
              <c:numCache>
                <c:formatCode>#,##0</c:formatCode>
                <c:ptCount val="18"/>
                <c:pt idx="0">
                  <c:v>255866</c:v>
                </c:pt>
                <c:pt idx="1">
                  <c:v>47376</c:v>
                </c:pt>
                <c:pt idx="2">
                  <c:v>312788</c:v>
                </c:pt>
                <c:pt idx="3">
                  <c:v>24160</c:v>
                </c:pt>
                <c:pt idx="4">
                  <c:v>45470</c:v>
                </c:pt>
                <c:pt idx="5">
                  <c:v>112151</c:v>
                </c:pt>
                <c:pt idx="6">
                  <c:v>45228</c:v>
                </c:pt>
                <c:pt idx="7">
                  <c:v>178434</c:v>
                </c:pt>
                <c:pt idx="8">
                  <c:v>32928</c:v>
                </c:pt>
                <c:pt idx="9">
                  <c:v>163957</c:v>
                </c:pt>
                <c:pt idx="10">
                  <c:v>1039751</c:v>
                </c:pt>
                <c:pt idx="11">
                  <c:v>24444</c:v>
                </c:pt>
                <c:pt idx="12">
                  <c:v>675046</c:v>
                </c:pt>
                <c:pt idx="13">
                  <c:v>120066</c:v>
                </c:pt>
                <c:pt idx="14">
                  <c:v>195528</c:v>
                </c:pt>
                <c:pt idx="15">
                  <c:v>72633</c:v>
                </c:pt>
                <c:pt idx="16">
                  <c:v>40275</c:v>
                </c:pt>
                <c:pt idx="17">
                  <c:v>103482</c:v>
                </c:pt>
              </c:numCache>
            </c:numRef>
          </c:val>
          <c:extLst>
            <c:ext xmlns:c16="http://schemas.microsoft.com/office/drawing/2014/chart" uri="{C3380CC4-5D6E-409C-BE32-E72D297353CC}">
              <c16:uniqueId val="{00000000-CB79-419E-8DD5-4F91E0054810}"/>
            </c:ext>
          </c:extLst>
        </c:ser>
        <c:ser>
          <c:idx val="1"/>
          <c:order val="1"/>
          <c:tx>
            <c:strRef>
              <c:f>q3_q7_q11_q15_q24_q35_Fig!$AU$19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q3_q7_q11_q15_q24_q35_Fig!$AU$20:$AU$37</c:f>
              <c:numCache>
                <c:formatCode>#,##0</c:formatCode>
                <c:ptCount val="18"/>
                <c:pt idx="0">
                  <c:v>240286</c:v>
                </c:pt>
                <c:pt idx="1">
                  <c:v>45122</c:v>
                </c:pt>
                <c:pt idx="2">
                  <c:v>293224</c:v>
                </c:pt>
                <c:pt idx="3">
                  <c:v>22078</c:v>
                </c:pt>
                <c:pt idx="4">
                  <c:v>42612</c:v>
                </c:pt>
                <c:pt idx="5">
                  <c:v>104759</c:v>
                </c:pt>
                <c:pt idx="6">
                  <c:v>42406</c:v>
                </c:pt>
                <c:pt idx="7">
                  <c:v>166794</c:v>
                </c:pt>
                <c:pt idx="8">
                  <c:v>30808</c:v>
                </c:pt>
                <c:pt idx="9">
                  <c:v>152308</c:v>
                </c:pt>
                <c:pt idx="10">
                  <c:v>994831</c:v>
                </c:pt>
                <c:pt idx="11">
                  <c:v>22968</c:v>
                </c:pt>
                <c:pt idx="12">
                  <c:v>638591</c:v>
                </c:pt>
                <c:pt idx="13">
                  <c:v>112134</c:v>
                </c:pt>
                <c:pt idx="14">
                  <c:v>184464</c:v>
                </c:pt>
                <c:pt idx="15">
                  <c:v>68117</c:v>
                </c:pt>
                <c:pt idx="16">
                  <c:v>37526</c:v>
                </c:pt>
                <c:pt idx="17">
                  <c:v>97106</c:v>
                </c:pt>
              </c:numCache>
            </c:numRef>
          </c:val>
          <c:extLst>
            <c:ext xmlns:c16="http://schemas.microsoft.com/office/drawing/2014/chart" uri="{C3380CC4-5D6E-409C-BE32-E72D297353CC}">
              <c16:uniqueId val="{00000001-CB79-419E-8DD5-4F91E0054810}"/>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29038922336032225"/>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q3_q7_q11_q15_q24_q35_Fig!$BA$19</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q3_q7_q11_q15_q24_q35_Fig!$BA$20:$BA$37</c:f>
              <c:numCache>
                <c:formatCode>#,##0\ "€"</c:formatCode>
                <c:ptCount val="18"/>
                <c:pt idx="0">
                  <c:v>1126.52</c:v>
                </c:pt>
                <c:pt idx="1">
                  <c:v>1003.83</c:v>
                </c:pt>
                <c:pt idx="2">
                  <c:v>1059.8900000000001</c:v>
                </c:pt>
                <c:pt idx="3">
                  <c:v>958.36</c:v>
                </c:pt>
                <c:pt idx="4">
                  <c:v>991.05</c:v>
                </c:pt>
                <c:pt idx="5">
                  <c:v>1085.1500000000001</c:v>
                </c:pt>
                <c:pt idx="6">
                  <c:v>1049.8499999999999</c:v>
                </c:pt>
                <c:pt idx="7">
                  <c:v>1031.25</c:v>
                </c:pt>
                <c:pt idx="8">
                  <c:v>966.87</c:v>
                </c:pt>
                <c:pt idx="9">
                  <c:v>1070.77</c:v>
                </c:pt>
                <c:pt idx="10">
                  <c:v>1474.84</c:v>
                </c:pt>
                <c:pt idx="11">
                  <c:v>990.36</c:v>
                </c:pt>
                <c:pt idx="12">
                  <c:v>1212.5</c:v>
                </c:pt>
                <c:pt idx="13">
                  <c:v>1038.8499999999999</c:v>
                </c:pt>
                <c:pt idx="14">
                  <c:v>1192.6099999999999</c:v>
                </c:pt>
                <c:pt idx="15">
                  <c:v>1022.16</c:v>
                </c:pt>
                <c:pt idx="16">
                  <c:v>997.39</c:v>
                </c:pt>
                <c:pt idx="17">
                  <c:v>998.93</c:v>
                </c:pt>
              </c:numCache>
            </c:numRef>
          </c:val>
          <c:extLst>
            <c:ext xmlns:c16="http://schemas.microsoft.com/office/drawing/2014/chart" uri="{C3380CC4-5D6E-409C-BE32-E72D297353CC}">
              <c16:uniqueId val="{00000000-1C77-420B-914C-3497A1ED8771}"/>
            </c:ext>
          </c:extLst>
        </c:ser>
        <c:ser>
          <c:idx val="1"/>
          <c:order val="1"/>
          <c:tx>
            <c:strRef>
              <c:f>q3_q7_q11_q15_q24_q35_Fig!$BB$19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q3_q7_q11_q15_q24_q35_Fig!$BB$20:$BB$37</c:f>
              <c:numCache>
                <c:formatCode>#,##0\ "€"</c:formatCode>
                <c:ptCount val="18"/>
                <c:pt idx="0">
                  <c:v>1348.68</c:v>
                </c:pt>
                <c:pt idx="1">
                  <c:v>1305.52</c:v>
                </c:pt>
                <c:pt idx="2">
                  <c:v>1244.8900000000001</c:v>
                </c:pt>
                <c:pt idx="3">
                  <c:v>1136.1600000000001</c:v>
                </c:pt>
                <c:pt idx="4">
                  <c:v>1180.77</c:v>
                </c:pt>
                <c:pt idx="5">
                  <c:v>1317.31</c:v>
                </c:pt>
                <c:pt idx="6">
                  <c:v>1271.71</c:v>
                </c:pt>
                <c:pt idx="7">
                  <c:v>1238.68</c:v>
                </c:pt>
                <c:pt idx="8">
                  <c:v>1176.51</c:v>
                </c:pt>
                <c:pt idx="9">
                  <c:v>1289.3599999999999</c:v>
                </c:pt>
                <c:pt idx="10">
                  <c:v>1779.36</c:v>
                </c:pt>
                <c:pt idx="11">
                  <c:v>1197.92</c:v>
                </c:pt>
                <c:pt idx="12">
                  <c:v>1444.09</c:v>
                </c:pt>
                <c:pt idx="13">
                  <c:v>1264.1500000000001</c:v>
                </c:pt>
                <c:pt idx="14">
                  <c:v>1456.04</c:v>
                </c:pt>
                <c:pt idx="15">
                  <c:v>1237.67</c:v>
                </c:pt>
                <c:pt idx="16">
                  <c:v>1185.9000000000001</c:v>
                </c:pt>
                <c:pt idx="17">
                  <c:v>1214.08</c:v>
                </c:pt>
              </c:numCache>
            </c:numRef>
          </c:val>
          <c:extLst>
            <c:ext xmlns:c16="http://schemas.microsoft.com/office/drawing/2014/chart" uri="{C3380CC4-5D6E-409C-BE32-E72D297353CC}">
              <c16:uniqueId val="{00000001-1C77-420B-914C-3497A1ED8771}"/>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8051136322373027"/>
          <c:y val="0.85028928160986517"/>
          <c:w val="0.18730661330692686"/>
          <c:h val="0.10872542182045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q4_8_12_16_25_36_Fig!$AS$7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A3AF-4097-9909-6CE9FD58CA7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q4_8_12_16_25_36_Fig!$AR$32</c:f>
              <c:strCache>
                <c:ptCount val="1"/>
                <c:pt idx="0">
                  <c:v>Continente</c:v>
                </c:pt>
              </c:strCache>
            </c:strRef>
          </c:cat>
          <c:val>
            <c:numRef>
              <c:f>q4_8_12_16_25_36_Fig!$AS$32</c:f>
              <c:numCache>
                <c:formatCode>#,##0</c:formatCode>
                <c:ptCount val="1"/>
                <c:pt idx="0">
                  <c:v>291252.00000000017</c:v>
                </c:pt>
              </c:numCache>
            </c:numRef>
          </c:val>
          <c:extLst>
            <c:ext xmlns:c16="http://schemas.microsoft.com/office/drawing/2014/chart" uri="{C3380CC4-5D6E-409C-BE32-E72D297353CC}">
              <c16:uniqueId val="{00000001-A3AF-4097-9909-6CE9FD58CA74}"/>
            </c:ext>
          </c:extLst>
        </c:ser>
        <c:ser>
          <c:idx val="1"/>
          <c:order val="1"/>
          <c:tx>
            <c:strRef>
              <c:f>q4_8_12_16_25_36_Fig!$AT$7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20423521519576349"/>
                  <c:y val="-2.3821382281370079E-2"/>
                </c:manualLayout>
              </c:layout>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3393754759212016"/>
                      <c:h val="0.37912244133627981"/>
                    </c:manualLayout>
                  </c15:layout>
                </c:ext>
                <c:ext xmlns:c16="http://schemas.microsoft.com/office/drawing/2014/chart" uri="{C3380CC4-5D6E-409C-BE32-E72D297353CC}">
                  <c16:uniqueId val="{00000002-A3AF-4097-9909-6CE9FD58CA7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q4_8_12_16_25_36_Fig!$AR$32</c:f>
              <c:strCache>
                <c:ptCount val="1"/>
                <c:pt idx="0">
                  <c:v>Continente</c:v>
                </c:pt>
              </c:strCache>
            </c:strRef>
          </c:cat>
          <c:val>
            <c:numRef>
              <c:f>q4_8_12_16_25_36_Fig!$AT$32</c:f>
              <c:numCache>
                <c:formatCode>#,##0</c:formatCode>
                <c:ptCount val="1"/>
                <c:pt idx="0">
                  <c:v>340363.99999999994</c:v>
                </c:pt>
              </c:numCache>
            </c:numRef>
          </c:val>
          <c:extLst>
            <c:ext xmlns:c16="http://schemas.microsoft.com/office/drawing/2014/chart" uri="{C3380CC4-5D6E-409C-BE32-E72D297353CC}">
              <c16:uniqueId val="{00000003-A3AF-4097-9909-6CE9FD58CA74}"/>
            </c:ext>
          </c:extLst>
        </c:ser>
        <c:dLbls>
          <c:dLblPos val="inEnd"/>
          <c:showLegendKey val="0"/>
          <c:showVal val="1"/>
          <c:showCatName val="0"/>
          <c:showSerName val="0"/>
          <c:showPercent val="0"/>
          <c:showBubbleSize val="0"/>
        </c:dLbls>
        <c:gapWidth val="309"/>
        <c:overlap val="-5"/>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601375008343493"/>
          <c:h val="0.61909228840533581"/>
        </c:manualLayout>
      </c:layout>
      <c:barChart>
        <c:barDir val="col"/>
        <c:grouping val="clustered"/>
        <c:varyColors val="0"/>
        <c:ser>
          <c:idx val="0"/>
          <c:order val="0"/>
          <c:tx>
            <c:strRef>
              <c:f>q4_8_12_16_25_36_Fig!$R$6</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56548280025974E-2"/>
                  <c:y val="1.516251810434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AF-409A-95B5-6251E8728EFC}"/>
                </c:ext>
              </c:extLst>
            </c:dLbl>
            <c:dLbl>
              <c:idx val="10"/>
              <c:layout>
                <c:manualLayout>
                  <c:x val="2.1382411301039447E-2"/>
                  <c:y val="7.05177001583077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F-409A-95B5-6251E8728EFC}"/>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F-409A-95B5-6251E8728E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q4_8_12_16_25_36_Fig!$S$5:$AC$5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q4_8_12_16_25_36_Fig!$S$6:$AC$6</c:f>
              <c:numCache>
                <c:formatCode>#,##0</c:formatCode>
                <c:ptCount val="11"/>
                <c:pt idx="0">
                  <c:v>53685</c:v>
                </c:pt>
                <c:pt idx="1">
                  <c:v>54415</c:v>
                </c:pt>
                <c:pt idx="2">
                  <c:v>55029</c:v>
                </c:pt>
                <c:pt idx="3">
                  <c:v>55354</c:v>
                </c:pt>
                <c:pt idx="4">
                  <c:v>56108</c:v>
                </c:pt>
                <c:pt idx="5">
                  <c:v>57209</c:v>
                </c:pt>
                <c:pt idx="6">
                  <c:v>55559</c:v>
                </c:pt>
                <c:pt idx="7">
                  <c:v>56643</c:v>
                </c:pt>
                <c:pt idx="8">
                  <c:v>54793</c:v>
                </c:pt>
                <c:pt idx="9">
                  <c:v>57854</c:v>
                </c:pt>
                <c:pt idx="10">
                  <c:v>59573</c:v>
                </c:pt>
              </c:numCache>
            </c:numRef>
          </c:val>
          <c:extLst>
            <c:ext xmlns:c16="http://schemas.microsoft.com/office/drawing/2014/chart" uri="{C3380CC4-5D6E-409C-BE32-E72D297353CC}">
              <c16:uniqueId val="{00000003-2CAF-409A-95B5-6251E8728EFC}"/>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q4_8_12_16_25_36_Fig!$R$7</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2CAF-409A-95B5-6251E8728EFC}"/>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2CAF-409A-95B5-6251E8728EFC}"/>
              </c:ext>
            </c:extLst>
          </c:dPt>
          <c:dLbls>
            <c:dLbl>
              <c:idx val="0"/>
              <c:layout>
                <c:manualLayout>
                  <c:x val="2.8066432441944428E-2"/>
                  <c:y val="-5.9913435952709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AF-409A-95B5-6251E8728EFC}"/>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AF-409A-95B5-6251E8728EFC}"/>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AF-409A-95B5-6251E8728EFC}"/>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q4_8_12_16_25_36_Fig!$S$5:$AC$5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q4_8_12_16_25_36_Fig!$S$7:$AC$7</c:f>
              <c:numCache>
                <c:formatCode>#,##0</c:formatCode>
                <c:ptCount val="11"/>
                <c:pt idx="0">
                  <c:v>64587</c:v>
                </c:pt>
                <c:pt idx="1">
                  <c:v>65289</c:v>
                </c:pt>
                <c:pt idx="2">
                  <c:v>65847</c:v>
                </c:pt>
                <c:pt idx="3">
                  <c:v>66220</c:v>
                </c:pt>
                <c:pt idx="4">
                  <c:v>66764</c:v>
                </c:pt>
                <c:pt idx="5">
                  <c:v>67989</c:v>
                </c:pt>
                <c:pt idx="6">
                  <c:v>66115</c:v>
                </c:pt>
                <c:pt idx="7">
                  <c:v>67101</c:v>
                </c:pt>
                <c:pt idx="8">
                  <c:v>64927</c:v>
                </c:pt>
                <c:pt idx="9">
                  <c:v>68270</c:v>
                </c:pt>
                <c:pt idx="10">
                  <c:v>70103.999999999985</c:v>
                </c:pt>
              </c:numCache>
            </c:numRef>
          </c:val>
          <c:smooth val="0"/>
          <c:extLst>
            <c:ext xmlns:c16="http://schemas.microsoft.com/office/drawing/2014/chart" uri="{C3380CC4-5D6E-409C-BE32-E72D297353CC}">
              <c16:uniqueId val="{00000007-2CAF-409A-95B5-6251E8728EFC}"/>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994062500000004"/>
          <c:w val="0.66415393518518528"/>
          <c:h val="7.919131944444443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9894576291867485"/>
          <c:h val="0.61909228840533581"/>
        </c:manualLayout>
      </c:layout>
      <c:barChart>
        <c:barDir val="col"/>
        <c:grouping val="clustered"/>
        <c:varyColors val="0"/>
        <c:ser>
          <c:idx val="0"/>
          <c:order val="0"/>
          <c:tx>
            <c:strRef>
              <c:f>q4_8_12_16_25_36_Fig!$R$38</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4266288849565468E-2"/>
                  <c:y val="-6.388999292667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C-4079-BAED-9B7534B5ED59}"/>
                </c:ext>
              </c:extLst>
            </c:dLbl>
            <c:dLbl>
              <c:idx val="10"/>
              <c:layout>
                <c:manualLayout>
                  <c:x val="-9.4456226834674278E-2"/>
                  <c:y val="2.0943783893024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C-4079-BAED-9B7534B5ED59}"/>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EC-4079-BAED-9B7534B5ED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q4_8_12_16_25_36_Fig!$S$37:$AC$37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q4_8_12_16_25_36_Fig!$S$38:$AC$38</c:f>
              <c:numCache>
                <c:formatCode>#,##0</c:formatCode>
                <c:ptCount val="11"/>
                <c:pt idx="0">
                  <c:v>692704</c:v>
                </c:pt>
                <c:pt idx="1">
                  <c:v>715126</c:v>
                </c:pt>
                <c:pt idx="2">
                  <c:v>730551</c:v>
                </c:pt>
                <c:pt idx="3">
                  <c:v>765222</c:v>
                </c:pt>
                <c:pt idx="4">
                  <c:v>790694</c:v>
                </c:pt>
                <c:pt idx="5">
                  <c:v>826919</c:v>
                </c:pt>
                <c:pt idx="6">
                  <c:v>845336</c:v>
                </c:pt>
                <c:pt idx="7">
                  <c:v>835460</c:v>
                </c:pt>
                <c:pt idx="8">
                  <c:v>838586</c:v>
                </c:pt>
                <c:pt idx="9">
                  <c:v>915180</c:v>
                </c:pt>
                <c:pt idx="10">
                  <c:v>969558</c:v>
                </c:pt>
              </c:numCache>
            </c:numRef>
          </c:val>
          <c:extLst>
            <c:ext xmlns:c16="http://schemas.microsoft.com/office/drawing/2014/chart" uri="{C3380CC4-5D6E-409C-BE32-E72D297353CC}">
              <c16:uniqueId val="{00000003-F8EC-4079-BAED-9B7534B5ED59}"/>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q4_8_12_16_25_36_Fig!$R$39</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F8EC-4079-BAED-9B7534B5ED59}"/>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F8EC-4079-BAED-9B7534B5ED59}"/>
              </c:ext>
            </c:extLst>
          </c:dPt>
          <c:dLbls>
            <c:dLbl>
              <c:idx val="0"/>
              <c:layout>
                <c:manualLayout>
                  <c:x val="2.3703827300895902E-2"/>
                  <c:y val="-6.4295530331099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C-4079-BAED-9B7534B5ED59}"/>
                </c:ext>
              </c:extLst>
            </c:dLbl>
            <c:dLbl>
              <c:idx val="10"/>
              <c:layout>
                <c:manualLayout>
                  <c:x val="-0.18669245317552327"/>
                  <c:y val="-0.10832732661928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EC-4079-BAED-9B7534B5ED59}"/>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EC-4079-BAED-9B7534B5ED59}"/>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q4_8_12_16_25_36_Fig!$S$37:$AC$37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q4_8_12_16_25_36_Fig!$S$39:$AC$39</c:f>
              <c:numCache>
                <c:formatCode>#,##0</c:formatCode>
                <c:ptCount val="11"/>
                <c:pt idx="0">
                  <c:v>656569.99999999988</c:v>
                </c:pt>
                <c:pt idx="1">
                  <c:v>677265</c:v>
                </c:pt>
                <c:pt idx="2">
                  <c:v>692513</c:v>
                </c:pt>
                <c:pt idx="3">
                  <c:v>728120</c:v>
                </c:pt>
                <c:pt idx="4">
                  <c:v>753266.00000000012</c:v>
                </c:pt>
                <c:pt idx="5">
                  <c:v>788380.00000000012</c:v>
                </c:pt>
                <c:pt idx="6">
                  <c:v>807855</c:v>
                </c:pt>
                <c:pt idx="7">
                  <c:v>797460</c:v>
                </c:pt>
                <c:pt idx="8">
                  <c:v>801493</c:v>
                </c:pt>
                <c:pt idx="9">
                  <c:v>875584</c:v>
                </c:pt>
                <c:pt idx="10">
                  <c:v>928991</c:v>
                </c:pt>
              </c:numCache>
            </c:numRef>
          </c:val>
          <c:smooth val="0"/>
          <c:extLst>
            <c:ext xmlns:c16="http://schemas.microsoft.com/office/drawing/2014/chart" uri="{C3380CC4-5D6E-409C-BE32-E72D297353CC}">
              <c16:uniqueId val="{00000007-F8EC-4079-BAED-9B7534B5ED59}"/>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764639535528711"/>
          <c:w val="0.62299652777777781"/>
          <c:h val="8.148541666666667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909629306003075"/>
          <c:h val="0.61909228840533581"/>
        </c:manualLayout>
      </c:layout>
      <c:barChart>
        <c:barDir val="col"/>
        <c:grouping val="clustered"/>
        <c:varyColors val="0"/>
        <c:ser>
          <c:idx val="0"/>
          <c:order val="0"/>
          <c:tx>
            <c:strRef>
              <c:f>q4_8_12_16_25_36_Fig!$R$72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hade val="76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A49C-4FCD-A897-DC1A25A30720}"/>
              </c:ext>
            </c:extLst>
          </c:dPt>
          <c:dLbls>
            <c:dLbl>
              <c:idx val="0"/>
              <c:layout>
                <c:manualLayout>
                  <c:x val="5.4788924690077005E-2"/>
                  <c:y val="-8.2851332325181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9C-4FCD-A897-DC1A25A30720}"/>
                </c:ext>
              </c:extLst>
            </c:dLbl>
            <c:dLbl>
              <c:idx val="10"/>
              <c:layout>
                <c:manualLayout>
                  <c:x val="-0.12032991129904101"/>
                  <c:y val="-4.8872433992108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9C-4FCD-A897-DC1A25A30720}"/>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9C-4FCD-A897-DC1A25A30720}"/>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q4_8_12_16_25_36_Fig!$S$71:$AC$71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q4_8_12_16_25_36_Fig!$S$72:$AC$72</c:f>
              <c:numCache>
                <c:formatCode>#,##0.00</c:formatCode>
                <c:ptCount val="11"/>
                <c:pt idx="0">
                  <c:v>1184.3399999999999</c:v>
                </c:pt>
                <c:pt idx="1">
                  <c:v>1174.23</c:v>
                </c:pt>
                <c:pt idx="2">
                  <c:v>1175.57</c:v>
                </c:pt>
                <c:pt idx="3">
                  <c:v>1179.78</c:v>
                </c:pt>
                <c:pt idx="4">
                  <c:v>1197.4000000000001</c:v>
                </c:pt>
                <c:pt idx="5">
                  <c:v>1219.74</c:v>
                </c:pt>
                <c:pt idx="6">
                  <c:v>1255.78</c:v>
                </c:pt>
                <c:pt idx="7">
                  <c:v>1293.07</c:v>
                </c:pt>
                <c:pt idx="8">
                  <c:v>1339.8</c:v>
                </c:pt>
                <c:pt idx="9">
                  <c:v>1418.39</c:v>
                </c:pt>
                <c:pt idx="10">
                  <c:v>1505.99</c:v>
                </c:pt>
              </c:numCache>
            </c:numRef>
          </c:val>
          <c:extLst>
            <c:ext xmlns:c16="http://schemas.microsoft.com/office/drawing/2014/chart" uri="{C3380CC4-5D6E-409C-BE32-E72D297353CC}">
              <c16:uniqueId val="{00000004-A49C-4FCD-A897-DC1A25A30720}"/>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q4_8_12_16_25_36_Fig!$R$73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5-A49C-4FCD-A897-DC1A25A30720}"/>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6-A49C-4FCD-A897-DC1A25A30720}"/>
              </c:ext>
            </c:extLst>
          </c:dPt>
          <c:dLbls>
            <c:dLbl>
              <c:idx val="0"/>
              <c:layout>
                <c:manualLayout>
                  <c:x val="2.2241993710124357E-2"/>
                  <c:y val="-0.12013416986614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9C-4FCD-A897-DC1A25A30720}"/>
                </c:ext>
              </c:extLst>
            </c:dLbl>
            <c:dLbl>
              <c:idx val="10"/>
              <c:layout>
                <c:manualLayout>
                  <c:x val="-0.22687549822754238"/>
                  <c:y val="-7.9306513723648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9C-4FCD-A897-DC1A25A30720}"/>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9C-4FCD-A897-DC1A25A30720}"/>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q4_8_12_16_25_36_Fig!$S$71:$AC$71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q4_8_12_16_25_36_Fig!$S$73:$AC$73</c:f>
              <c:numCache>
                <c:formatCode>#,##0.00</c:formatCode>
                <c:ptCount val="11"/>
                <c:pt idx="0">
                  <c:v>1427.96</c:v>
                </c:pt>
                <c:pt idx="1">
                  <c:v>1421.25</c:v>
                </c:pt>
                <c:pt idx="2">
                  <c:v>1420.24</c:v>
                </c:pt>
                <c:pt idx="3">
                  <c:v>1424.28</c:v>
                </c:pt>
                <c:pt idx="4">
                  <c:v>1447.51</c:v>
                </c:pt>
                <c:pt idx="5">
                  <c:v>1480.76</c:v>
                </c:pt>
                <c:pt idx="6">
                  <c:v>1518.6</c:v>
                </c:pt>
                <c:pt idx="7">
                  <c:v>1558.34</c:v>
                </c:pt>
                <c:pt idx="8">
                  <c:v>1609.14</c:v>
                </c:pt>
                <c:pt idx="9">
                  <c:v>1705.14</c:v>
                </c:pt>
                <c:pt idx="10">
                  <c:v>1817.17</c:v>
                </c:pt>
              </c:numCache>
            </c:numRef>
          </c:val>
          <c:smooth val="0"/>
          <c:extLst>
            <c:ext xmlns:c16="http://schemas.microsoft.com/office/drawing/2014/chart" uri="{C3380CC4-5D6E-409C-BE32-E72D297353CC}">
              <c16:uniqueId val="{00000008-A49C-4FCD-A897-DC1A25A30720}"/>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20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112118055555555"/>
          <c:w val="0.49070486111111111"/>
          <c:h val="8.36010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5875" cmpd="sng">
              <a:noFill/>
              <a:prstDash val="soli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q4_8_12_16_25_36_Fig!$AR$38</c:f>
              <c:strCache>
                <c:ptCount val="1"/>
                <c:pt idx="0">
                  <c:v>Norte</c:v>
                </c:pt>
              </c:strCache>
            </c:strRef>
          </c:cat>
          <c:val>
            <c:numRef>
              <c:extLst>
                <c:ext xmlns:c15="http://schemas.microsoft.com/office/drawing/2012/chart" uri="{02D57815-91ED-43cb-92C2-25804820EDAC}">
                  <c15:fullRef>
                    <c15:sqref>q4_8_12_16_25_36_Fig!$AS$38:$AS$44</c15:sqref>
                  </c15:fullRef>
                </c:ext>
              </c:extLst>
              <c:f>q4_8_12_16_25_36_Fig!$AS$38</c:f>
              <c:numCache>
                <c:formatCode>#,##0</c:formatCode>
                <c:ptCount val="1"/>
                <c:pt idx="0">
                  <c:v>112985.99999999999</c:v>
                </c:pt>
              </c:numCache>
            </c:numRef>
          </c:val>
          <c:extLst>
            <c:ext xmlns:c16="http://schemas.microsoft.com/office/drawing/2014/chart" uri="{C3380CC4-5D6E-409C-BE32-E72D297353CC}">
              <c16:uniqueId val="{00000000-3306-48D2-8CE1-BA805F620CB1}"/>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q4_8_12_16_25_36_Fig!$AR$38</c:f>
              <c:strCache>
                <c:ptCount val="1"/>
                <c:pt idx="0">
                  <c:v>Norte</c:v>
                </c:pt>
              </c:strCache>
            </c:strRef>
          </c:cat>
          <c:val>
            <c:numRef>
              <c:extLst>
                <c:ext xmlns:c15="http://schemas.microsoft.com/office/drawing/2012/chart" uri="{02D57815-91ED-43cb-92C2-25804820EDAC}">
                  <c15:fullRef>
                    <c15:sqref>q4_8_12_16_25_36_Fig!$AT$38:$AT$44</c15:sqref>
                  </c15:fullRef>
                </c:ext>
              </c:extLst>
              <c:f>q4_8_12_16_25_36_Fig!$AT$38</c:f>
              <c:numCache>
                <c:formatCode>#,##0</c:formatCode>
                <c:ptCount val="1"/>
                <c:pt idx="0">
                  <c:v>129002.00000000001</c:v>
                </c:pt>
              </c:numCache>
            </c:numRef>
          </c:val>
          <c:extLst>
            <c:ext xmlns:c16="http://schemas.microsoft.com/office/drawing/2014/chart" uri="{C3380CC4-5D6E-409C-BE32-E72D297353CC}">
              <c16:uniqueId val="{00000001-3306-48D2-8CE1-BA805F620CB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q4_8_12_16_25_36_Fig!$AR$39</c:f>
              <c:strCache>
                <c:ptCount val="1"/>
                <c:pt idx="0">
                  <c:v>Centro</c:v>
                </c:pt>
              </c:strCache>
            </c:strRef>
          </c:cat>
          <c:val>
            <c:numRef>
              <c:extLst>
                <c:ext xmlns:c15="http://schemas.microsoft.com/office/drawing/2012/chart" uri="{02D57815-91ED-43cb-92C2-25804820EDAC}">
                  <c15:fullRef>
                    <c15:sqref>q4_8_12_16_25_36_Fig!$AS$38:$AS$44</c15:sqref>
                  </c15:fullRef>
                </c:ext>
              </c:extLst>
              <c:f>q4_8_12_16_25_36_Fig!$AS$39</c:f>
              <c:numCache>
                <c:formatCode>#,##0</c:formatCode>
                <c:ptCount val="1"/>
                <c:pt idx="0">
                  <c:v>47066.000000000007</c:v>
                </c:pt>
              </c:numCache>
            </c:numRef>
          </c:val>
          <c:extLst>
            <c:ext xmlns:c16="http://schemas.microsoft.com/office/drawing/2014/chart" uri="{C3380CC4-5D6E-409C-BE32-E72D297353CC}">
              <c16:uniqueId val="{00000000-17F5-4BC1-A117-99C450BF8C5C}"/>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q4_8_12_16_25_36_Fig!$AR$39</c:f>
              <c:strCache>
                <c:ptCount val="1"/>
                <c:pt idx="0">
                  <c:v>Centro</c:v>
                </c:pt>
              </c:strCache>
            </c:strRef>
          </c:cat>
          <c:val>
            <c:numRef>
              <c:extLst>
                <c:ext xmlns:c15="http://schemas.microsoft.com/office/drawing/2012/chart" uri="{02D57815-91ED-43cb-92C2-25804820EDAC}">
                  <c15:fullRef>
                    <c15:sqref>q4_8_12_16_25_36_Fig!$AT$38:$AT$44</c15:sqref>
                  </c15:fullRef>
                </c:ext>
              </c:extLst>
              <c:f>q4_8_12_16_25_36_Fig!$AT$39</c:f>
              <c:numCache>
                <c:formatCode>#,##0</c:formatCode>
                <c:ptCount val="1"/>
                <c:pt idx="0">
                  <c:v>55620.000000000007</c:v>
                </c:pt>
              </c:numCache>
            </c:numRef>
          </c:val>
          <c:extLst>
            <c:ext xmlns:c16="http://schemas.microsoft.com/office/drawing/2014/chart" uri="{C3380CC4-5D6E-409C-BE32-E72D297353CC}">
              <c16:uniqueId val="{00000001-17F5-4BC1-A117-99C450BF8C5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q4_8_12_16_25_36_Fig!$AR$40</c:f>
              <c:strCache>
                <c:ptCount val="1"/>
                <c:pt idx="0">
                  <c:v>Oeste e Vale do Tejo</c:v>
                </c:pt>
              </c:strCache>
            </c:strRef>
          </c:cat>
          <c:val>
            <c:numRef>
              <c:extLst>
                <c:ext xmlns:c15="http://schemas.microsoft.com/office/drawing/2012/chart" uri="{02D57815-91ED-43cb-92C2-25804820EDAC}">
                  <c15:fullRef>
                    <c15:sqref>q4_8_12_16_25_36_Fig!$AS$38:$AS$44</c15:sqref>
                  </c15:fullRef>
                </c:ext>
              </c:extLst>
              <c:f>q4_8_12_16_25_36_Fig!$AS$40</c:f>
              <c:numCache>
                <c:formatCode>#,##0</c:formatCode>
                <c:ptCount val="1"/>
                <c:pt idx="0">
                  <c:v>23798</c:v>
                </c:pt>
              </c:numCache>
            </c:numRef>
          </c:val>
          <c:extLst>
            <c:ext xmlns:c16="http://schemas.microsoft.com/office/drawing/2014/chart" uri="{C3380CC4-5D6E-409C-BE32-E72D297353CC}">
              <c16:uniqueId val="{00000000-C379-4AA7-984A-3B322BED12A4}"/>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q4_8_12_16_25_36_Fig!$AR$40</c:f>
              <c:strCache>
                <c:ptCount val="1"/>
                <c:pt idx="0">
                  <c:v>Oeste e Vale do Tejo</c:v>
                </c:pt>
              </c:strCache>
            </c:strRef>
          </c:cat>
          <c:val>
            <c:numRef>
              <c:extLst>
                <c:ext xmlns:c15="http://schemas.microsoft.com/office/drawing/2012/chart" uri="{02D57815-91ED-43cb-92C2-25804820EDAC}">
                  <c15:fullRef>
                    <c15:sqref>q4_8_12_16_25_36_Fig!$AT$38:$AT$44</c15:sqref>
                  </c15:fullRef>
                </c:ext>
              </c:extLst>
              <c:f>q4_8_12_16_25_36_Fig!$AT$40</c:f>
              <c:numCache>
                <c:formatCode>#,##0</c:formatCode>
                <c:ptCount val="1"/>
                <c:pt idx="0">
                  <c:v>28008.000000000004</c:v>
                </c:pt>
              </c:numCache>
            </c:numRef>
          </c:val>
          <c:extLst>
            <c:ext xmlns:c16="http://schemas.microsoft.com/office/drawing/2014/chart" uri="{C3380CC4-5D6E-409C-BE32-E72D297353CC}">
              <c16:uniqueId val="{00000001-C379-4AA7-984A-3B322BED12A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majorUnit val="4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q4_8_12_16_25_36_Fig!$AR$42</c:f>
              <c:strCache>
                <c:ptCount val="1"/>
                <c:pt idx="0">
                  <c:v>Península de Setúbal</c:v>
                </c:pt>
              </c:strCache>
            </c:strRef>
          </c:cat>
          <c:val>
            <c:numRef>
              <c:extLst>
                <c:ext xmlns:c15="http://schemas.microsoft.com/office/drawing/2012/chart" uri="{02D57815-91ED-43cb-92C2-25804820EDAC}">
                  <c15:fullRef>
                    <c15:sqref>q4_8_12_16_25_36_Fig!$AS$38:$AS$44</c15:sqref>
                  </c15:fullRef>
                </c:ext>
              </c:extLst>
              <c:f>q4_8_12_16_25_36_Fig!$AS$42</c:f>
              <c:numCache>
                <c:formatCode>#,##0</c:formatCode>
                <c:ptCount val="1"/>
                <c:pt idx="0">
                  <c:v>14910</c:v>
                </c:pt>
              </c:numCache>
            </c:numRef>
          </c:val>
          <c:extLst>
            <c:ext xmlns:c16="http://schemas.microsoft.com/office/drawing/2014/chart" uri="{C3380CC4-5D6E-409C-BE32-E72D297353CC}">
              <c16:uniqueId val="{00000000-DFFA-4B81-BF7C-68426DBE9865}"/>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q4_8_12_16_25_36_Fig!$AR$42</c:f>
              <c:strCache>
                <c:ptCount val="1"/>
                <c:pt idx="0">
                  <c:v>Península de Setúbal</c:v>
                </c:pt>
              </c:strCache>
            </c:strRef>
          </c:cat>
          <c:val>
            <c:numRef>
              <c:extLst>
                <c:ext xmlns:c15="http://schemas.microsoft.com/office/drawing/2012/chart" uri="{02D57815-91ED-43cb-92C2-25804820EDAC}">
                  <c15:fullRef>
                    <c15:sqref>q4_8_12_16_25_36_Fig!$AT$38:$AT$44</c15:sqref>
                  </c15:fullRef>
                </c:ext>
              </c:extLst>
              <c:f>q4_8_12_16_25_36_Fig!$AT$42</c:f>
              <c:numCache>
                <c:formatCode>#,##0</c:formatCode>
                <c:ptCount val="1"/>
                <c:pt idx="0">
                  <c:v>18085</c:v>
                </c:pt>
              </c:numCache>
            </c:numRef>
          </c:val>
          <c:extLst>
            <c:ext xmlns:c16="http://schemas.microsoft.com/office/drawing/2014/chart" uri="{C3380CC4-5D6E-409C-BE32-E72D297353CC}">
              <c16:uniqueId val="{00000001-DFFA-4B81-BF7C-68426DBE986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 do</a:t>
            </a:r>
            <a:r>
              <a:rPr lang="pt-PT" sz="900" b="1" baseline="0">
                <a:solidFill>
                  <a:schemeClr val="tx2">
                    <a:lumMod val="75000"/>
                  </a:schemeClr>
                </a:solidFill>
              </a:rPr>
              <a:t> estabelecimento</a:t>
            </a:r>
            <a:endParaRPr lang="pt-PT" sz="900" b="1">
              <a:solidFill>
                <a:schemeClr val="tx2">
                  <a:lumMod val="75000"/>
                </a:schemeClr>
              </a:solidFill>
            </a:endParaRP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q11_q13_q15_q17_Fig!$R$7</c:f>
              <c:strCache>
                <c:ptCount val="1"/>
                <c:pt idx="0">
                  <c:v>A</c:v>
                </c:pt>
              </c:strCache>
            </c:strRef>
          </c:tx>
          <c:spPr>
            <a:solidFill>
              <a:schemeClr val="accent1"/>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q11_q13_q15_q17_Fig!$S$7:$AC$7</c:f>
              <c:numCache>
                <c:formatCode>General</c:formatCode>
                <c:ptCount val="11"/>
                <c:pt idx="0">
                  <c:v>57477</c:v>
                </c:pt>
                <c:pt idx="1">
                  <c:v>59974</c:v>
                </c:pt>
                <c:pt idx="2">
                  <c:v>62767</c:v>
                </c:pt>
                <c:pt idx="3">
                  <c:v>66231</c:v>
                </c:pt>
                <c:pt idx="4">
                  <c:v>67785</c:v>
                </c:pt>
                <c:pt idx="5">
                  <c:v>71264</c:v>
                </c:pt>
                <c:pt idx="6">
                  <c:v>72158</c:v>
                </c:pt>
                <c:pt idx="7">
                  <c:v>76190</c:v>
                </c:pt>
                <c:pt idx="8">
                  <c:v>74598</c:v>
                </c:pt>
                <c:pt idx="9">
                  <c:v>80596</c:v>
                </c:pt>
                <c:pt idx="10">
                  <c:v>84693</c:v>
                </c:pt>
              </c:numCache>
            </c:numRef>
          </c:val>
          <c:extLst xmlns:c15="http://schemas.microsoft.com/office/drawing/2012/chart">
            <c:ext xmlns:c16="http://schemas.microsoft.com/office/drawing/2014/chart" uri="{C3380CC4-5D6E-409C-BE32-E72D297353CC}">
              <c16:uniqueId val="{00000000-6646-49E4-B77D-FBBB2FE74EB7}"/>
            </c:ext>
          </c:extLst>
        </c:ser>
        <c:ser>
          <c:idx val="1"/>
          <c:order val="1"/>
          <c:tx>
            <c:strRef>
              <c:f>q11_q13_q15_q17_Fig!$R$8</c:f>
              <c:strCache>
                <c:ptCount val="1"/>
                <c:pt idx="0">
                  <c:v>B</c:v>
                </c:pt>
              </c:strCache>
            </c:strRef>
          </c:tx>
          <c:spPr>
            <a:solidFill>
              <a:schemeClr val="accent3"/>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q11_q13_q15_q17_Fig!$S$8:$AC$8</c:f>
              <c:numCache>
                <c:formatCode>General</c:formatCode>
                <c:ptCount val="11"/>
                <c:pt idx="0">
                  <c:v>8685</c:v>
                </c:pt>
                <c:pt idx="1">
                  <c:v>8514</c:v>
                </c:pt>
                <c:pt idx="2">
                  <c:v>8479</c:v>
                </c:pt>
                <c:pt idx="3">
                  <c:v>8384</c:v>
                </c:pt>
                <c:pt idx="4">
                  <c:v>8723</c:v>
                </c:pt>
                <c:pt idx="5">
                  <c:v>8644</c:v>
                </c:pt>
                <c:pt idx="6">
                  <c:v>8455</c:v>
                </c:pt>
                <c:pt idx="7">
                  <c:v>8318</c:v>
                </c:pt>
                <c:pt idx="8">
                  <c:v>8437</c:v>
                </c:pt>
                <c:pt idx="9">
                  <c:v>8822</c:v>
                </c:pt>
                <c:pt idx="10">
                  <c:v>9420</c:v>
                </c:pt>
              </c:numCache>
            </c:numRef>
          </c:val>
          <c:extLst>
            <c:ext xmlns:c16="http://schemas.microsoft.com/office/drawing/2014/chart" uri="{C3380CC4-5D6E-409C-BE32-E72D297353CC}">
              <c16:uniqueId val="{00000001-6646-49E4-B77D-FBBB2FE74EB7}"/>
            </c:ext>
          </c:extLst>
        </c:ser>
        <c:ser>
          <c:idx val="2"/>
          <c:order val="2"/>
          <c:tx>
            <c:strRef>
              <c:f>q11_q13_q15_q17_Fig!$R$9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q11_q13_q15_q17_Fig!$S$9:$AC$9</c:f>
              <c:numCache>
                <c:formatCode>General</c:formatCode>
                <c:ptCount val="11"/>
                <c:pt idx="0">
                  <c:v>566564</c:v>
                </c:pt>
                <c:pt idx="1">
                  <c:v>583685</c:v>
                </c:pt>
                <c:pt idx="2">
                  <c:v>598482</c:v>
                </c:pt>
                <c:pt idx="3">
                  <c:v>615556</c:v>
                </c:pt>
                <c:pt idx="4">
                  <c:v>639429</c:v>
                </c:pt>
                <c:pt idx="5">
                  <c:v>659459</c:v>
                </c:pt>
                <c:pt idx="6">
                  <c:v>650638</c:v>
                </c:pt>
                <c:pt idx="7">
                  <c:v>639517</c:v>
                </c:pt>
                <c:pt idx="8">
                  <c:v>636329</c:v>
                </c:pt>
                <c:pt idx="9">
                  <c:v>667361</c:v>
                </c:pt>
                <c:pt idx="10">
                  <c:v>675754</c:v>
                </c:pt>
              </c:numCache>
            </c:numRef>
          </c:val>
          <c:extLst>
            <c:ext xmlns:c16="http://schemas.microsoft.com/office/drawing/2014/chart" uri="{C3380CC4-5D6E-409C-BE32-E72D297353CC}">
              <c16:uniqueId val="{00000002-6646-49E4-B77D-FBBB2FE74EB7}"/>
            </c:ext>
          </c:extLst>
        </c:ser>
        <c:ser>
          <c:idx val="3"/>
          <c:order val="3"/>
          <c:tx>
            <c:strRef>
              <c:f>q11_q13_q15_q17_Fig!$R$10</c:f>
              <c:strCache>
                <c:ptCount val="1"/>
                <c:pt idx="0">
                  <c:v>D</c:v>
                </c:pt>
              </c:strCache>
            </c:strRef>
          </c:tx>
          <c:spPr>
            <a:solidFill>
              <a:schemeClr val="accent1">
                <a:lumMod val="6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q11_q13_q15_q17_Fig!$S$10:$AC$10</c:f>
              <c:numCache>
                <c:formatCode>General</c:formatCode>
                <c:ptCount val="11"/>
                <c:pt idx="0">
                  <c:v>6642</c:v>
                </c:pt>
                <c:pt idx="1">
                  <c:v>6369</c:v>
                </c:pt>
                <c:pt idx="2">
                  <c:v>6704</c:v>
                </c:pt>
                <c:pt idx="3">
                  <c:v>6470</c:v>
                </c:pt>
                <c:pt idx="4">
                  <c:v>6573</c:v>
                </c:pt>
                <c:pt idx="5">
                  <c:v>6821</c:v>
                </c:pt>
                <c:pt idx="6">
                  <c:v>6807</c:v>
                </c:pt>
                <c:pt idx="7">
                  <c:v>6753</c:v>
                </c:pt>
                <c:pt idx="8">
                  <c:v>6643</c:v>
                </c:pt>
                <c:pt idx="9">
                  <c:v>6615</c:v>
                </c:pt>
                <c:pt idx="10">
                  <c:v>7038</c:v>
                </c:pt>
              </c:numCache>
            </c:numRef>
          </c:val>
          <c:extLst>
            <c:ext xmlns:c16="http://schemas.microsoft.com/office/drawing/2014/chart" uri="{C3380CC4-5D6E-409C-BE32-E72D297353CC}">
              <c16:uniqueId val="{00000003-6646-49E4-B77D-FBBB2FE74EB7}"/>
            </c:ext>
          </c:extLst>
        </c:ser>
        <c:ser>
          <c:idx val="4"/>
          <c:order val="4"/>
          <c:tx>
            <c:strRef>
              <c:f>q11_q13_q15_q17_Fig!$R$11</c:f>
              <c:strCache>
                <c:ptCount val="1"/>
                <c:pt idx="0">
                  <c:v>E</c:v>
                </c:pt>
              </c:strCache>
            </c:strRef>
          </c:tx>
          <c:spPr>
            <a:solidFill>
              <a:schemeClr val="accent3">
                <a:lumMod val="6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q11_q13_q15_q17_Fig!$S$11:$AC$11</c:f>
              <c:numCache>
                <c:formatCode>General</c:formatCode>
                <c:ptCount val="11"/>
                <c:pt idx="0">
                  <c:v>20721</c:v>
                </c:pt>
                <c:pt idx="1">
                  <c:v>20728</c:v>
                </c:pt>
                <c:pt idx="2">
                  <c:v>21233</c:v>
                </c:pt>
                <c:pt idx="3">
                  <c:v>22585</c:v>
                </c:pt>
                <c:pt idx="4">
                  <c:v>23439</c:v>
                </c:pt>
                <c:pt idx="5">
                  <c:v>23927</c:v>
                </c:pt>
                <c:pt idx="6">
                  <c:v>25301</c:v>
                </c:pt>
                <c:pt idx="7">
                  <c:v>26123</c:v>
                </c:pt>
                <c:pt idx="8">
                  <c:v>27869</c:v>
                </c:pt>
                <c:pt idx="9">
                  <c:v>29036</c:v>
                </c:pt>
                <c:pt idx="10">
                  <c:v>29674</c:v>
                </c:pt>
              </c:numCache>
            </c:numRef>
          </c:val>
          <c:extLst>
            <c:ext xmlns:c16="http://schemas.microsoft.com/office/drawing/2014/chart" uri="{C3380CC4-5D6E-409C-BE32-E72D297353CC}">
              <c16:uniqueId val="{00000004-6646-49E4-B77D-FBBB2FE74EB7}"/>
            </c:ext>
          </c:extLst>
        </c:ser>
        <c:ser>
          <c:idx val="5"/>
          <c:order val="5"/>
          <c:tx>
            <c:strRef>
              <c:f>q11_q13_q15_q17_Fig!$R$12</c:f>
              <c:strCache>
                <c:ptCount val="1"/>
                <c:pt idx="0">
                  <c:v>F</c:v>
                </c:pt>
              </c:strCache>
            </c:strRef>
          </c:tx>
          <c:spPr>
            <a:solidFill>
              <a:schemeClr val="accent5">
                <a:lumMod val="60000"/>
              </a:schemeClr>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4DF5-4D5B-A7E8-8DA0DB9067D4}"/>
                </c:ext>
              </c:extLst>
            </c:dLbl>
            <c:dLbl>
              <c:idx val="4"/>
              <c:delete val="1"/>
              <c:extLst>
                <c:ext xmlns:c15="http://schemas.microsoft.com/office/drawing/2012/chart" uri="{CE6537A1-D6FC-4f65-9D91-7224C49458BB}"/>
                <c:ext xmlns:c16="http://schemas.microsoft.com/office/drawing/2014/chart" uri="{C3380CC4-5D6E-409C-BE32-E72D297353CC}">
                  <c16:uniqueId val="{00000005-6646-49E4-B77D-FBBB2FE74EB7}"/>
                </c:ext>
              </c:extLst>
            </c:dLbl>
            <c:dLbl>
              <c:idx val="5"/>
              <c:delete val="1"/>
              <c:extLst>
                <c:ext xmlns:c15="http://schemas.microsoft.com/office/drawing/2012/chart" uri="{CE6537A1-D6FC-4f65-9D91-7224C49458BB}"/>
                <c:ext xmlns:c16="http://schemas.microsoft.com/office/drawing/2014/chart" uri="{C3380CC4-5D6E-409C-BE32-E72D297353CC}">
                  <c16:uniqueId val="{00000006-6646-49E4-B77D-FBBB2FE74EB7}"/>
                </c:ext>
              </c:extLst>
            </c:dLbl>
            <c:dLbl>
              <c:idx val="6"/>
              <c:delete val="1"/>
              <c:extLst>
                <c:ext xmlns:c15="http://schemas.microsoft.com/office/drawing/2012/chart" uri="{CE6537A1-D6FC-4f65-9D91-7224C49458BB}"/>
                <c:ext xmlns:c16="http://schemas.microsoft.com/office/drawing/2014/chart" uri="{C3380CC4-5D6E-409C-BE32-E72D297353CC}">
                  <c16:uniqueId val="{00000007-6646-49E4-B77D-FBBB2FE74EB7}"/>
                </c:ext>
              </c:extLst>
            </c:dLbl>
            <c:dLbl>
              <c:idx val="7"/>
              <c:delete val="1"/>
              <c:extLst>
                <c:ext xmlns:c15="http://schemas.microsoft.com/office/drawing/2012/chart" uri="{CE6537A1-D6FC-4f65-9D91-7224C49458BB}"/>
                <c:ext xmlns:c16="http://schemas.microsoft.com/office/drawing/2014/chart" uri="{C3380CC4-5D6E-409C-BE32-E72D297353CC}">
                  <c16:uniqueId val="{00000008-6646-49E4-B77D-FBBB2FE74EB7}"/>
                </c:ext>
              </c:extLst>
            </c:dLbl>
            <c:dLbl>
              <c:idx val="10"/>
              <c:delete val="1"/>
              <c:extLst>
                <c:ext xmlns:c15="http://schemas.microsoft.com/office/drawing/2012/chart" uri="{CE6537A1-D6FC-4f65-9D91-7224C49458BB}"/>
                <c:ext xmlns:c16="http://schemas.microsoft.com/office/drawing/2014/chart" uri="{C3380CC4-5D6E-409C-BE32-E72D297353CC}">
                  <c16:uniqueId val="{00000002-4DF5-4D5B-A7E8-8DA0DB9067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q11_q13_q15_q17_Fig!$S$12:$AC$12</c:f>
              <c:numCache>
                <c:formatCode>General</c:formatCode>
                <c:ptCount val="11"/>
                <c:pt idx="0">
                  <c:v>197944</c:v>
                </c:pt>
                <c:pt idx="1">
                  <c:v>197951</c:v>
                </c:pt>
                <c:pt idx="2">
                  <c:v>198073</c:v>
                </c:pt>
                <c:pt idx="3">
                  <c:v>203068</c:v>
                </c:pt>
                <c:pt idx="4">
                  <c:v>215365</c:v>
                </c:pt>
                <c:pt idx="5">
                  <c:v>227394</c:v>
                </c:pt>
                <c:pt idx="6">
                  <c:v>241160</c:v>
                </c:pt>
                <c:pt idx="7">
                  <c:v>254572</c:v>
                </c:pt>
                <c:pt idx="8">
                  <c:v>256768</c:v>
                </c:pt>
                <c:pt idx="9">
                  <c:v>277485</c:v>
                </c:pt>
                <c:pt idx="10">
                  <c:v>300958</c:v>
                </c:pt>
              </c:numCache>
            </c:numRef>
          </c:val>
          <c:extLst>
            <c:ext xmlns:c16="http://schemas.microsoft.com/office/drawing/2014/chart" uri="{C3380CC4-5D6E-409C-BE32-E72D297353CC}">
              <c16:uniqueId val="{0000000A-6646-49E4-B77D-FBBB2FE74EB7}"/>
            </c:ext>
          </c:extLst>
        </c:ser>
        <c:ser>
          <c:idx val="6"/>
          <c:order val="6"/>
          <c:tx>
            <c:strRef>
              <c:f>q11_q13_q15_q17_Fig!$R$13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q11_q13_q15_q17_Fig!$S$13:$AC$13</c:f>
              <c:numCache>
                <c:formatCode>General</c:formatCode>
                <c:ptCount val="11"/>
                <c:pt idx="0">
                  <c:v>501601</c:v>
                </c:pt>
                <c:pt idx="1">
                  <c:v>513639</c:v>
                </c:pt>
                <c:pt idx="2">
                  <c:v>528110</c:v>
                </c:pt>
                <c:pt idx="3">
                  <c:v>541723</c:v>
                </c:pt>
                <c:pt idx="4">
                  <c:v>556229</c:v>
                </c:pt>
                <c:pt idx="5">
                  <c:v>571387</c:v>
                </c:pt>
                <c:pt idx="6">
                  <c:v>585267</c:v>
                </c:pt>
                <c:pt idx="7">
                  <c:v>572866</c:v>
                </c:pt>
                <c:pt idx="8">
                  <c:v>579715</c:v>
                </c:pt>
                <c:pt idx="9">
                  <c:v>606424</c:v>
                </c:pt>
                <c:pt idx="10">
                  <c:v>624971</c:v>
                </c:pt>
              </c:numCache>
            </c:numRef>
          </c:val>
          <c:extLst>
            <c:ext xmlns:c16="http://schemas.microsoft.com/office/drawing/2014/chart" uri="{C3380CC4-5D6E-409C-BE32-E72D297353CC}">
              <c16:uniqueId val="{0000000B-6646-49E4-B77D-FBBB2FE74EB7}"/>
            </c:ext>
          </c:extLst>
        </c:ser>
        <c:ser>
          <c:idx val="7"/>
          <c:order val="7"/>
          <c:tx>
            <c:strRef>
              <c:f>q11_q13_q15_q17_Fig!$R$14</c:f>
              <c:strCache>
                <c:ptCount val="1"/>
                <c:pt idx="0">
                  <c:v>H</c:v>
                </c:pt>
              </c:strCache>
            </c:strRef>
          </c:tx>
          <c:spPr>
            <a:solidFill>
              <a:schemeClr val="accent3">
                <a:lumMod val="80000"/>
                <a:lumOff val="2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q11_q13_q15_q17_Fig!$S$14:$AC$14</c:f>
              <c:numCache>
                <c:formatCode>General</c:formatCode>
                <c:ptCount val="11"/>
                <c:pt idx="0">
                  <c:v>124544</c:v>
                </c:pt>
                <c:pt idx="1">
                  <c:v>130835</c:v>
                </c:pt>
                <c:pt idx="2">
                  <c:v>134827</c:v>
                </c:pt>
                <c:pt idx="3">
                  <c:v>140298</c:v>
                </c:pt>
                <c:pt idx="4">
                  <c:v>147627</c:v>
                </c:pt>
                <c:pt idx="5">
                  <c:v>153184</c:v>
                </c:pt>
                <c:pt idx="6">
                  <c:v>154795</c:v>
                </c:pt>
                <c:pt idx="7">
                  <c:v>153703</c:v>
                </c:pt>
                <c:pt idx="8">
                  <c:v>150030</c:v>
                </c:pt>
                <c:pt idx="9">
                  <c:v>157420</c:v>
                </c:pt>
                <c:pt idx="10">
                  <c:v>167296</c:v>
                </c:pt>
              </c:numCache>
            </c:numRef>
          </c:val>
          <c:extLst>
            <c:ext xmlns:c16="http://schemas.microsoft.com/office/drawing/2014/chart" uri="{C3380CC4-5D6E-409C-BE32-E72D297353CC}">
              <c16:uniqueId val="{0000000C-6646-49E4-B77D-FBBB2FE74EB7}"/>
            </c:ext>
          </c:extLst>
        </c:ser>
        <c:ser>
          <c:idx val="8"/>
          <c:order val="8"/>
          <c:tx>
            <c:strRef>
              <c:f>q11_q13_q15_q17_Fig!$R$15</c:f>
              <c:strCache>
                <c:ptCount val="1"/>
                <c:pt idx="0">
                  <c:v>I</c:v>
                </c:pt>
              </c:strCache>
            </c:strRef>
          </c:tx>
          <c:spPr>
            <a:solidFill>
              <a:schemeClr val="accent5">
                <a:lumMod val="80000"/>
                <a:lumOff val="2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646-49E4-B77D-FBBB2FE74EB7}"/>
                </c:ext>
              </c:extLst>
            </c:dLbl>
            <c:dLbl>
              <c:idx val="1"/>
              <c:delete val="1"/>
              <c:extLst>
                <c:ext xmlns:c15="http://schemas.microsoft.com/office/drawing/2012/chart" uri="{CE6537A1-D6FC-4f65-9D91-7224C49458BB}"/>
                <c:ext xmlns:c16="http://schemas.microsoft.com/office/drawing/2014/chart" uri="{C3380CC4-5D6E-409C-BE32-E72D297353CC}">
                  <c16:uniqueId val="{0000000E-6646-49E4-B77D-FBBB2FE74EB7}"/>
                </c:ext>
              </c:extLst>
            </c:dLbl>
            <c:dLbl>
              <c:idx val="2"/>
              <c:delete val="1"/>
              <c:extLst>
                <c:ext xmlns:c15="http://schemas.microsoft.com/office/drawing/2012/chart" uri="{CE6537A1-D6FC-4f65-9D91-7224C49458BB}"/>
                <c:ext xmlns:c16="http://schemas.microsoft.com/office/drawing/2014/chart" uri="{C3380CC4-5D6E-409C-BE32-E72D297353CC}">
                  <c16:uniqueId val="{0000000F-6646-49E4-B77D-FBBB2FE74EB7}"/>
                </c:ext>
              </c:extLst>
            </c:dLbl>
            <c:dLbl>
              <c:idx val="8"/>
              <c:delete val="1"/>
              <c:extLst>
                <c:ext xmlns:c15="http://schemas.microsoft.com/office/drawing/2012/chart" uri="{CE6537A1-D6FC-4f65-9D91-7224C49458BB}"/>
                <c:ext xmlns:c16="http://schemas.microsoft.com/office/drawing/2014/chart" uri="{C3380CC4-5D6E-409C-BE32-E72D297353CC}">
                  <c16:uniqueId val="{00000001-4DF5-4D5B-A7E8-8DA0DB9067D4}"/>
                </c:ext>
              </c:extLst>
            </c:dLbl>
            <c:dLbl>
              <c:idx val="9"/>
              <c:delete val="1"/>
              <c:extLst>
                <c:ext xmlns:c15="http://schemas.microsoft.com/office/drawing/2012/chart" uri="{CE6537A1-D6FC-4f65-9D91-7224C49458BB}"/>
                <c:ext xmlns:c16="http://schemas.microsoft.com/office/drawing/2014/chart" uri="{C3380CC4-5D6E-409C-BE32-E72D297353CC}">
                  <c16:uniqueId val="{00000011-6646-49E4-B77D-FBBB2FE74EB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q11_q13_q15_q17_Fig!$S$15:$AC$15</c:f>
              <c:numCache>
                <c:formatCode>General</c:formatCode>
                <c:ptCount val="11"/>
                <c:pt idx="0">
                  <c:v>184439</c:v>
                </c:pt>
                <c:pt idx="1">
                  <c:v>193103</c:v>
                </c:pt>
                <c:pt idx="2">
                  <c:v>207980</c:v>
                </c:pt>
                <c:pt idx="3">
                  <c:v>223137</c:v>
                </c:pt>
                <c:pt idx="4">
                  <c:v>243205</c:v>
                </c:pt>
                <c:pt idx="5">
                  <c:v>261730</c:v>
                </c:pt>
                <c:pt idx="6">
                  <c:v>270796</c:v>
                </c:pt>
                <c:pt idx="7">
                  <c:v>233699</c:v>
                </c:pt>
                <c:pt idx="8">
                  <c:v>239745</c:v>
                </c:pt>
                <c:pt idx="9">
                  <c:v>279781</c:v>
                </c:pt>
                <c:pt idx="10">
                  <c:v>307448</c:v>
                </c:pt>
              </c:numCache>
            </c:numRef>
          </c:val>
          <c:extLst>
            <c:ext xmlns:c16="http://schemas.microsoft.com/office/drawing/2014/chart" uri="{C3380CC4-5D6E-409C-BE32-E72D297353CC}">
              <c16:uniqueId val="{00000013-6646-49E4-B77D-FBBB2FE74EB7}"/>
            </c:ext>
          </c:extLst>
        </c:ser>
        <c:ser>
          <c:idx val="9"/>
          <c:order val="9"/>
          <c:tx>
            <c:strRef>
              <c:f>q11_q13_q15_q17_Fig!$R$16</c:f>
              <c:strCache>
                <c:ptCount val="1"/>
                <c:pt idx="0">
                  <c:v>J</c:v>
                </c:pt>
              </c:strCache>
            </c:strRef>
          </c:tx>
          <c:spPr>
            <a:solidFill>
              <a:schemeClr val="accent1">
                <a:lumMod val="8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q11_q13_q15_q17_Fig!$S$16:$AC$16</c:f>
              <c:numCache>
                <c:formatCode>General</c:formatCode>
                <c:ptCount val="11"/>
                <c:pt idx="0">
                  <c:v>68157</c:v>
                </c:pt>
                <c:pt idx="1">
                  <c:v>71993</c:v>
                </c:pt>
                <c:pt idx="2">
                  <c:v>72956</c:v>
                </c:pt>
                <c:pt idx="3">
                  <c:v>77039</c:v>
                </c:pt>
                <c:pt idx="4">
                  <c:v>83632</c:v>
                </c:pt>
                <c:pt idx="5">
                  <c:v>91709</c:v>
                </c:pt>
                <c:pt idx="6">
                  <c:v>99727</c:v>
                </c:pt>
                <c:pt idx="7">
                  <c:v>107652</c:v>
                </c:pt>
                <c:pt idx="8">
                  <c:v>114093</c:v>
                </c:pt>
                <c:pt idx="9">
                  <c:v>132730</c:v>
                </c:pt>
                <c:pt idx="10">
                  <c:v>136036</c:v>
                </c:pt>
              </c:numCache>
            </c:numRef>
          </c:val>
          <c:extLst>
            <c:ext xmlns:c16="http://schemas.microsoft.com/office/drawing/2014/chart" uri="{C3380CC4-5D6E-409C-BE32-E72D297353CC}">
              <c16:uniqueId val="{00000014-6646-49E4-B77D-FBBB2FE74EB7}"/>
            </c:ext>
          </c:extLst>
        </c:ser>
        <c:ser>
          <c:idx val="10"/>
          <c:order val="10"/>
          <c:tx>
            <c:strRef>
              <c:f>q11_q13_q15_q17_Fig!$R$17</c:f>
              <c:strCache>
                <c:ptCount val="1"/>
                <c:pt idx="0">
                  <c:v>K</c:v>
                </c:pt>
              </c:strCache>
            </c:strRef>
          </c:tx>
          <c:spPr>
            <a:solidFill>
              <a:schemeClr val="accent3">
                <a:lumMod val="8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q11_q13_q15_q17_Fig!$S$17:$AC$17</c:f>
              <c:numCache>
                <c:formatCode>General</c:formatCode>
                <c:ptCount val="11"/>
                <c:pt idx="0">
                  <c:v>83701</c:v>
                </c:pt>
                <c:pt idx="1">
                  <c:v>82983</c:v>
                </c:pt>
                <c:pt idx="2">
                  <c:v>81189</c:v>
                </c:pt>
                <c:pt idx="3">
                  <c:v>79408</c:v>
                </c:pt>
                <c:pt idx="4">
                  <c:v>78025</c:v>
                </c:pt>
                <c:pt idx="5">
                  <c:v>78807</c:v>
                </c:pt>
                <c:pt idx="6">
                  <c:v>72314</c:v>
                </c:pt>
                <c:pt idx="7">
                  <c:v>78746</c:v>
                </c:pt>
                <c:pt idx="8">
                  <c:v>77632</c:v>
                </c:pt>
                <c:pt idx="9">
                  <c:v>80352</c:v>
                </c:pt>
                <c:pt idx="10">
                  <c:v>83710</c:v>
                </c:pt>
              </c:numCache>
            </c:numRef>
          </c:val>
          <c:extLst>
            <c:ext xmlns:c16="http://schemas.microsoft.com/office/drawing/2014/chart" uri="{C3380CC4-5D6E-409C-BE32-E72D297353CC}">
              <c16:uniqueId val="{00000015-6646-49E4-B77D-FBBB2FE74EB7}"/>
            </c:ext>
          </c:extLst>
        </c:ser>
        <c:ser>
          <c:idx val="11"/>
          <c:order val="11"/>
          <c:tx>
            <c:strRef>
              <c:f>q11_q13_q15_q17_Fig!$R$18</c:f>
              <c:strCache>
                <c:ptCount val="1"/>
                <c:pt idx="0">
                  <c:v>L</c:v>
                </c:pt>
              </c:strCache>
            </c:strRef>
          </c:tx>
          <c:spPr>
            <a:solidFill>
              <a:schemeClr val="accent5">
                <a:lumMod val="8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q11_q13_q15_q17_Fig!$S$18:$AC$18</c:f>
              <c:numCache>
                <c:formatCode>General</c:formatCode>
                <c:ptCount val="11"/>
                <c:pt idx="0">
                  <c:v>18455</c:v>
                </c:pt>
                <c:pt idx="1">
                  <c:v>19960</c:v>
                </c:pt>
                <c:pt idx="2">
                  <c:v>21488</c:v>
                </c:pt>
                <c:pt idx="3">
                  <c:v>22728</c:v>
                </c:pt>
                <c:pt idx="4">
                  <c:v>25240</c:v>
                </c:pt>
                <c:pt idx="5">
                  <c:v>28146</c:v>
                </c:pt>
                <c:pt idx="6">
                  <c:v>29700</c:v>
                </c:pt>
                <c:pt idx="7">
                  <c:v>30554</c:v>
                </c:pt>
                <c:pt idx="8">
                  <c:v>32205</c:v>
                </c:pt>
                <c:pt idx="9">
                  <c:v>35036</c:v>
                </c:pt>
                <c:pt idx="10">
                  <c:v>37963</c:v>
                </c:pt>
              </c:numCache>
            </c:numRef>
          </c:val>
          <c:extLst>
            <c:ext xmlns:c16="http://schemas.microsoft.com/office/drawing/2014/chart" uri="{C3380CC4-5D6E-409C-BE32-E72D297353CC}">
              <c16:uniqueId val="{00000016-6646-49E4-B77D-FBBB2FE74EB7}"/>
            </c:ext>
          </c:extLst>
        </c:ser>
        <c:ser>
          <c:idx val="12"/>
          <c:order val="12"/>
          <c:tx>
            <c:strRef>
              <c:f>q11_q13_q15_q17_Fig!$R$19</c:f>
              <c:strCache>
                <c:ptCount val="1"/>
                <c:pt idx="0">
                  <c:v>M</c:v>
                </c:pt>
              </c:strCache>
            </c:strRef>
          </c:tx>
          <c:spPr>
            <a:solidFill>
              <a:schemeClr val="accent1">
                <a:lumMod val="60000"/>
                <a:lumOff val="4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q11_q13_q15_q17_Fig!$S$19:$AC$19</c:f>
              <c:numCache>
                <c:formatCode>General</c:formatCode>
                <c:ptCount val="11"/>
                <c:pt idx="0">
                  <c:v>111886</c:v>
                </c:pt>
                <c:pt idx="1">
                  <c:v>120671</c:v>
                </c:pt>
                <c:pt idx="2">
                  <c:v>125288</c:v>
                </c:pt>
                <c:pt idx="3">
                  <c:v>127354</c:v>
                </c:pt>
                <c:pt idx="4">
                  <c:v>128982</c:v>
                </c:pt>
                <c:pt idx="5">
                  <c:v>139971</c:v>
                </c:pt>
                <c:pt idx="6">
                  <c:v>148924</c:v>
                </c:pt>
                <c:pt idx="7">
                  <c:v>150763</c:v>
                </c:pt>
                <c:pt idx="8">
                  <c:v>156464</c:v>
                </c:pt>
                <c:pt idx="9">
                  <c:v>177058</c:v>
                </c:pt>
                <c:pt idx="10">
                  <c:v>191467</c:v>
                </c:pt>
              </c:numCache>
            </c:numRef>
          </c:val>
          <c:extLst>
            <c:ext xmlns:c16="http://schemas.microsoft.com/office/drawing/2014/chart" uri="{C3380CC4-5D6E-409C-BE32-E72D297353CC}">
              <c16:uniqueId val="{00000017-6646-49E4-B77D-FBBB2FE74EB7}"/>
            </c:ext>
          </c:extLst>
        </c:ser>
        <c:ser>
          <c:idx val="13"/>
          <c:order val="13"/>
          <c:tx>
            <c:strRef>
              <c:f>q11_q13_q15_q17_Fig!$R$20</c:f>
              <c:strCache>
                <c:ptCount val="1"/>
                <c:pt idx="0">
                  <c:v>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q11_q13_q15_q17_Fig!$S$20:$AC$20</c:f>
              <c:numCache>
                <c:formatCode>General</c:formatCode>
                <c:ptCount val="11"/>
                <c:pt idx="0">
                  <c:v>230370</c:v>
                </c:pt>
                <c:pt idx="1">
                  <c:v>243964</c:v>
                </c:pt>
                <c:pt idx="2">
                  <c:v>251590</c:v>
                </c:pt>
                <c:pt idx="3">
                  <c:v>273459</c:v>
                </c:pt>
                <c:pt idx="4">
                  <c:v>299479</c:v>
                </c:pt>
                <c:pt idx="5">
                  <c:v>298771</c:v>
                </c:pt>
                <c:pt idx="6">
                  <c:v>299376</c:v>
                </c:pt>
                <c:pt idx="7">
                  <c:v>291316</c:v>
                </c:pt>
                <c:pt idx="8">
                  <c:v>280916</c:v>
                </c:pt>
                <c:pt idx="9">
                  <c:v>313802</c:v>
                </c:pt>
                <c:pt idx="10">
                  <c:v>329658</c:v>
                </c:pt>
              </c:numCache>
            </c:numRef>
          </c:val>
          <c:extLst>
            <c:ext xmlns:c16="http://schemas.microsoft.com/office/drawing/2014/chart" uri="{C3380CC4-5D6E-409C-BE32-E72D297353CC}">
              <c16:uniqueId val="{00000018-6646-49E4-B77D-FBBB2FE74EB7}"/>
            </c:ext>
          </c:extLst>
        </c:ser>
        <c:ser>
          <c:idx val="14"/>
          <c:order val="14"/>
          <c:tx>
            <c:strRef>
              <c:f>q11_q13_q15_q17_Fig!$R$21</c:f>
              <c:strCache>
                <c:ptCount val="1"/>
                <c:pt idx="0">
                  <c:v>O</c:v>
                </c:pt>
              </c:strCache>
            </c:strRef>
          </c:tx>
          <c:spPr>
            <a:solidFill>
              <a:schemeClr val="accent5">
                <a:lumMod val="60000"/>
                <a:lumOff val="4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q11_q13_q15_q17_Fig!$S$21:$AC$21</c:f>
              <c:numCache>
                <c:formatCode>General</c:formatCode>
                <c:ptCount val="11"/>
                <c:pt idx="0">
                  <c:v>10265</c:v>
                </c:pt>
                <c:pt idx="1">
                  <c:v>10823</c:v>
                </c:pt>
                <c:pt idx="2">
                  <c:v>10646</c:v>
                </c:pt>
                <c:pt idx="3">
                  <c:v>10719</c:v>
                </c:pt>
                <c:pt idx="4">
                  <c:v>11285</c:v>
                </c:pt>
                <c:pt idx="5">
                  <c:v>11658</c:v>
                </c:pt>
                <c:pt idx="6">
                  <c:v>11877</c:v>
                </c:pt>
                <c:pt idx="7">
                  <c:v>12408</c:v>
                </c:pt>
                <c:pt idx="8">
                  <c:v>12061</c:v>
                </c:pt>
                <c:pt idx="9">
                  <c:v>13207</c:v>
                </c:pt>
                <c:pt idx="10">
                  <c:v>14299</c:v>
                </c:pt>
              </c:numCache>
            </c:numRef>
          </c:val>
          <c:extLst>
            <c:ext xmlns:c16="http://schemas.microsoft.com/office/drawing/2014/chart" uri="{C3380CC4-5D6E-409C-BE32-E72D297353CC}">
              <c16:uniqueId val="{00000019-6646-49E4-B77D-FBBB2FE74EB7}"/>
            </c:ext>
          </c:extLst>
        </c:ser>
        <c:ser>
          <c:idx val="15"/>
          <c:order val="15"/>
          <c:tx>
            <c:strRef>
              <c:f>q11_q13_q15_q17_Fig!$R$22</c:f>
              <c:strCache>
                <c:ptCount val="1"/>
                <c:pt idx="0">
                  <c:v>P</c:v>
                </c:pt>
              </c:strCache>
            </c:strRef>
          </c:tx>
          <c:spPr>
            <a:solidFill>
              <a:schemeClr val="accent1">
                <a:lumMod val="5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q11_q13_q15_q17_Fig!$S$22:$AC$22</c:f>
              <c:numCache>
                <c:formatCode>General</c:formatCode>
                <c:ptCount val="11"/>
                <c:pt idx="0">
                  <c:v>53165</c:v>
                </c:pt>
                <c:pt idx="1">
                  <c:v>53776</c:v>
                </c:pt>
                <c:pt idx="2">
                  <c:v>56603</c:v>
                </c:pt>
                <c:pt idx="3">
                  <c:v>56595</c:v>
                </c:pt>
                <c:pt idx="4">
                  <c:v>56216</c:v>
                </c:pt>
                <c:pt idx="5">
                  <c:v>60367</c:v>
                </c:pt>
                <c:pt idx="6">
                  <c:v>60849</c:v>
                </c:pt>
                <c:pt idx="7">
                  <c:v>62433</c:v>
                </c:pt>
                <c:pt idx="8">
                  <c:v>61474</c:v>
                </c:pt>
                <c:pt idx="9">
                  <c:v>64779</c:v>
                </c:pt>
                <c:pt idx="10">
                  <c:v>69358</c:v>
                </c:pt>
              </c:numCache>
            </c:numRef>
          </c:val>
          <c:extLst>
            <c:ext xmlns:c16="http://schemas.microsoft.com/office/drawing/2014/chart" uri="{C3380CC4-5D6E-409C-BE32-E72D297353CC}">
              <c16:uniqueId val="{0000001A-6646-49E4-B77D-FBBB2FE74EB7}"/>
            </c:ext>
          </c:extLst>
        </c:ser>
        <c:ser>
          <c:idx val="16"/>
          <c:order val="16"/>
          <c:tx>
            <c:strRef>
              <c:f>q11_q13_q15_q17_Fig!$R$23</c:f>
              <c:strCache>
                <c:ptCount val="1"/>
                <c:pt idx="0">
                  <c:v>Q</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q11_q13_q15_q17_Fig!$S$23:$AC$23</c:f>
              <c:numCache>
                <c:formatCode>General</c:formatCode>
                <c:ptCount val="11"/>
                <c:pt idx="0">
                  <c:v>222574</c:v>
                </c:pt>
                <c:pt idx="1">
                  <c:v>229330</c:v>
                </c:pt>
                <c:pt idx="2">
                  <c:v>241051</c:v>
                </c:pt>
                <c:pt idx="3">
                  <c:v>254988</c:v>
                </c:pt>
                <c:pt idx="4">
                  <c:v>265423</c:v>
                </c:pt>
                <c:pt idx="5">
                  <c:v>271575</c:v>
                </c:pt>
                <c:pt idx="6">
                  <c:v>278424</c:v>
                </c:pt>
                <c:pt idx="7">
                  <c:v>289188</c:v>
                </c:pt>
                <c:pt idx="8">
                  <c:v>295748</c:v>
                </c:pt>
                <c:pt idx="9">
                  <c:v>309107</c:v>
                </c:pt>
                <c:pt idx="10">
                  <c:v>319140</c:v>
                </c:pt>
              </c:numCache>
            </c:numRef>
          </c:val>
          <c:extLst>
            <c:ext xmlns:c16="http://schemas.microsoft.com/office/drawing/2014/chart" uri="{C3380CC4-5D6E-409C-BE32-E72D297353CC}">
              <c16:uniqueId val="{0000001B-6646-49E4-B77D-FBBB2FE74EB7}"/>
            </c:ext>
          </c:extLst>
        </c:ser>
        <c:ser>
          <c:idx val="17"/>
          <c:order val="17"/>
          <c:tx>
            <c:strRef>
              <c:f>q11_q13_q15_q17_Fig!$R$24</c:f>
              <c:strCache>
                <c:ptCount val="1"/>
                <c:pt idx="0">
                  <c:v>R</c:v>
                </c:pt>
              </c:strCache>
            </c:strRef>
          </c:tx>
          <c:spPr>
            <a:solidFill>
              <a:schemeClr val="accent5">
                <a:lumMod val="5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q11_q13_q15_q17_Fig!$S$24:$AC$24</c:f>
              <c:numCache>
                <c:formatCode>General</c:formatCode>
                <c:ptCount val="11"/>
                <c:pt idx="0">
                  <c:v>21362</c:v>
                </c:pt>
                <c:pt idx="1">
                  <c:v>20524</c:v>
                </c:pt>
                <c:pt idx="2">
                  <c:v>22785</c:v>
                </c:pt>
                <c:pt idx="3">
                  <c:v>23892</c:v>
                </c:pt>
                <c:pt idx="4">
                  <c:v>26109</c:v>
                </c:pt>
                <c:pt idx="5">
                  <c:v>28777</c:v>
                </c:pt>
                <c:pt idx="6">
                  <c:v>30427</c:v>
                </c:pt>
                <c:pt idx="7">
                  <c:v>28691</c:v>
                </c:pt>
                <c:pt idx="8">
                  <c:v>31034</c:v>
                </c:pt>
                <c:pt idx="9">
                  <c:v>33359</c:v>
                </c:pt>
                <c:pt idx="10">
                  <c:v>36709</c:v>
                </c:pt>
              </c:numCache>
            </c:numRef>
          </c:val>
          <c:extLst>
            <c:ext xmlns:c16="http://schemas.microsoft.com/office/drawing/2014/chart" uri="{C3380CC4-5D6E-409C-BE32-E72D297353CC}">
              <c16:uniqueId val="{0000001C-6646-49E4-B77D-FBBB2FE74EB7}"/>
            </c:ext>
          </c:extLst>
        </c:ser>
        <c:ser>
          <c:idx val="18"/>
          <c:order val="18"/>
          <c:tx>
            <c:strRef>
              <c:f>q11_q13_q15_q17_Fig!$R$25</c:f>
              <c:strCache>
                <c:ptCount val="1"/>
                <c:pt idx="0">
                  <c:v>S</c:v>
                </c:pt>
              </c:strCache>
            </c:strRef>
          </c:tx>
          <c:spPr>
            <a:solidFill>
              <a:schemeClr val="accent1">
                <a:lumMod val="70000"/>
                <a:lumOff val="3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q11_q13_q15_q17_Fig!$S$25:$AC$25</c:f>
              <c:numCache>
                <c:formatCode>General</c:formatCode>
                <c:ptCount val="11"/>
                <c:pt idx="0">
                  <c:v>67041</c:v>
                </c:pt>
                <c:pt idx="1">
                  <c:v>67966</c:v>
                </c:pt>
                <c:pt idx="2">
                  <c:v>65669</c:v>
                </c:pt>
                <c:pt idx="3">
                  <c:v>66238</c:v>
                </c:pt>
                <c:pt idx="4">
                  <c:v>64042</c:v>
                </c:pt>
                <c:pt idx="5">
                  <c:v>66801</c:v>
                </c:pt>
                <c:pt idx="6">
                  <c:v>63852</c:v>
                </c:pt>
                <c:pt idx="7">
                  <c:v>61955</c:v>
                </c:pt>
                <c:pt idx="8">
                  <c:v>60477</c:v>
                </c:pt>
                <c:pt idx="9">
                  <c:v>63987</c:v>
                </c:pt>
                <c:pt idx="10">
                  <c:v>63846</c:v>
                </c:pt>
              </c:numCache>
            </c:numRef>
          </c:val>
          <c:extLst>
            <c:ext xmlns:c16="http://schemas.microsoft.com/office/drawing/2014/chart" uri="{C3380CC4-5D6E-409C-BE32-E72D297353CC}">
              <c16:uniqueId val="{0000001D-6646-49E4-B77D-FBBB2FE74EB7}"/>
            </c:ext>
          </c:extLst>
        </c:ser>
        <c:ser>
          <c:idx val="19"/>
          <c:order val="19"/>
          <c:tx>
            <c:strRef>
              <c:f>q11_q13_q15_q17_Fig!$R$26</c:f>
              <c:strCache>
                <c:ptCount val="1"/>
                <c:pt idx="0">
                  <c:v>U</c:v>
                </c:pt>
              </c:strCache>
            </c:strRef>
          </c:tx>
          <c:spPr>
            <a:solidFill>
              <a:schemeClr val="accent3">
                <a:lumMod val="70000"/>
                <a:lumOff val="3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q11_q13_q15_q17_Fig!$S$26:$AC$26</c:f>
              <c:numCache>
                <c:formatCode>General</c:formatCode>
                <c:ptCount val="11"/>
                <c:pt idx="0">
                  <c:v>83</c:v>
                </c:pt>
                <c:pt idx="1">
                  <c:v>93</c:v>
                </c:pt>
                <c:pt idx="2">
                  <c:v>91</c:v>
                </c:pt>
                <c:pt idx="3">
                  <c:v>106</c:v>
                </c:pt>
                <c:pt idx="4">
                  <c:v>95</c:v>
                </c:pt>
                <c:pt idx="5">
                  <c:v>97</c:v>
                </c:pt>
                <c:pt idx="6">
                  <c:v>102</c:v>
                </c:pt>
                <c:pt idx="7">
                  <c:v>119</c:v>
                </c:pt>
                <c:pt idx="8">
                  <c:v>107</c:v>
                </c:pt>
                <c:pt idx="9">
                  <c:v>125</c:v>
                </c:pt>
                <c:pt idx="10">
                  <c:v>145</c:v>
                </c:pt>
              </c:numCache>
            </c:numRef>
          </c:val>
          <c:extLst>
            <c:ext xmlns:c16="http://schemas.microsoft.com/office/drawing/2014/chart" uri="{C3380CC4-5D6E-409C-BE32-E72D297353CC}">
              <c16:uniqueId val="{0000001E-6646-49E4-B77D-FBBB2FE74EB7}"/>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3.7437102506546943E-2"/>
          <c:y val="0.89261540822590557"/>
          <c:w val="0.94198021885521888"/>
          <c:h val="7.95337630448127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q4_8_12_16_25_36_Fig!$AR$41</c:f>
              <c:strCache>
                <c:ptCount val="1"/>
                <c:pt idx="0">
                  <c:v>Grande Lisboa</c:v>
                </c:pt>
              </c:strCache>
            </c:strRef>
          </c:cat>
          <c:val>
            <c:numRef>
              <c:extLst>
                <c:ext xmlns:c15="http://schemas.microsoft.com/office/drawing/2012/chart" uri="{02D57815-91ED-43cb-92C2-25804820EDAC}">
                  <c15:fullRef>
                    <c15:sqref>q4_8_12_16_25_36_Fig!$AS$38:$AS$44</c15:sqref>
                  </c15:fullRef>
                </c:ext>
              </c:extLst>
              <c:f>q4_8_12_16_25_36_Fig!$AS$41</c:f>
              <c:numCache>
                <c:formatCode>#,##0</c:formatCode>
                <c:ptCount val="1"/>
                <c:pt idx="0">
                  <c:v>59573</c:v>
                </c:pt>
              </c:numCache>
            </c:numRef>
          </c:val>
          <c:extLst>
            <c:ext xmlns:c16="http://schemas.microsoft.com/office/drawing/2014/chart" uri="{C3380CC4-5D6E-409C-BE32-E72D297353CC}">
              <c16:uniqueId val="{00000000-B07C-4A48-912E-25270951C9D9}"/>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q4_8_12_16_25_36_Fig!$AR$41</c:f>
              <c:strCache>
                <c:ptCount val="1"/>
                <c:pt idx="0">
                  <c:v>Grande Lisboa</c:v>
                </c:pt>
              </c:strCache>
            </c:strRef>
          </c:cat>
          <c:val>
            <c:numRef>
              <c:extLst>
                <c:ext xmlns:c15="http://schemas.microsoft.com/office/drawing/2012/chart" uri="{02D57815-91ED-43cb-92C2-25804820EDAC}">
                  <c15:fullRef>
                    <c15:sqref>q4_8_12_16_25_36_Fig!$AT$38:$AT$44</c15:sqref>
                  </c15:fullRef>
                </c:ext>
              </c:extLst>
              <c:f>q4_8_12_16_25_36_Fig!$AT$41</c:f>
              <c:numCache>
                <c:formatCode>#,##0</c:formatCode>
                <c:ptCount val="1"/>
                <c:pt idx="0">
                  <c:v>70103.999999999985</c:v>
                </c:pt>
              </c:numCache>
            </c:numRef>
          </c:val>
          <c:extLst>
            <c:ext xmlns:c16="http://schemas.microsoft.com/office/drawing/2014/chart" uri="{C3380CC4-5D6E-409C-BE32-E72D297353CC}">
              <c16:uniqueId val="{00000001-B07C-4A48-912E-25270951C9D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q4_8_12_16_25_36_Fig!$AR$43</c:f>
              <c:strCache>
                <c:ptCount val="1"/>
                <c:pt idx="0">
                  <c:v>Alentejo</c:v>
                </c:pt>
              </c:strCache>
            </c:strRef>
          </c:cat>
          <c:val>
            <c:numRef>
              <c:extLst>
                <c:ext xmlns:c15="http://schemas.microsoft.com/office/drawing/2012/chart" uri="{02D57815-91ED-43cb-92C2-25804820EDAC}">
                  <c15:fullRef>
                    <c15:sqref>q4_8_12_16_25_36_Fig!$AS$38:$AS$44</c15:sqref>
                  </c15:fullRef>
                </c:ext>
              </c:extLst>
              <c:f>q4_8_12_16_25_36_Fig!$AS$43</c:f>
              <c:numCache>
                <c:formatCode>#,##0</c:formatCode>
                <c:ptCount val="1"/>
                <c:pt idx="0">
                  <c:v>14681.999999999998</c:v>
                </c:pt>
              </c:numCache>
            </c:numRef>
          </c:val>
          <c:extLst>
            <c:ext xmlns:c16="http://schemas.microsoft.com/office/drawing/2014/chart" uri="{C3380CC4-5D6E-409C-BE32-E72D297353CC}">
              <c16:uniqueId val="{00000000-9BAE-4E89-8EEC-3378486AA5EC}"/>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q4_8_12_16_25_36_Fig!$AR$43</c:f>
              <c:strCache>
                <c:ptCount val="1"/>
                <c:pt idx="0">
                  <c:v>Alentejo</c:v>
                </c:pt>
              </c:strCache>
            </c:strRef>
          </c:cat>
          <c:val>
            <c:numRef>
              <c:extLst>
                <c:ext xmlns:c15="http://schemas.microsoft.com/office/drawing/2012/chart" uri="{02D57815-91ED-43cb-92C2-25804820EDAC}">
                  <c15:fullRef>
                    <c15:sqref>q4_8_12_16_25_36_Fig!$AT$38:$AT$44</c15:sqref>
                  </c15:fullRef>
                </c:ext>
              </c:extLst>
              <c:f>q4_8_12_16_25_36_Fig!$AT$43</c:f>
              <c:numCache>
                <c:formatCode>#,##0</c:formatCode>
                <c:ptCount val="1"/>
                <c:pt idx="0">
                  <c:v>17511.000000000004</c:v>
                </c:pt>
              </c:numCache>
            </c:numRef>
          </c:val>
          <c:extLst>
            <c:ext xmlns:c16="http://schemas.microsoft.com/office/drawing/2014/chart" uri="{C3380CC4-5D6E-409C-BE32-E72D297353CC}">
              <c16:uniqueId val="{00000001-9BAE-4E89-8EEC-3378486AA5E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q4_8_12_16_25_36_Fig!$AR$44</c:f>
              <c:strCache>
                <c:ptCount val="1"/>
                <c:pt idx="0">
                  <c:v>Algarve</c:v>
                </c:pt>
              </c:strCache>
            </c:strRef>
          </c:cat>
          <c:val>
            <c:numRef>
              <c:extLst>
                <c:ext xmlns:c15="http://schemas.microsoft.com/office/drawing/2012/chart" uri="{02D57815-91ED-43cb-92C2-25804820EDAC}">
                  <c15:fullRef>
                    <c15:sqref>q4_8_12_16_25_36_Fig!$AS$38:$AS$44</c15:sqref>
                  </c15:fullRef>
                </c:ext>
              </c:extLst>
              <c:f>q4_8_12_16_25_36_Fig!$AS$44</c:f>
              <c:numCache>
                <c:formatCode>#,##0</c:formatCode>
                <c:ptCount val="1"/>
                <c:pt idx="0">
                  <c:v>18237.000000000004</c:v>
                </c:pt>
              </c:numCache>
            </c:numRef>
          </c:val>
          <c:extLst>
            <c:ext xmlns:c16="http://schemas.microsoft.com/office/drawing/2014/chart" uri="{C3380CC4-5D6E-409C-BE32-E72D297353CC}">
              <c16:uniqueId val="{00000000-E7ED-46D1-A658-2E529A2675E5}"/>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q4_8_12_16_25_36_Fig!$AR$44</c:f>
              <c:strCache>
                <c:ptCount val="1"/>
                <c:pt idx="0">
                  <c:v>Algarve</c:v>
                </c:pt>
              </c:strCache>
            </c:strRef>
          </c:cat>
          <c:val>
            <c:numRef>
              <c:extLst>
                <c:ext xmlns:c15="http://schemas.microsoft.com/office/drawing/2012/chart" uri="{02D57815-91ED-43cb-92C2-25804820EDAC}">
                  <c15:fullRef>
                    <c15:sqref>q4_8_12_16_25_36_Fig!$AT$38:$AT$44</c15:sqref>
                  </c15:fullRef>
                </c:ext>
              </c:extLst>
              <c:f>q4_8_12_16_25_36_Fig!$AT$44</c:f>
              <c:numCache>
                <c:formatCode>#,##0</c:formatCode>
                <c:ptCount val="1"/>
                <c:pt idx="0">
                  <c:v>22034</c:v>
                </c:pt>
              </c:numCache>
            </c:numRef>
          </c:val>
          <c:extLst>
            <c:ext xmlns:c16="http://schemas.microsoft.com/office/drawing/2014/chart" uri="{C3380CC4-5D6E-409C-BE32-E72D297353CC}">
              <c16:uniqueId val="{00000001-E7ED-46D1-A658-2E529A2675E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81286012579858"/>
          <c:y val="3.567815386713024E-2"/>
          <c:w val="0.58508829721255928"/>
          <c:h val="0.92049561986569861"/>
        </c:manualLayout>
      </c:layout>
      <c:barChart>
        <c:barDir val="bar"/>
        <c:grouping val="clustered"/>
        <c:varyColors val="0"/>
        <c:ser>
          <c:idx val="0"/>
          <c:order val="0"/>
          <c:tx>
            <c:strRef>
              <c:f>q4_8_12_16_25_36_Fig!$AS$7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q4_8_12_16_25_36_Fig!$AS$8:$AS$31</c:f>
              <c:numCache>
                <c:formatCode>#,##0</c:formatCode>
                <c:ptCount val="24"/>
                <c:pt idx="0">
                  <c:v>7381</c:v>
                </c:pt>
                <c:pt idx="1">
                  <c:v>15022.000000000002</c:v>
                </c:pt>
                <c:pt idx="2">
                  <c:v>13849.999999999998</c:v>
                </c:pt>
                <c:pt idx="3">
                  <c:v>52107</c:v>
                </c:pt>
                <c:pt idx="4">
                  <c:v>2397</c:v>
                </c:pt>
                <c:pt idx="5">
                  <c:v>13558</c:v>
                </c:pt>
                <c:pt idx="6">
                  <c:v>5412.9999999999991</c:v>
                </c:pt>
                <c:pt idx="7">
                  <c:v>3258</c:v>
                </c:pt>
                <c:pt idx="8">
                  <c:v>9766</c:v>
                </c:pt>
                <c:pt idx="9">
                  <c:v>11047.999999999998</c:v>
                </c:pt>
                <c:pt idx="10">
                  <c:v>10426</c:v>
                </c:pt>
                <c:pt idx="11">
                  <c:v>7366</c:v>
                </c:pt>
                <c:pt idx="12">
                  <c:v>2743</c:v>
                </c:pt>
                <c:pt idx="13">
                  <c:v>5716.9999999999991</c:v>
                </c:pt>
                <c:pt idx="14">
                  <c:v>11504</c:v>
                </c:pt>
                <c:pt idx="15">
                  <c:v>6010</c:v>
                </c:pt>
                <c:pt idx="16">
                  <c:v>6284</c:v>
                </c:pt>
                <c:pt idx="17">
                  <c:v>59573</c:v>
                </c:pt>
                <c:pt idx="18">
                  <c:v>14910</c:v>
                </c:pt>
                <c:pt idx="19">
                  <c:v>2854</c:v>
                </c:pt>
                <c:pt idx="20">
                  <c:v>3855.9999999999995</c:v>
                </c:pt>
                <c:pt idx="21">
                  <c:v>2865</c:v>
                </c:pt>
                <c:pt idx="22">
                  <c:v>5107.0000000000009</c:v>
                </c:pt>
                <c:pt idx="23">
                  <c:v>18237.000000000004</c:v>
                </c:pt>
              </c:numCache>
            </c:numRef>
          </c:val>
          <c:extLst>
            <c:ext xmlns:c16="http://schemas.microsoft.com/office/drawing/2014/chart" uri="{C3380CC4-5D6E-409C-BE32-E72D297353CC}">
              <c16:uniqueId val="{00000000-23EE-41F5-A33B-F00E06F2093A}"/>
            </c:ext>
          </c:extLst>
        </c:ser>
        <c:ser>
          <c:idx val="1"/>
          <c:order val="1"/>
          <c:tx>
            <c:strRef>
              <c:f>q4_8_12_16_25_36_Fig!$AT$7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q4_8_12_16_25_36_Fig!$AT$8:$AT$31</c:f>
              <c:numCache>
                <c:formatCode>#,##0</c:formatCode>
                <c:ptCount val="24"/>
                <c:pt idx="0">
                  <c:v>8480</c:v>
                </c:pt>
                <c:pt idx="1">
                  <c:v>16873</c:v>
                </c:pt>
                <c:pt idx="2">
                  <c:v>15408.999999999998</c:v>
                </c:pt>
                <c:pt idx="3">
                  <c:v>60584.999999999985</c:v>
                </c:pt>
                <c:pt idx="4">
                  <c:v>2746</c:v>
                </c:pt>
                <c:pt idx="5">
                  <c:v>14776</c:v>
                </c:pt>
                <c:pt idx="6">
                  <c:v>6355.9999999999982</c:v>
                </c:pt>
                <c:pt idx="7">
                  <c:v>3777.0000000000009</c:v>
                </c:pt>
                <c:pt idx="8">
                  <c:v>11485</c:v>
                </c:pt>
                <c:pt idx="9">
                  <c:v>13431.000000000004</c:v>
                </c:pt>
                <c:pt idx="10">
                  <c:v>12118.999999999998</c:v>
                </c:pt>
                <c:pt idx="11">
                  <c:v>8638</c:v>
                </c:pt>
                <c:pt idx="12">
                  <c:v>3270</c:v>
                </c:pt>
                <c:pt idx="13">
                  <c:v>6677</c:v>
                </c:pt>
                <c:pt idx="14">
                  <c:v>13372</c:v>
                </c:pt>
                <c:pt idx="15">
                  <c:v>7144</c:v>
                </c:pt>
                <c:pt idx="16">
                  <c:v>7492.0000000000018</c:v>
                </c:pt>
                <c:pt idx="17">
                  <c:v>70103.999999999985</c:v>
                </c:pt>
                <c:pt idx="18">
                  <c:v>18085</c:v>
                </c:pt>
                <c:pt idx="19">
                  <c:v>3451</c:v>
                </c:pt>
                <c:pt idx="20">
                  <c:v>4493</c:v>
                </c:pt>
                <c:pt idx="21">
                  <c:v>3430.0000000000005</c:v>
                </c:pt>
                <c:pt idx="22">
                  <c:v>6137</c:v>
                </c:pt>
                <c:pt idx="23">
                  <c:v>22034</c:v>
                </c:pt>
              </c:numCache>
            </c:numRef>
          </c:val>
          <c:extLst>
            <c:ext xmlns:c16="http://schemas.microsoft.com/office/drawing/2014/chart" uri="{C3380CC4-5D6E-409C-BE32-E72D297353CC}">
              <c16:uniqueId val="{00000001-23EE-41F5-A33B-F00E06F2093A}"/>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24551192435551517"/>
          <c:y val="0.9719496963216957"/>
          <c:w val="0.69325196057755245"/>
          <c:h val="2.707631078695398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q4_8_12_16_25_36_Fig!$BN$7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8DF6-4BD7-9089-B9EE99B63DF1}"/>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q4_8_12_16_25_36_Fig!$BM$32</c:f>
              <c:strCache>
                <c:ptCount val="1"/>
                <c:pt idx="0">
                  <c:v>Continente</c:v>
                </c:pt>
              </c:strCache>
            </c:strRef>
          </c:cat>
          <c:val>
            <c:numRef>
              <c:f>q4_8_12_16_25_36_Fig!$BN$32</c:f>
              <c:numCache>
                <c:formatCode>#,##0</c:formatCode>
                <c:ptCount val="1"/>
                <c:pt idx="0">
                  <c:v>3489582.9999999995</c:v>
                </c:pt>
              </c:numCache>
            </c:numRef>
          </c:val>
          <c:extLst>
            <c:ext xmlns:c16="http://schemas.microsoft.com/office/drawing/2014/chart" uri="{C3380CC4-5D6E-409C-BE32-E72D297353CC}">
              <c16:uniqueId val="{00000001-8DF6-4BD7-9089-B9EE99B63DF1}"/>
            </c:ext>
          </c:extLst>
        </c:ser>
        <c:ser>
          <c:idx val="1"/>
          <c:order val="1"/>
          <c:tx>
            <c:strRef>
              <c:f>q4_8_12_16_25_36_Fig!$BO$7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8DF6-4BD7-9089-B9EE99B63DF1}"/>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q4_8_12_16_25_36_Fig!$BM$32</c:f>
              <c:strCache>
                <c:ptCount val="1"/>
                <c:pt idx="0">
                  <c:v>Continente</c:v>
                </c:pt>
              </c:strCache>
            </c:strRef>
          </c:cat>
          <c:val>
            <c:numRef>
              <c:f>q4_8_12_16_25_36_Fig!$BO$32</c:f>
              <c:numCache>
                <c:formatCode>#,##0</c:formatCode>
                <c:ptCount val="1"/>
                <c:pt idx="0">
                  <c:v>3296133.9999999981</c:v>
                </c:pt>
              </c:numCache>
            </c:numRef>
          </c:val>
          <c:extLst>
            <c:ext xmlns:c16="http://schemas.microsoft.com/office/drawing/2014/chart" uri="{C3380CC4-5D6E-409C-BE32-E72D297353CC}">
              <c16:uniqueId val="{00000003-8DF6-4BD7-9089-B9EE99B63DF1}"/>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q4_8_12_16_25_36_Fig!$BM$38</c:f>
              <c:strCache>
                <c:ptCount val="1"/>
                <c:pt idx="0">
                  <c:v>Norte</c:v>
                </c:pt>
              </c:strCache>
            </c:strRef>
          </c:cat>
          <c:val>
            <c:numRef>
              <c:extLst>
                <c:ext xmlns:c15="http://schemas.microsoft.com/office/drawing/2012/chart" uri="{02D57815-91ED-43cb-92C2-25804820EDAC}">
                  <c15:fullRef>
                    <c15:sqref>q4_8_12_16_25_36_Fig!$BN$38:$BN$44</c15:sqref>
                  </c15:fullRef>
                </c:ext>
              </c:extLst>
              <c:f>q4_8_12_16_25_36_Fig!$BN$38</c:f>
              <c:numCache>
                <c:formatCode>#,##0</c:formatCode>
                <c:ptCount val="1"/>
                <c:pt idx="0">
                  <c:v>1260100.0000000002</c:v>
                </c:pt>
              </c:numCache>
            </c:numRef>
          </c:val>
          <c:extLst>
            <c:ext xmlns:c16="http://schemas.microsoft.com/office/drawing/2014/chart" uri="{C3380CC4-5D6E-409C-BE32-E72D297353CC}">
              <c16:uniqueId val="{00000000-9900-4B5F-9802-DAB6531C8B05}"/>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q4_8_12_16_25_36_Fig!$BM$38</c:f>
              <c:strCache>
                <c:ptCount val="1"/>
                <c:pt idx="0">
                  <c:v>Norte</c:v>
                </c:pt>
              </c:strCache>
            </c:strRef>
          </c:cat>
          <c:val>
            <c:numRef>
              <c:extLst>
                <c:ext xmlns:c15="http://schemas.microsoft.com/office/drawing/2012/chart" uri="{02D57815-91ED-43cb-92C2-25804820EDAC}">
                  <c15:fullRef>
                    <c15:sqref>q4_8_12_16_25_36_Fig!$BO$38:$BO$44</c15:sqref>
                  </c15:fullRef>
                </c:ext>
              </c:extLst>
              <c:f>q4_8_12_16_25_36_Fig!$BO$38</c:f>
              <c:numCache>
                <c:formatCode>#,##0</c:formatCode>
                <c:ptCount val="1"/>
                <c:pt idx="0">
                  <c:v>1186032</c:v>
                </c:pt>
              </c:numCache>
            </c:numRef>
          </c:val>
          <c:extLst>
            <c:ext xmlns:c16="http://schemas.microsoft.com/office/drawing/2014/chart" uri="{C3380CC4-5D6E-409C-BE32-E72D297353CC}">
              <c16:uniqueId val="{00000001-9900-4B5F-9802-DAB6531C8B0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q4_8_12_16_25_36_Fig!$BM$39</c:f>
              <c:strCache>
                <c:ptCount val="1"/>
                <c:pt idx="0">
                  <c:v>Centro</c:v>
                </c:pt>
              </c:strCache>
            </c:strRef>
          </c:cat>
          <c:val>
            <c:numRef>
              <c:extLst>
                <c:ext xmlns:c15="http://schemas.microsoft.com/office/drawing/2012/chart" uri="{02D57815-91ED-43cb-92C2-25804820EDAC}">
                  <c15:fullRef>
                    <c15:sqref>q4_8_12_16_25_36_Fig!$BN$38:$BN$44</c15:sqref>
                  </c15:fullRef>
                </c:ext>
              </c:extLst>
              <c:f>q4_8_12_16_25_36_Fig!$BN$39</c:f>
              <c:numCache>
                <c:formatCode>#,##0</c:formatCode>
                <c:ptCount val="1"/>
                <c:pt idx="0">
                  <c:v>524218.00000000012</c:v>
                </c:pt>
              </c:numCache>
            </c:numRef>
          </c:val>
          <c:extLst>
            <c:ext xmlns:c16="http://schemas.microsoft.com/office/drawing/2014/chart" uri="{C3380CC4-5D6E-409C-BE32-E72D297353CC}">
              <c16:uniqueId val="{00000000-7C6A-4CDA-96F2-EA48998702AA}"/>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q4_8_12_16_25_36_Fig!$BM$39</c:f>
              <c:strCache>
                <c:ptCount val="1"/>
                <c:pt idx="0">
                  <c:v>Centro</c:v>
                </c:pt>
              </c:strCache>
            </c:strRef>
          </c:cat>
          <c:val>
            <c:numRef>
              <c:extLst>
                <c:ext xmlns:c15="http://schemas.microsoft.com/office/drawing/2012/chart" uri="{02D57815-91ED-43cb-92C2-25804820EDAC}">
                  <c15:fullRef>
                    <c15:sqref>q4_8_12_16_25_36_Fig!$BO$38:$BO$44</c15:sqref>
                  </c15:fullRef>
                </c:ext>
              </c:extLst>
              <c:f>q4_8_12_16_25_36_Fig!$BO$39</c:f>
              <c:numCache>
                <c:formatCode>#,##0</c:formatCode>
                <c:ptCount val="1"/>
                <c:pt idx="0">
                  <c:v>490775.99999999988</c:v>
                </c:pt>
              </c:numCache>
            </c:numRef>
          </c:val>
          <c:extLst>
            <c:ext xmlns:c16="http://schemas.microsoft.com/office/drawing/2014/chart" uri="{C3380CC4-5D6E-409C-BE32-E72D297353CC}">
              <c16:uniqueId val="{00000001-7C6A-4CDA-96F2-EA48998702A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q4_8_12_16_25_36_Fig!$BM$40</c:f>
              <c:strCache>
                <c:ptCount val="1"/>
                <c:pt idx="0">
                  <c:v>Oeste e Vale do Tejo</c:v>
                </c:pt>
              </c:strCache>
            </c:strRef>
          </c:cat>
          <c:val>
            <c:numRef>
              <c:extLst>
                <c:ext xmlns:c15="http://schemas.microsoft.com/office/drawing/2012/chart" uri="{02D57815-91ED-43cb-92C2-25804820EDAC}">
                  <c15:fullRef>
                    <c15:sqref>q4_8_12_16_25_36_Fig!$BN$38:$BN$44</c15:sqref>
                  </c15:fullRef>
                </c:ext>
              </c:extLst>
              <c:f>q4_8_12_16_25_36_Fig!$BN$40</c:f>
              <c:numCache>
                <c:formatCode>#,##0</c:formatCode>
                <c:ptCount val="1"/>
                <c:pt idx="0">
                  <c:v>244696.99999999994</c:v>
                </c:pt>
              </c:numCache>
            </c:numRef>
          </c:val>
          <c:extLst>
            <c:ext xmlns:c16="http://schemas.microsoft.com/office/drawing/2014/chart" uri="{C3380CC4-5D6E-409C-BE32-E72D297353CC}">
              <c16:uniqueId val="{00000000-785D-4D8C-B835-C6B7AD25E36A}"/>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q4_8_12_16_25_36_Fig!$BM$40</c:f>
              <c:strCache>
                <c:ptCount val="1"/>
                <c:pt idx="0">
                  <c:v>Oeste e Vale do Tejo</c:v>
                </c:pt>
              </c:strCache>
            </c:strRef>
          </c:cat>
          <c:val>
            <c:numRef>
              <c:extLst>
                <c:ext xmlns:c15="http://schemas.microsoft.com/office/drawing/2012/chart" uri="{02D57815-91ED-43cb-92C2-25804820EDAC}">
                  <c15:fullRef>
                    <c15:sqref>q4_8_12_16_25_36_Fig!$BO$38:$BO$44</c15:sqref>
                  </c15:fullRef>
                </c:ext>
              </c:extLst>
              <c:f>q4_8_12_16_25_36_Fig!$BO$40</c:f>
              <c:numCache>
                <c:formatCode>#,##0</c:formatCode>
                <c:ptCount val="1"/>
                <c:pt idx="0">
                  <c:v>228581.00000000006</c:v>
                </c:pt>
              </c:numCache>
            </c:numRef>
          </c:val>
          <c:extLst>
            <c:ext xmlns:c16="http://schemas.microsoft.com/office/drawing/2014/chart" uri="{C3380CC4-5D6E-409C-BE32-E72D297353CC}">
              <c16:uniqueId val="{00000001-785D-4D8C-B835-C6B7AD25E36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q4_8_12_16_25_36_Fig!$BM$42</c:f>
              <c:strCache>
                <c:ptCount val="1"/>
                <c:pt idx="0">
                  <c:v>Península de Setúbal</c:v>
                </c:pt>
              </c:strCache>
            </c:strRef>
          </c:cat>
          <c:val>
            <c:numRef>
              <c:extLst>
                <c:ext xmlns:c15="http://schemas.microsoft.com/office/drawing/2012/chart" uri="{02D57815-91ED-43cb-92C2-25804820EDAC}">
                  <c15:fullRef>
                    <c15:sqref>q4_8_12_16_25_36_Fig!$BN$38:$BN$44</c15:sqref>
                  </c15:fullRef>
                </c:ext>
              </c:extLst>
              <c:f>q4_8_12_16_25_36_Fig!$BN$42</c:f>
              <c:numCache>
                <c:formatCode>#,##0</c:formatCode>
                <c:ptCount val="1"/>
                <c:pt idx="0">
                  <c:v>173313</c:v>
                </c:pt>
              </c:numCache>
            </c:numRef>
          </c:val>
          <c:extLst>
            <c:ext xmlns:c16="http://schemas.microsoft.com/office/drawing/2014/chart" uri="{C3380CC4-5D6E-409C-BE32-E72D297353CC}">
              <c16:uniqueId val="{00000000-783A-4C34-B358-9057338425B9}"/>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q4_8_12_16_25_36_Fig!$BM$42</c:f>
              <c:strCache>
                <c:ptCount val="1"/>
                <c:pt idx="0">
                  <c:v>Península de Setúbal</c:v>
                </c:pt>
              </c:strCache>
            </c:strRef>
          </c:cat>
          <c:val>
            <c:numRef>
              <c:extLst>
                <c:ext xmlns:c15="http://schemas.microsoft.com/office/drawing/2012/chart" uri="{02D57815-91ED-43cb-92C2-25804820EDAC}">
                  <c15:fullRef>
                    <c15:sqref>q4_8_12_16_25_36_Fig!$BO$38:$BO$44</c15:sqref>
                  </c15:fullRef>
                </c:ext>
              </c:extLst>
              <c:f>q4_8_12_16_25_36_Fig!$BO$42</c:f>
              <c:numCache>
                <c:formatCode>#,##0</c:formatCode>
                <c:ptCount val="1"/>
                <c:pt idx="0">
                  <c:v>163331</c:v>
                </c:pt>
              </c:numCache>
            </c:numRef>
          </c:val>
          <c:extLst>
            <c:ext xmlns:c16="http://schemas.microsoft.com/office/drawing/2014/chart" uri="{C3380CC4-5D6E-409C-BE32-E72D297353CC}">
              <c16:uniqueId val="{00000001-783A-4C34-B358-9057338425B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q4_8_12_16_25_36_Fig!$BM$41</c:f>
              <c:strCache>
                <c:ptCount val="1"/>
                <c:pt idx="0">
                  <c:v>Grande Lisboa</c:v>
                </c:pt>
              </c:strCache>
            </c:strRef>
          </c:cat>
          <c:val>
            <c:numRef>
              <c:extLst>
                <c:ext xmlns:c15="http://schemas.microsoft.com/office/drawing/2012/chart" uri="{02D57815-91ED-43cb-92C2-25804820EDAC}">
                  <c15:fullRef>
                    <c15:sqref>q4_8_12_16_25_36_Fig!$BN$38:$BN$44</c15:sqref>
                  </c15:fullRef>
                </c:ext>
              </c:extLst>
              <c:f>q4_8_12_16_25_36_Fig!$BN$41</c:f>
              <c:numCache>
                <c:formatCode>#,##0</c:formatCode>
                <c:ptCount val="1"/>
                <c:pt idx="0">
                  <c:v>969558</c:v>
                </c:pt>
              </c:numCache>
            </c:numRef>
          </c:val>
          <c:extLst>
            <c:ext xmlns:c16="http://schemas.microsoft.com/office/drawing/2014/chart" uri="{C3380CC4-5D6E-409C-BE32-E72D297353CC}">
              <c16:uniqueId val="{00000000-F05B-4124-A7B0-AF94280606D2}"/>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q4_8_12_16_25_36_Fig!$BM$41</c:f>
              <c:strCache>
                <c:ptCount val="1"/>
                <c:pt idx="0">
                  <c:v>Grande Lisboa</c:v>
                </c:pt>
              </c:strCache>
            </c:strRef>
          </c:cat>
          <c:val>
            <c:numRef>
              <c:extLst>
                <c:ext xmlns:c15="http://schemas.microsoft.com/office/drawing/2012/chart" uri="{02D57815-91ED-43cb-92C2-25804820EDAC}">
                  <c15:fullRef>
                    <c15:sqref>q4_8_12_16_25_36_Fig!$BO$38:$BO$44</c15:sqref>
                  </c15:fullRef>
                </c:ext>
              </c:extLst>
              <c:f>q4_8_12_16_25_36_Fig!$BO$41</c:f>
              <c:numCache>
                <c:formatCode>#,##0</c:formatCode>
                <c:ptCount val="1"/>
                <c:pt idx="0">
                  <c:v>928991</c:v>
                </c:pt>
              </c:numCache>
            </c:numRef>
          </c:val>
          <c:extLst>
            <c:ext xmlns:c16="http://schemas.microsoft.com/office/drawing/2014/chart" uri="{C3380CC4-5D6E-409C-BE32-E72D297353CC}">
              <c16:uniqueId val="{00000001-F05B-4124-A7B0-AF94280606D2}"/>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 do estabelecimento</a:t>
            </a:r>
          </a:p>
        </c:rich>
      </c:tx>
      <c:layout>
        <c:manualLayout>
          <c:xMode val="edge"/>
          <c:yMode val="edge"/>
          <c:x val="0.75006003767601337"/>
          <c:y val="3.40425379828947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lineChart>
        <c:grouping val="standard"/>
        <c:varyColors val="0"/>
        <c:ser>
          <c:idx val="0"/>
          <c:order val="0"/>
          <c:tx>
            <c:strRef>
              <c:f>q11_q13_q15_q17_Fig!$R$31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01-F161-4D59-80A8-67394CF81024}"/>
                </c:ext>
              </c:extLst>
            </c:dLbl>
            <c:dLbl>
              <c:idx val="2"/>
              <c:delete val="1"/>
              <c:extLst>
                <c:ext xmlns:c15="http://schemas.microsoft.com/office/drawing/2012/chart" uri="{CE6537A1-D6FC-4f65-9D91-7224C49458BB}"/>
                <c:ext xmlns:c16="http://schemas.microsoft.com/office/drawing/2014/chart" uri="{C3380CC4-5D6E-409C-BE32-E72D297353CC}">
                  <c16:uniqueId val="{00000002-F161-4D59-80A8-67394CF81024}"/>
                </c:ext>
              </c:extLst>
            </c:dLbl>
            <c:dLbl>
              <c:idx val="3"/>
              <c:layout>
                <c:manualLayout>
                  <c:x val="5.2322336290242126E-2"/>
                  <c:y val="8.1294291338582722E-2"/>
                </c:manualLayout>
              </c:layout>
              <c:tx>
                <c:rich>
                  <a:bodyPr/>
                  <a:lstStyle/>
                  <a:p>
                    <a:fld id="{A8C9B93E-BD4A-47C8-81CF-FD69EB3EB9F8}"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04-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05-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06-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07-F161-4D59-80A8-67394CF81024}"/>
                </c:ext>
              </c:extLst>
            </c:dLbl>
            <c:dLbl>
              <c:idx val="8"/>
              <c:delete val="1"/>
              <c:extLst>
                <c:ext xmlns:c15="http://schemas.microsoft.com/office/drawing/2012/chart" uri="{CE6537A1-D6FC-4f65-9D91-7224C49458BB}"/>
                <c:ext xmlns:c16="http://schemas.microsoft.com/office/drawing/2014/chart" uri="{C3380CC4-5D6E-409C-BE32-E72D297353CC}">
                  <c16:uniqueId val="{00000008-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09-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0A-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q11_q13_q15_q17_Fig!$S$30:$AC$30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q11_q13_q15_q17_Fig!$S$31:$AC$31</c:f>
              <c:numCache>
                <c:formatCode>General</c:formatCode>
                <c:ptCount val="11"/>
                <c:pt idx="0">
                  <c:v>807035</c:v>
                </c:pt>
                <c:pt idx="1">
                  <c:v>817718</c:v>
                </c:pt>
                <c:pt idx="2">
                  <c:v>828965</c:v>
                </c:pt>
                <c:pt idx="3">
                  <c:v>840792</c:v>
                </c:pt>
                <c:pt idx="4">
                  <c:v>849655</c:v>
                </c:pt>
                <c:pt idx="5">
                  <c:v>861111</c:v>
                </c:pt>
                <c:pt idx="6">
                  <c:v>845876</c:v>
                </c:pt>
                <c:pt idx="7">
                  <c:v>853076</c:v>
                </c:pt>
                <c:pt idx="8">
                  <c:v>837669</c:v>
                </c:pt>
                <c:pt idx="9">
                  <c:v>873069</c:v>
                </c:pt>
                <c:pt idx="10">
                  <c:v>893226</c:v>
                </c:pt>
              </c:numCache>
            </c:numRef>
          </c:val>
          <c:smooth val="0"/>
          <c:extLst>
            <c:ext xmlns:c16="http://schemas.microsoft.com/office/drawing/2014/chart" uri="{C3380CC4-5D6E-409C-BE32-E72D297353CC}">
              <c16:uniqueId val="{0000000B-F161-4D59-80A8-67394CF81024}"/>
            </c:ext>
          </c:extLst>
        </c:ser>
        <c:ser>
          <c:idx val="1"/>
          <c:order val="1"/>
          <c:tx>
            <c:strRef>
              <c:f>q11_q13_q15_q17_Fig!$R$32</c:f>
              <c:strCache>
                <c:ptCount val="1"/>
                <c:pt idx="0">
                  <c:v>Pequenos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0D-F161-4D59-80A8-67394CF81024}"/>
                </c:ext>
              </c:extLst>
            </c:dLbl>
            <c:dLbl>
              <c:idx val="2"/>
              <c:delete val="1"/>
              <c:extLst>
                <c:ext xmlns:c15="http://schemas.microsoft.com/office/drawing/2012/chart" uri="{CE6537A1-D6FC-4f65-9D91-7224C49458BB}"/>
                <c:ext xmlns:c16="http://schemas.microsoft.com/office/drawing/2014/chart" uri="{C3380CC4-5D6E-409C-BE32-E72D297353CC}">
                  <c16:uniqueId val="{0000000E-F161-4D59-80A8-67394CF81024}"/>
                </c:ext>
              </c:extLst>
            </c:dLbl>
            <c:dLbl>
              <c:idx val="3"/>
              <c:layout>
                <c:manualLayout>
                  <c:x val="-7.5833748629522579E-2"/>
                  <c:y val="-0.19104617782152231"/>
                </c:manualLayout>
              </c:layout>
              <c:tx>
                <c:rich>
                  <a:bodyPr/>
                  <a:lstStyle/>
                  <a:p>
                    <a:fld id="{BE7735F4-BAB8-4FFE-9997-93C135EB11A4}"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10-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11-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12-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13-F161-4D59-80A8-67394CF81024}"/>
                </c:ext>
              </c:extLst>
            </c:dLbl>
            <c:dLbl>
              <c:idx val="8"/>
              <c:delete val="1"/>
              <c:extLst>
                <c:ext xmlns:c15="http://schemas.microsoft.com/office/drawing/2012/chart" uri="{CE6537A1-D6FC-4f65-9D91-7224C49458BB}"/>
                <c:ext xmlns:c16="http://schemas.microsoft.com/office/drawing/2014/chart" uri="{C3380CC4-5D6E-409C-BE32-E72D297353CC}">
                  <c16:uniqueId val="{00000014-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15-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16-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q11_q13_q15_q17_Fig!$S$30:$AC$30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q11_q13_q15_q17_Fig!$S$32:$AC$32</c:f>
              <c:numCache>
                <c:formatCode>General</c:formatCode>
                <c:ptCount val="11"/>
                <c:pt idx="0">
                  <c:v>754503</c:v>
                </c:pt>
                <c:pt idx="1">
                  <c:v>781002</c:v>
                </c:pt>
                <c:pt idx="2">
                  <c:v>809264</c:v>
                </c:pt>
                <c:pt idx="3">
                  <c:v>838406</c:v>
                </c:pt>
                <c:pt idx="4">
                  <c:v>880167</c:v>
                </c:pt>
                <c:pt idx="5">
                  <c:v>916605</c:v>
                </c:pt>
                <c:pt idx="6">
                  <c:v>936633</c:v>
                </c:pt>
                <c:pt idx="7">
                  <c:v>923119</c:v>
                </c:pt>
                <c:pt idx="8">
                  <c:v>932577</c:v>
                </c:pt>
                <c:pt idx="9">
                  <c:v>1004253</c:v>
                </c:pt>
                <c:pt idx="10">
                  <c:v>1056104</c:v>
                </c:pt>
              </c:numCache>
            </c:numRef>
          </c:val>
          <c:smooth val="0"/>
          <c:extLst>
            <c:ext xmlns:c16="http://schemas.microsoft.com/office/drawing/2014/chart" uri="{C3380CC4-5D6E-409C-BE32-E72D297353CC}">
              <c16:uniqueId val="{00000017-F161-4D59-80A8-67394CF81024}"/>
            </c:ext>
          </c:extLst>
        </c:ser>
        <c:ser>
          <c:idx val="2"/>
          <c:order val="2"/>
          <c:tx>
            <c:strRef>
              <c:f>q11_q13_q15_q17_Fig!$R$33</c:f>
              <c:strCache>
                <c:ptCount val="1"/>
                <c:pt idx="0">
                  <c:v>Médios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19-F161-4D59-80A8-67394CF81024}"/>
                </c:ext>
              </c:extLst>
            </c:dLbl>
            <c:dLbl>
              <c:idx val="2"/>
              <c:layout>
                <c:manualLayout>
                  <c:x val="-2.2571514003787579E-2"/>
                  <c:y val="0.13382094816272966"/>
                </c:manualLayout>
              </c:layout>
              <c:tx>
                <c:rich>
                  <a:bodyPr/>
                  <a:lstStyle/>
                  <a:p>
                    <a:fld id="{66688D69-0E74-4700-B821-CD6491C19966}"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F161-4D59-80A8-67394CF81024}"/>
                </c:ext>
              </c:extLst>
            </c:dLbl>
            <c:dLbl>
              <c:idx val="3"/>
              <c:delete val="1"/>
              <c:extLst>
                <c:ext xmlns:c15="http://schemas.microsoft.com/office/drawing/2012/chart" uri="{CE6537A1-D6FC-4f65-9D91-7224C49458BB}"/>
                <c:ext xmlns:c16="http://schemas.microsoft.com/office/drawing/2014/chart" uri="{C3380CC4-5D6E-409C-BE32-E72D297353CC}">
                  <c16:uniqueId val="{0000001B-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1C-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1D-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1E-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1F-F161-4D59-80A8-67394CF81024}"/>
                </c:ext>
              </c:extLst>
            </c:dLbl>
            <c:dLbl>
              <c:idx val="8"/>
              <c:delete val="1"/>
              <c:extLst>
                <c:ext xmlns:c15="http://schemas.microsoft.com/office/drawing/2012/chart" uri="{CE6537A1-D6FC-4f65-9D91-7224C49458BB}"/>
                <c:ext xmlns:c16="http://schemas.microsoft.com/office/drawing/2014/chart" uri="{C3380CC4-5D6E-409C-BE32-E72D297353CC}">
                  <c16:uniqueId val="{00000020-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21-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22-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q11_q13_q15_q17_Fig!$S$30:$AC$30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q11_q13_q15_q17_Fig!$S$33:$AC$33</c:f>
              <c:numCache>
                <c:formatCode>General</c:formatCode>
                <c:ptCount val="11"/>
                <c:pt idx="0">
                  <c:v>567809</c:v>
                </c:pt>
                <c:pt idx="1">
                  <c:v>586678</c:v>
                </c:pt>
                <c:pt idx="2">
                  <c:v>606103</c:v>
                </c:pt>
                <c:pt idx="3">
                  <c:v>632612</c:v>
                </c:pt>
                <c:pt idx="4">
                  <c:v>664431</c:v>
                </c:pt>
                <c:pt idx="5">
                  <c:v>700099</c:v>
                </c:pt>
                <c:pt idx="6">
                  <c:v>716788</c:v>
                </c:pt>
                <c:pt idx="7">
                  <c:v>705873</c:v>
                </c:pt>
                <c:pt idx="8">
                  <c:v>724835</c:v>
                </c:pt>
                <c:pt idx="9">
                  <c:v>794196</c:v>
                </c:pt>
                <c:pt idx="10">
                  <c:v>832992</c:v>
                </c:pt>
              </c:numCache>
            </c:numRef>
          </c:val>
          <c:smooth val="0"/>
          <c:extLst>
            <c:ext xmlns:c16="http://schemas.microsoft.com/office/drawing/2014/chart" uri="{C3380CC4-5D6E-409C-BE32-E72D297353CC}">
              <c16:uniqueId val="{00000023-F161-4D59-80A8-67394CF81024}"/>
            </c:ext>
          </c:extLst>
        </c:ser>
        <c:ser>
          <c:idx val="3"/>
          <c:order val="3"/>
          <c:tx>
            <c:strRef>
              <c:f>q11_q13_q15_q17_Fig!$R$34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25-F161-4D59-80A8-67394CF81024}"/>
                </c:ext>
              </c:extLst>
            </c:dLbl>
            <c:dLbl>
              <c:idx val="2"/>
              <c:delete val="1"/>
              <c:extLst>
                <c:ext xmlns:c15="http://schemas.microsoft.com/office/drawing/2012/chart" uri="{CE6537A1-D6FC-4f65-9D91-7224C49458BB}"/>
                <c:ext xmlns:c16="http://schemas.microsoft.com/office/drawing/2014/chart" uri="{C3380CC4-5D6E-409C-BE32-E72D297353CC}">
                  <c16:uniqueId val="{00000026-F161-4D59-80A8-67394CF81024}"/>
                </c:ext>
              </c:extLst>
            </c:dLbl>
            <c:dLbl>
              <c:idx val="3"/>
              <c:delete val="1"/>
              <c:extLst>
                <c:ext xmlns:c15="http://schemas.microsoft.com/office/drawing/2012/chart" uri="{CE6537A1-D6FC-4f65-9D91-7224C49458BB}"/>
                <c:ext xmlns:c16="http://schemas.microsoft.com/office/drawing/2014/chart" uri="{C3380CC4-5D6E-409C-BE32-E72D297353CC}">
                  <c16:uniqueId val="{00000027-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28-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29-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2A-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2B-F161-4D59-80A8-67394CF81024}"/>
                </c:ext>
              </c:extLst>
            </c:dLbl>
            <c:dLbl>
              <c:idx val="8"/>
              <c:layout>
                <c:manualLayout>
                  <c:x val="-1.9764111764510449E-2"/>
                  <c:y val="0.18162688648293954"/>
                </c:manualLayout>
              </c:layout>
              <c:tx>
                <c:rich>
                  <a:bodyPr/>
                  <a:lstStyle/>
                  <a:p>
                    <a:fld id="{2774078E-33D2-4E65-92A4-30963C09B901}"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2D-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2E-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q11_q13_q15_q17_Fig!$S$30:$AC$30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q11_q13_q15_q17_Fig!$S$34:$AC$34</c:f>
              <c:numCache>
                <c:formatCode>General</c:formatCode>
                <c:ptCount val="11"/>
                <c:pt idx="0">
                  <c:v>424110</c:v>
                </c:pt>
                <c:pt idx="1">
                  <c:v>449091</c:v>
                </c:pt>
                <c:pt idx="2">
                  <c:v>469722</c:v>
                </c:pt>
                <c:pt idx="3">
                  <c:v>506174</c:v>
                </c:pt>
                <c:pt idx="4">
                  <c:v>550734</c:v>
                </c:pt>
                <c:pt idx="5">
                  <c:v>580834</c:v>
                </c:pt>
                <c:pt idx="6">
                  <c:v>609353</c:v>
                </c:pt>
                <c:pt idx="7">
                  <c:v>599925</c:v>
                </c:pt>
                <c:pt idx="8">
                  <c:v>604893</c:v>
                </c:pt>
                <c:pt idx="9">
                  <c:v>663306</c:v>
                </c:pt>
                <c:pt idx="10">
                  <c:v>704887</c:v>
                </c:pt>
              </c:numCache>
            </c:numRef>
          </c:val>
          <c:smooth val="0"/>
          <c:extLst>
            <c:ext xmlns:c16="http://schemas.microsoft.com/office/drawing/2014/chart" uri="{C3380CC4-5D6E-409C-BE32-E72D297353CC}">
              <c16:uniqueId val="{0000002F-F161-4D59-80A8-67394CF81024}"/>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125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5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q4_8_12_16_25_36_Fig!$BM$43</c:f>
              <c:strCache>
                <c:ptCount val="1"/>
                <c:pt idx="0">
                  <c:v>Alentejo</c:v>
                </c:pt>
              </c:strCache>
            </c:strRef>
          </c:cat>
          <c:val>
            <c:numRef>
              <c:extLst>
                <c:ext xmlns:c15="http://schemas.microsoft.com/office/drawing/2012/chart" uri="{02D57815-91ED-43cb-92C2-25804820EDAC}">
                  <c15:fullRef>
                    <c15:sqref>q4_8_12_16_25_36_Fig!$BN$38:$BN$44</c15:sqref>
                  </c15:fullRef>
                </c:ext>
              </c:extLst>
              <c:f>q4_8_12_16_25_36_Fig!$BN$43</c:f>
              <c:numCache>
                <c:formatCode>#,##0</c:formatCode>
                <c:ptCount val="1"/>
                <c:pt idx="0">
                  <c:v>139263</c:v>
                </c:pt>
              </c:numCache>
            </c:numRef>
          </c:val>
          <c:extLst>
            <c:ext xmlns:c16="http://schemas.microsoft.com/office/drawing/2014/chart" uri="{C3380CC4-5D6E-409C-BE32-E72D297353CC}">
              <c16:uniqueId val="{00000000-3709-4E9E-B1E8-2B596368D8EA}"/>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5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q4_8_12_16_25_36_Fig!$BM$43</c:f>
              <c:strCache>
                <c:ptCount val="1"/>
                <c:pt idx="0">
                  <c:v>Alentejo</c:v>
                </c:pt>
              </c:strCache>
            </c:strRef>
          </c:cat>
          <c:val>
            <c:numRef>
              <c:extLst>
                <c:ext xmlns:c15="http://schemas.microsoft.com/office/drawing/2012/chart" uri="{02D57815-91ED-43cb-92C2-25804820EDAC}">
                  <c15:fullRef>
                    <c15:sqref>q4_8_12_16_25_36_Fig!$BO$38:$BO$44</c15:sqref>
                  </c15:fullRef>
                </c:ext>
              </c:extLst>
              <c:f>q4_8_12_16_25_36_Fig!$BO$43</c:f>
              <c:numCache>
                <c:formatCode>#,##0</c:formatCode>
                <c:ptCount val="1"/>
                <c:pt idx="0">
                  <c:v>131628.99999999994</c:v>
                </c:pt>
              </c:numCache>
            </c:numRef>
          </c:val>
          <c:extLst>
            <c:ext xmlns:c16="http://schemas.microsoft.com/office/drawing/2014/chart" uri="{C3380CC4-5D6E-409C-BE32-E72D297353CC}">
              <c16:uniqueId val="{00000001-3709-4E9E-B1E8-2B596368D8E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q4_8_12_16_25_36_Fig!$BM$44</c:f>
              <c:strCache>
                <c:ptCount val="1"/>
                <c:pt idx="0">
                  <c:v>Algarve</c:v>
                </c:pt>
              </c:strCache>
            </c:strRef>
          </c:cat>
          <c:val>
            <c:numRef>
              <c:extLst>
                <c:ext xmlns:c15="http://schemas.microsoft.com/office/drawing/2012/chart" uri="{02D57815-91ED-43cb-92C2-25804820EDAC}">
                  <c15:fullRef>
                    <c15:sqref>q4_8_12_16_25_36_Fig!$BN$38:$BN$44</c15:sqref>
                  </c15:fullRef>
                </c:ext>
              </c:extLst>
              <c:f>q4_8_12_16_25_36_Fig!$BN$44</c:f>
              <c:numCache>
                <c:formatCode>#,##0</c:formatCode>
                <c:ptCount val="1"/>
                <c:pt idx="0">
                  <c:v>178434</c:v>
                </c:pt>
              </c:numCache>
            </c:numRef>
          </c:val>
          <c:extLst>
            <c:ext xmlns:c16="http://schemas.microsoft.com/office/drawing/2014/chart" uri="{C3380CC4-5D6E-409C-BE32-E72D297353CC}">
              <c16:uniqueId val="{00000000-4C6E-4C41-85F3-4518D3C98702}"/>
            </c:ext>
          </c:extLst>
        </c:ser>
        <c:ser>
          <c:idx val="1"/>
          <c:order val="1"/>
          <c:tx>
            <c:strRef>
              <c:f>q4_8_12_16_25_36_Fig!$BO$37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q4_8_12_16_25_36_Fig!$BM$38:$BM$44</c15:sqref>
                  </c15:fullRef>
                </c:ext>
              </c:extLst>
              <c:f>q4_8_12_16_25_36_Fig!$BM$44</c:f>
              <c:strCache>
                <c:ptCount val="1"/>
                <c:pt idx="0">
                  <c:v>Algarve</c:v>
                </c:pt>
              </c:strCache>
            </c:strRef>
          </c:cat>
          <c:val>
            <c:numRef>
              <c:extLst>
                <c:ext xmlns:c15="http://schemas.microsoft.com/office/drawing/2012/chart" uri="{02D57815-91ED-43cb-92C2-25804820EDAC}">
                  <c15:fullRef>
                    <c15:sqref>q4_8_12_16_25_36_Fig!$BO$38:$BO$44</c15:sqref>
                  </c15:fullRef>
                </c:ext>
              </c:extLst>
              <c:f>q4_8_12_16_25_36_Fig!$BO$44</c:f>
              <c:numCache>
                <c:formatCode>#,##0</c:formatCode>
                <c:ptCount val="1"/>
                <c:pt idx="0">
                  <c:v>166794.00000000003</c:v>
                </c:pt>
              </c:numCache>
            </c:numRef>
          </c:val>
          <c:extLst>
            <c:ext xmlns:c16="http://schemas.microsoft.com/office/drawing/2014/chart" uri="{C3380CC4-5D6E-409C-BE32-E72D297353CC}">
              <c16:uniqueId val="{00000001-4C6E-4C41-85F3-4518D3C98702}"/>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4153546419317925"/>
          <c:y val="3.567815386713024E-2"/>
          <c:w val="0.4688775475927614"/>
          <c:h val="0.92928226487152177"/>
        </c:manualLayout>
      </c:layout>
      <c:barChart>
        <c:barDir val="bar"/>
        <c:grouping val="clustered"/>
        <c:varyColors val="0"/>
        <c:ser>
          <c:idx val="0"/>
          <c:order val="0"/>
          <c:tx>
            <c:strRef>
              <c:f>q4_8_12_16_25_36_Fig!$BN$7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q4_8_12_16_25_36_Fig!$BN$8:$BN$31</c:f>
              <c:numCache>
                <c:formatCode>#,##0</c:formatCode>
                <c:ptCount val="24"/>
                <c:pt idx="0">
                  <c:v>72633</c:v>
                </c:pt>
                <c:pt idx="1">
                  <c:v>160086</c:v>
                </c:pt>
                <c:pt idx="2">
                  <c:v>150333</c:v>
                </c:pt>
                <c:pt idx="3">
                  <c:v>658882.00000000012</c:v>
                </c:pt>
                <c:pt idx="4">
                  <c:v>16238</c:v>
                </c:pt>
                <c:pt idx="5">
                  <c:v>138339</c:v>
                </c:pt>
                <c:pt idx="6">
                  <c:v>42126.999999999993</c:v>
                </c:pt>
                <c:pt idx="7">
                  <c:v>21461.999999999993</c:v>
                </c:pt>
                <c:pt idx="8">
                  <c:v>139483</c:v>
                </c:pt>
                <c:pt idx="9">
                  <c:v>122152</c:v>
                </c:pt>
                <c:pt idx="10">
                  <c:v>109519</c:v>
                </c:pt>
                <c:pt idx="11">
                  <c:v>77276</c:v>
                </c:pt>
                <c:pt idx="12">
                  <c:v>23604</c:v>
                </c:pt>
                <c:pt idx="13">
                  <c:v>52184</c:v>
                </c:pt>
                <c:pt idx="14">
                  <c:v>111666</c:v>
                </c:pt>
                <c:pt idx="15">
                  <c:v>59990</c:v>
                </c:pt>
                <c:pt idx="16">
                  <c:v>73041</c:v>
                </c:pt>
                <c:pt idx="17">
                  <c:v>969558</c:v>
                </c:pt>
                <c:pt idx="18">
                  <c:v>173313</c:v>
                </c:pt>
                <c:pt idx="19">
                  <c:v>37881</c:v>
                </c:pt>
                <c:pt idx="20">
                  <c:v>31710.000000000004</c:v>
                </c:pt>
                <c:pt idx="21">
                  <c:v>24444.000000000004</c:v>
                </c:pt>
                <c:pt idx="22">
                  <c:v>45228</c:v>
                </c:pt>
                <c:pt idx="23">
                  <c:v>178434</c:v>
                </c:pt>
              </c:numCache>
            </c:numRef>
          </c:val>
          <c:extLst>
            <c:ext xmlns:c16="http://schemas.microsoft.com/office/drawing/2014/chart" uri="{C3380CC4-5D6E-409C-BE32-E72D297353CC}">
              <c16:uniqueId val="{00000000-A268-4844-A80D-DCA0F0E75040}"/>
            </c:ext>
          </c:extLst>
        </c:ser>
        <c:ser>
          <c:idx val="1"/>
          <c:order val="1"/>
          <c:tx>
            <c:strRef>
              <c:f>q4_8_12_16_25_36_Fig!$BO$7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q4_8_12_16_25_36_Fig!$BO$8:$BO$31</c:f>
              <c:numCache>
                <c:formatCode>#,##0</c:formatCode>
                <c:ptCount val="24"/>
                <c:pt idx="0">
                  <c:v>68117</c:v>
                </c:pt>
                <c:pt idx="1">
                  <c:v>149790</c:v>
                </c:pt>
                <c:pt idx="2">
                  <c:v>141278</c:v>
                </c:pt>
                <c:pt idx="3">
                  <c:v>622620</c:v>
                </c:pt>
                <c:pt idx="4">
                  <c:v>14953</c:v>
                </c:pt>
                <c:pt idx="5">
                  <c:v>130339.99999999999</c:v>
                </c:pt>
                <c:pt idx="6">
                  <c:v>39343</c:v>
                </c:pt>
                <c:pt idx="7">
                  <c:v>19591</c:v>
                </c:pt>
                <c:pt idx="8">
                  <c:v>131410.00000000003</c:v>
                </c:pt>
                <c:pt idx="9">
                  <c:v>114228</c:v>
                </c:pt>
                <c:pt idx="10">
                  <c:v>101701</c:v>
                </c:pt>
                <c:pt idx="11">
                  <c:v>72453</c:v>
                </c:pt>
                <c:pt idx="12">
                  <c:v>21994</c:v>
                </c:pt>
                <c:pt idx="13">
                  <c:v>48989.999999999993</c:v>
                </c:pt>
                <c:pt idx="14">
                  <c:v>103758</c:v>
                </c:pt>
                <c:pt idx="15">
                  <c:v>55728</c:v>
                </c:pt>
                <c:pt idx="16">
                  <c:v>69095</c:v>
                </c:pt>
                <c:pt idx="17">
                  <c:v>928991</c:v>
                </c:pt>
                <c:pt idx="18">
                  <c:v>163331</c:v>
                </c:pt>
                <c:pt idx="19">
                  <c:v>36327</c:v>
                </c:pt>
                <c:pt idx="20">
                  <c:v>29927.999999999993</c:v>
                </c:pt>
                <c:pt idx="21">
                  <c:v>22968</c:v>
                </c:pt>
                <c:pt idx="22">
                  <c:v>42405.999999999993</c:v>
                </c:pt>
                <c:pt idx="23">
                  <c:v>166794.00000000003</c:v>
                </c:pt>
              </c:numCache>
            </c:numRef>
          </c:val>
          <c:extLst>
            <c:ext xmlns:c16="http://schemas.microsoft.com/office/drawing/2014/chart" uri="{C3380CC4-5D6E-409C-BE32-E72D297353CC}">
              <c16:uniqueId val="{00000001-A268-4844-A80D-DCA0F0E75040}"/>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44011161149168404"/>
          <c:y val="0.96954452342956621"/>
          <c:w val="0.53621439080593625"/>
          <c:h val="2.47560133468736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q4_8_12_16_25_36_Fig!$CG$38</c:f>
              <c:strCache>
                <c:ptCount val="1"/>
                <c:pt idx="0">
                  <c:v>Norte</c:v>
                </c:pt>
              </c:strCache>
            </c:strRef>
          </c:cat>
          <c:val>
            <c:numRef>
              <c:extLst>
                <c:ext xmlns:c15="http://schemas.microsoft.com/office/drawing/2012/chart" uri="{02D57815-91ED-43cb-92C2-25804820EDAC}">
                  <c15:fullRef>
                    <c15:sqref>q4_8_12_16_25_36_Fig!$CH$38:$CH$44</c15:sqref>
                  </c15:fullRef>
                </c:ext>
              </c:extLst>
              <c:f>q4_8_12_16_25_36_Fig!$CH$38</c:f>
              <c:numCache>
                <c:formatCode>#,##0\ "€"</c:formatCode>
                <c:ptCount val="1"/>
                <c:pt idx="0">
                  <c:v>1137.22</c:v>
                </c:pt>
              </c:numCache>
            </c:numRef>
          </c:val>
          <c:extLst>
            <c:ext xmlns:c16="http://schemas.microsoft.com/office/drawing/2014/chart" uri="{C3380CC4-5D6E-409C-BE32-E72D297353CC}">
              <c16:uniqueId val="{00000000-E1AF-44C9-BD8E-D11549E96083}"/>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q4_8_12_16_25_36_Fig!$CG$38</c:f>
              <c:strCache>
                <c:ptCount val="1"/>
                <c:pt idx="0">
                  <c:v>Norte</c:v>
                </c:pt>
              </c:strCache>
            </c:strRef>
          </c:cat>
          <c:val>
            <c:numRef>
              <c:extLst>
                <c:ext xmlns:c15="http://schemas.microsoft.com/office/drawing/2012/chart" uri="{02D57815-91ED-43cb-92C2-25804820EDAC}">
                  <c15:fullRef>
                    <c15:sqref>q4_8_12_16_25_36_Fig!$CI$38:$CI$44</c15:sqref>
                  </c15:fullRef>
                </c:ext>
              </c:extLst>
              <c:f>q4_8_12_16_25_36_Fig!$CI$38</c:f>
              <c:numCache>
                <c:formatCode>#,##0\ "€"</c:formatCode>
                <c:ptCount val="1"/>
                <c:pt idx="0">
                  <c:v>1348.66</c:v>
                </c:pt>
              </c:numCache>
            </c:numRef>
          </c:val>
          <c:extLst>
            <c:ext xmlns:c16="http://schemas.microsoft.com/office/drawing/2014/chart" uri="{C3380CC4-5D6E-409C-BE32-E72D297353CC}">
              <c16:uniqueId val="{00000001-E1AF-44C9-BD8E-D11549E9608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q4_8_12_16_25_36_Fig!$CG$39</c:f>
              <c:strCache>
                <c:ptCount val="1"/>
                <c:pt idx="0">
                  <c:v>Centro</c:v>
                </c:pt>
              </c:strCache>
            </c:strRef>
          </c:cat>
          <c:val>
            <c:numRef>
              <c:extLst>
                <c:ext xmlns:c15="http://schemas.microsoft.com/office/drawing/2012/chart" uri="{02D57815-91ED-43cb-92C2-25804820EDAC}">
                  <c15:fullRef>
                    <c15:sqref>q4_8_12_16_25_36_Fig!$CH$38:$CH$44</c15:sqref>
                  </c15:fullRef>
                </c:ext>
              </c:extLst>
              <c:f>q4_8_12_16_25_36_Fig!$CH$39</c:f>
              <c:numCache>
                <c:formatCode>#,##0\ "€"</c:formatCode>
                <c:ptCount val="1"/>
                <c:pt idx="0">
                  <c:v>1075.43</c:v>
                </c:pt>
              </c:numCache>
            </c:numRef>
          </c:val>
          <c:extLst>
            <c:ext xmlns:c16="http://schemas.microsoft.com/office/drawing/2014/chart" uri="{C3380CC4-5D6E-409C-BE32-E72D297353CC}">
              <c16:uniqueId val="{00000000-A370-4EE1-8D6C-B73623DCF3F1}"/>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q4_8_12_16_25_36_Fig!$CG$39</c:f>
              <c:strCache>
                <c:ptCount val="1"/>
                <c:pt idx="0">
                  <c:v>Centro</c:v>
                </c:pt>
              </c:strCache>
            </c:strRef>
          </c:cat>
          <c:val>
            <c:numRef>
              <c:extLst>
                <c:ext xmlns:c15="http://schemas.microsoft.com/office/drawing/2012/chart" uri="{02D57815-91ED-43cb-92C2-25804820EDAC}">
                  <c15:fullRef>
                    <c15:sqref>q4_8_12_16_25_36_Fig!$CI$38:$CI$44</c15:sqref>
                  </c15:fullRef>
                </c:ext>
              </c:extLst>
              <c:f>q4_8_12_16_25_36_Fig!$CI$39</c:f>
              <c:numCache>
                <c:formatCode>#,##0\ "€"</c:formatCode>
                <c:ptCount val="1"/>
                <c:pt idx="0">
                  <c:v>1305.72</c:v>
                </c:pt>
              </c:numCache>
            </c:numRef>
          </c:val>
          <c:extLst>
            <c:ext xmlns:c16="http://schemas.microsoft.com/office/drawing/2014/chart" uri="{C3380CC4-5D6E-409C-BE32-E72D297353CC}">
              <c16:uniqueId val="{00000001-A370-4EE1-8D6C-B73623DCF3F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q4_8_12_16_25_36_Fig!$CG$40</c:f>
              <c:strCache>
                <c:ptCount val="1"/>
                <c:pt idx="0">
                  <c:v>Oeste e Vale do Tejo</c:v>
                </c:pt>
              </c:strCache>
            </c:strRef>
          </c:cat>
          <c:val>
            <c:numRef>
              <c:extLst>
                <c:ext xmlns:c15="http://schemas.microsoft.com/office/drawing/2012/chart" uri="{02D57815-91ED-43cb-92C2-25804820EDAC}">
                  <c15:fullRef>
                    <c15:sqref>q4_8_12_16_25_36_Fig!$CH$38:$CH$44</c15:sqref>
                  </c15:fullRef>
                </c:ext>
              </c:extLst>
              <c:f>q4_8_12_16_25_36_Fig!$CH$40</c:f>
              <c:numCache>
                <c:formatCode>#,##0\ "€"</c:formatCode>
                <c:ptCount val="1"/>
                <c:pt idx="0">
                  <c:v>1035.0899999999999</c:v>
                </c:pt>
              </c:numCache>
            </c:numRef>
          </c:val>
          <c:extLst>
            <c:ext xmlns:c16="http://schemas.microsoft.com/office/drawing/2014/chart" uri="{C3380CC4-5D6E-409C-BE32-E72D297353CC}">
              <c16:uniqueId val="{00000000-8FA8-4176-8BBE-C89977C00354}"/>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q4_8_12_16_25_36_Fig!$CG$40</c:f>
              <c:strCache>
                <c:ptCount val="1"/>
                <c:pt idx="0">
                  <c:v>Oeste e Vale do Tejo</c:v>
                </c:pt>
              </c:strCache>
            </c:strRef>
          </c:cat>
          <c:val>
            <c:numRef>
              <c:extLst>
                <c:ext xmlns:c15="http://schemas.microsoft.com/office/drawing/2012/chart" uri="{02D57815-91ED-43cb-92C2-25804820EDAC}">
                  <c15:fullRef>
                    <c15:sqref>q4_8_12_16_25_36_Fig!$CI$38:$CI$44</c15:sqref>
                  </c15:fullRef>
                </c:ext>
              </c:extLst>
              <c:f>q4_8_12_16_25_36_Fig!$CI$40</c:f>
              <c:numCache>
                <c:formatCode>#,##0\ "€"</c:formatCode>
                <c:ptCount val="1"/>
                <c:pt idx="0">
                  <c:v>1249.77</c:v>
                </c:pt>
              </c:numCache>
            </c:numRef>
          </c:val>
          <c:extLst>
            <c:ext xmlns:c16="http://schemas.microsoft.com/office/drawing/2014/chart" uri="{C3380CC4-5D6E-409C-BE32-E72D297353CC}">
              <c16:uniqueId val="{00000001-8FA8-4176-8BBE-C89977C0035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0-E98C-43FC-8DC2-F84D4CFADA08}"/>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q4_8_12_16_25_36_Fig!$CG$42</c:f>
              <c:strCache>
                <c:ptCount val="1"/>
                <c:pt idx="0">
                  <c:v>Península de Setúbal</c:v>
                </c:pt>
              </c:strCache>
            </c:strRef>
          </c:cat>
          <c:val>
            <c:numRef>
              <c:extLst>
                <c:ext xmlns:c15="http://schemas.microsoft.com/office/drawing/2012/chart" uri="{02D57815-91ED-43cb-92C2-25804820EDAC}">
                  <c15:fullRef>
                    <c15:sqref>q4_8_12_16_25_36_Fig!$CH$38:$CH$44</c15:sqref>
                  </c15:fullRef>
                </c:ext>
              </c:extLst>
              <c:f>q4_8_12_16_25_36_Fig!$CH$42</c:f>
              <c:numCache>
                <c:formatCode>#,##0\ "€"</c:formatCode>
                <c:ptCount val="1"/>
                <c:pt idx="0">
                  <c:v>1188.27</c:v>
                </c:pt>
              </c:numCache>
            </c:numRef>
          </c:val>
          <c:extLst>
            <c:ext xmlns:c16="http://schemas.microsoft.com/office/drawing/2014/chart" uri="{C3380CC4-5D6E-409C-BE32-E72D297353CC}">
              <c16:uniqueId val="{00000001-E98C-43FC-8DC2-F84D4CFADA08}"/>
            </c:ext>
          </c:extLst>
        </c:ser>
        <c:ser>
          <c:idx val="1"/>
          <c:order val="1"/>
          <c:tx>
            <c:strRef>
              <c:f>q4_8_12_16_25_36_Fig!$CI$37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E98C-43FC-8DC2-F84D4CFADA08}"/>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q4_8_12_16_25_36_Fig!$CG$42</c:f>
              <c:strCache>
                <c:ptCount val="1"/>
                <c:pt idx="0">
                  <c:v>Península de Setúbal</c:v>
                </c:pt>
              </c:strCache>
            </c:strRef>
          </c:cat>
          <c:val>
            <c:numRef>
              <c:extLst>
                <c:ext xmlns:c15="http://schemas.microsoft.com/office/drawing/2012/chart" uri="{02D57815-91ED-43cb-92C2-25804820EDAC}">
                  <c15:fullRef>
                    <c15:sqref>q4_8_12_16_25_36_Fig!$CI$38:$CI$44</c15:sqref>
                  </c15:fullRef>
                </c:ext>
              </c:extLst>
              <c:f>q4_8_12_16_25_36_Fig!$CI$42</c:f>
              <c:numCache>
                <c:formatCode>#,##0\ "€"</c:formatCode>
                <c:ptCount val="1"/>
                <c:pt idx="0">
                  <c:v>1433.11</c:v>
                </c:pt>
              </c:numCache>
            </c:numRef>
          </c:val>
          <c:extLst>
            <c:ext xmlns:c16="http://schemas.microsoft.com/office/drawing/2014/chart" uri="{C3380CC4-5D6E-409C-BE32-E72D297353CC}">
              <c16:uniqueId val="{00000003-E98C-43FC-8DC2-F84D4CFADA08}"/>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q4_8_12_16_25_36_Fig!$CG$41</c:f>
              <c:strCache>
                <c:ptCount val="1"/>
                <c:pt idx="0">
                  <c:v>Grande Lisboa</c:v>
                </c:pt>
              </c:strCache>
            </c:strRef>
          </c:cat>
          <c:val>
            <c:numRef>
              <c:extLst>
                <c:ext xmlns:c15="http://schemas.microsoft.com/office/drawing/2012/chart" uri="{02D57815-91ED-43cb-92C2-25804820EDAC}">
                  <c15:fullRef>
                    <c15:sqref>q4_8_12_16_25_36_Fig!$CH$38:$CH$44</c15:sqref>
                  </c15:fullRef>
                </c:ext>
              </c:extLst>
              <c:f>q4_8_12_16_25_36_Fig!$CH$41</c:f>
              <c:numCache>
                <c:formatCode>#,##0\ "€"</c:formatCode>
                <c:ptCount val="1"/>
                <c:pt idx="0">
                  <c:v>1505.99</c:v>
                </c:pt>
              </c:numCache>
            </c:numRef>
          </c:val>
          <c:extLst>
            <c:ext xmlns:c16="http://schemas.microsoft.com/office/drawing/2014/chart" uri="{C3380CC4-5D6E-409C-BE32-E72D297353CC}">
              <c16:uniqueId val="{00000000-C01D-4CD1-A8F2-3322933A2383}"/>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q4_8_12_16_25_36_Fig!$CG$41</c:f>
              <c:strCache>
                <c:ptCount val="1"/>
                <c:pt idx="0">
                  <c:v>Grande Lisboa</c:v>
                </c:pt>
              </c:strCache>
            </c:strRef>
          </c:cat>
          <c:val>
            <c:numRef>
              <c:extLst>
                <c:ext xmlns:c15="http://schemas.microsoft.com/office/drawing/2012/chart" uri="{02D57815-91ED-43cb-92C2-25804820EDAC}">
                  <c15:fullRef>
                    <c15:sqref>q4_8_12_16_25_36_Fig!$CI$38:$CI$44</c15:sqref>
                  </c15:fullRef>
                </c:ext>
              </c:extLst>
              <c:f>q4_8_12_16_25_36_Fig!$CI$41</c:f>
              <c:numCache>
                <c:formatCode>#,##0\ "€"</c:formatCode>
                <c:ptCount val="1"/>
                <c:pt idx="0">
                  <c:v>1817.17</c:v>
                </c:pt>
              </c:numCache>
            </c:numRef>
          </c:val>
          <c:extLst>
            <c:ext xmlns:c16="http://schemas.microsoft.com/office/drawing/2014/chart" uri="{C3380CC4-5D6E-409C-BE32-E72D297353CC}">
              <c16:uniqueId val="{00000001-C01D-4CD1-A8F2-3322933A2383}"/>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q4_8_12_16_25_36_Fig!$CG$43</c:f>
              <c:strCache>
                <c:ptCount val="1"/>
                <c:pt idx="0">
                  <c:v>Alentejo</c:v>
                </c:pt>
              </c:strCache>
            </c:strRef>
          </c:cat>
          <c:val>
            <c:numRef>
              <c:extLst>
                <c:ext xmlns:c15="http://schemas.microsoft.com/office/drawing/2012/chart" uri="{02D57815-91ED-43cb-92C2-25804820EDAC}">
                  <c15:fullRef>
                    <c15:sqref>q4_8_12_16_25_36_Fig!$CH$38:$CH$44</c15:sqref>
                  </c15:fullRef>
                </c:ext>
              </c:extLst>
              <c:f>q4_8_12_16_25_36_Fig!$CH$43</c:f>
              <c:numCache>
                <c:formatCode>#,##0\ "€"</c:formatCode>
                <c:ptCount val="1"/>
                <c:pt idx="0">
                  <c:v>1053.06</c:v>
                </c:pt>
              </c:numCache>
            </c:numRef>
          </c:val>
          <c:extLst>
            <c:ext xmlns:c16="http://schemas.microsoft.com/office/drawing/2014/chart" uri="{C3380CC4-5D6E-409C-BE32-E72D297353CC}">
              <c16:uniqueId val="{00000000-57C3-44F7-8ECF-4F5A6FD87B54}"/>
            </c:ext>
          </c:extLst>
        </c:ser>
        <c:ser>
          <c:idx val="1"/>
          <c:order val="1"/>
          <c:tx>
            <c:strRef>
              <c:f>q4_8_12_16_25_36_Fig!$CI$37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1-57C3-44F7-8ECF-4F5A6FD87B54}"/>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q4_8_12_16_25_36_Fig!$CG$43</c:f>
              <c:strCache>
                <c:ptCount val="1"/>
                <c:pt idx="0">
                  <c:v>Alentejo</c:v>
                </c:pt>
              </c:strCache>
            </c:strRef>
          </c:cat>
          <c:val>
            <c:numRef>
              <c:extLst>
                <c:ext xmlns:c15="http://schemas.microsoft.com/office/drawing/2012/chart" uri="{02D57815-91ED-43cb-92C2-25804820EDAC}">
                  <c15:fullRef>
                    <c15:sqref>q4_8_12_16_25_36_Fig!$CI$38:$CI$44</c15:sqref>
                  </c15:fullRef>
                </c:ext>
              </c:extLst>
              <c:f>q4_8_12_16_25_36_Fig!$CI$43</c:f>
              <c:numCache>
                <c:formatCode>#,##0\ "€"</c:formatCode>
                <c:ptCount val="1"/>
                <c:pt idx="0">
                  <c:v>1326.13</c:v>
                </c:pt>
              </c:numCache>
            </c:numRef>
          </c:val>
          <c:extLst>
            <c:ext xmlns:c16="http://schemas.microsoft.com/office/drawing/2014/chart" uri="{C3380CC4-5D6E-409C-BE32-E72D297353CC}">
              <c16:uniqueId val="{00000002-57C3-44F7-8ECF-4F5A6FD87B54}"/>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q4_8_12_16_25_36_Fig!$CG$44</c:f>
              <c:strCache>
                <c:ptCount val="1"/>
                <c:pt idx="0">
                  <c:v>Algarve</c:v>
                </c:pt>
              </c:strCache>
            </c:strRef>
          </c:cat>
          <c:val>
            <c:numRef>
              <c:extLst>
                <c:ext xmlns:c15="http://schemas.microsoft.com/office/drawing/2012/chart" uri="{02D57815-91ED-43cb-92C2-25804820EDAC}">
                  <c15:fullRef>
                    <c15:sqref>q4_8_12_16_25_36_Fig!$CH$38:$CH$44</c15:sqref>
                  </c15:fullRef>
                </c:ext>
              </c:extLst>
              <c:f>q4_8_12_16_25_36_Fig!$CH$44</c:f>
              <c:numCache>
                <c:formatCode>#,##0\ "€"</c:formatCode>
                <c:ptCount val="1"/>
                <c:pt idx="0">
                  <c:v>1031.25</c:v>
                </c:pt>
              </c:numCache>
            </c:numRef>
          </c:val>
          <c:extLst>
            <c:ext xmlns:c16="http://schemas.microsoft.com/office/drawing/2014/chart" uri="{C3380CC4-5D6E-409C-BE32-E72D297353CC}">
              <c16:uniqueId val="{00000000-BDC5-453F-9240-D8ED9F92F8AC}"/>
            </c:ext>
          </c:extLst>
        </c:ser>
        <c:ser>
          <c:idx val="1"/>
          <c:order val="1"/>
          <c:tx>
            <c:strRef>
              <c:f>q4_8_12_16_25_36_Fig!$CI$37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q4_8_12_16_25_36_Fig!$CG$38:$CG$44</c15:sqref>
                  </c15:fullRef>
                </c:ext>
              </c:extLst>
              <c:f>q4_8_12_16_25_36_Fig!$CG$44</c:f>
              <c:strCache>
                <c:ptCount val="1"/>
                <c:pt idx="0">
                  <c:v>Algarve</c:v>
                </c:pt>
              </c:strCache>
            </c:strRef>
          </c:cat>
          <c:val>
            <c:numRef>
              <c:extLst>
                <c:ext xmlns:c15="http://schemas.microsoft.com/office/drawing/2012/chart" uri="{02D57815-91ED-43cb-92C2-25804820EDAC}">
                  <c15:fullRef>
                    <c15:sqref>q4_8_12_16_25_36_Fig!$CI$38:$CI$44</c15:sqref>
                  </c15:fullRef>
                </c:ext>
              </c:extLst>
              <c:f>q4_8_12_16_25_36_Fig!$CI$44</c:f>
              <c:numCache>
                <c:formatCode>#,##0\ "€"</c:formatCode>
                <c:ptCount val="1"/>
                <c:pt idx="0">
                  <c:v>1238.68</c:v>
                </c:pt>
              </c:numCache>
            </c:numRef>
          </c:val>
          <c:extLst>
            <c:ext xmlns:c16="http://schemas.microsoft.com/office/drawing/2014/chart" uri="{C3380CC4-5D6E-409C-BE32-E72D297353CC}">
              <c16:uniqueId val="{00000001-BDC5-453F-9240-D8ED9F92F8A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q1_q2_q5_q6_Fig!$AS$4</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4299842519685028E-2"/>
                  <c:y val="1.955919428440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87-48BE-8389-07FE26BB3F84}"/>
                </c:ext>
              </c:extLst>
            </c:dLbl>
            <c:dLbl>
              <c:idx val="10"/>
              <c:layout>
                <c:manualLayout>
                  <c:x val="8.9841469816271981E-3"/>
                  <c:y val="1.4669395713302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87-48BE-8389-07FE26BB3F84}"/>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87-48BE-8389-07FE26BB3F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q1_q2_q5_q6_Fig!$AT$3:$BD$3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q1_q2_q5_q6_Fig!$AT$4:$BD$4</c:f>
              <c:numCache>
                <c:formatCode>#\ ###\ ##0</c:formatCode>
                <c:ptCount val="11"/>
                <c:pt idx="0">
                  <c:v>265860</c:v>
                </c:pt>
                <c:pt idx="1">
                  <c:v>270181</c:v>
                </c:pt>
                <c:pt idx="2">
                  <c:v>273060</c:v>
                </c:pt>
                <c:pt idx="3">
                  <c:v>276332</c:v>
                </c:pt>
                <c:pt idx="4">
                  <c:v>279191</c:v>
                </c:pt>
                <c:pt idx="5">
                  <c:v>282236</c:v>
                </c:pt>
                <c:pt idx="6">
                  <c:v>275751</c:v>
                </c:pt>
                <c:pt idx="7">
                  <c:v>277641</c:v>
                </c:pt>
                <c:pt idx="8">
                  <c:v>271806</c:v>
                </c:pt>
                <c:pt idx="9">
                  <c:v>284860</c:v>
                </c:pt>
                <c:pt idx="10">
                  <c:v>291252</c:v>
                </c:pt>
              </c:numCache>
            </c:numRef>
          </c:val>
          <c:extLst>
            <c:ext xmlns:c16="http://schemas.microsoft.com/office/drawing/2014/chart" uri="{C3380CC4-5D6E-409C-BE32-E72D297353CC}">
              <c16:uniqueId val="{00000003-F587-48BE-8389-07FE26BB3F84}"/>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q1_q2_q5_q6_Fig!$AS$5</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F587-48BE-8389-07FE26BB3F84}"/>
              </c:ext>
            </c:extLst>
          </c:dPt>
          <c:dPt>
            <c:idx val="10"/>
            <c:marker>
              <c:symbol val="none"/>
            </c:marker>
            <c:bubble3D val="0"/>
            <c:extLst>
              <c:ext xmlns:c16="http://schemas.microsoft.com/office/drawing/2014/chart" uri="{C3380CC4-5D6E-409C-BE32-E72D297353CC}">
                <c16:uniqueId val="{00000006-F587-48BE-8389-07FE26BB3F84}"/>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F587-48BE-8389-07FE26BB3F84}"/>
              </c:ext>
            </c:extLst>
          </c:dPt>
          <c:dLbls>
            <c:dLbl>
              <c:idx val="0"/>
              <c:layout>
                <c:manualLayout>
                  <c:x val="2.9545616797900239E-2"/>
                  <c:y val="-6.2709164021555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87-48BE-8389-07FE26BB3F84}"/>
                </c:ext>
              </c:extLst>
            </c:dLbl>
            <c:dLbl>
              <c:idx val="10"/>
              <c:layout>
                <c:manualLayout>
                  <c:x val="-1.6693360565536556E-2"/>
                  <c:y val="-5.1920899755453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87-48BE-8389-07FE26BB3F84}"/>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87-48BE-8389-07FE26BB3F84}"/>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q1_q2_q5_q6_Fig!$AT$3:$BD$3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q1_q2_q5_q6_Fig!$AT$5:$BD$5</c:f>
              <c:numCache>
                <c:formatCode>#\ ###\ ##0</c:formatCode>
                <c:ptCount val="11"/>
                <c:pt idx="0">
                  <c:v>315112</c:v>
                </c:pt>
                <c:pt idx="1">
                  <c:v>318886</c:v>
                </c:pt>
                <c:pt idx="2">
                  <c:v>321500</c:v>
                </c:pt>
                <c:pt idx="3">
                  <c:v>324933</c:v>
                </c:pt>
                <c:pt idx="4">
                  <c:v>327295</c:v>
                </c:pt>
                <c:pt idx="5">
                  <c:v>330668</c:v>
                </c:pt>
                <c:pt idx="6">
                  <c:v>322978</c:v>
                </c:pt>
                <c:pt idx="7">
                  <c:v>324959</c:v>
                </c:pt>
                <c:pt idx="8">
                  <c:v>318254</c:v>
                </c:pt>
                <c:pt idx="9">
                  <c:v>332683</c:v>
                </c:pt>
                <c:pt idx="10">
                  <c:v>340364</c:v>
                </c:pt>
              </c:numCache>
            </c:numRef>
          </c:val>
          <c:smooth val="0"/>
          <c:extLst>
            <c:ext xmlns:c16="http://schemas.microsoft.com/office/drawing/2014/chart" uri="{C3380CC4-5D6E-409C-BE32-E72D297353CC}">
              <c16:uniqueId val="{00000007-F587-48BE-8389-07FE26BB3F84}"/>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2.4221308218089335E-2"/>
          <c:y val="0.886956194263678"/>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4046526140590472"/>
          <c:y val="3.567815386713024E-2"/>
          <c:w val="0.53097209215663055"/>
          <c:h val="0.92049561986569861"/>
        </c:manualLayout>
      </c:layout>
      <c:barChart>
        <c:barDir val="bar"/>
        <c:grouping val="clustered"/>
        <c:varyColors val="0"/>
        <c:ser>
          <c:idx val="0"/>
          <c:order val="0"/>
          <c:tx>
            <c:strRef>
              <c:f>q4_8_12_16_25_36_Fig!$CH$7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q4_8_12_16_25_36_Fig!$CH$8:$CH$31</c:f>
              <c:numCache>
                <c:formatCode>#,##0\ "€"</c:formatCode>
                <c:ptCount val="24"/>
                <c:pt idx="0">
                  <c:v>1022.16</c:v>
                </c:pt>
                <c:pt idx="1">
                  <c:v>1092.31</c:v>
                </c:pt>
                <c:pt idx="2">
                  <c:v>1028.49</c:v>
                </c:pt>
                <c:pt idx="3">
                  <c:v>1242.23</c:v>
                </c:pt>
                <c:pt idx="4">
                  <c:v>964</c:v>
                </c:pt>
                <c:pt idx="5">
                  <c:v>949.32</c:v>
                </c:pt>
                <c:pt idx="6">
                  <c:v>988.16</c:v>
                </c:pt>
                <c:pt idx="7">
                  <c:v>965.83</c:v>
                </c:pt>
                <c:pt idx="8">
                  <c:v>1142.06</c:v>
                </c:pt>
                <c:pt idx="9">
                  <c:v>1081.05</c:v>
                </c:pt>
                <c:pt idx="10">
                  <c:v>1096.77</c:v>
                </c:pt>
                <c:pt idx="11">
                  <c:v>1009.72</c:v>
                </c:pt>
                <c:pt idx="12">
                  <c:v>990.62</c:v>
                </c:pt>
                <c:pt idx="13">
                  <c:v>979.61</c:v>
                </c:pt>
                <c:pt idx="14">
                  <c:v>1033.98</c:v>
                </c:pt>
                <c:pt idx="15">
                  <c:v>1035.3900000000001</c:v>
                </c:pt>
                <c:pt idx="16">
                  <c:v>1036.5899999999999</c:v>
                </c:pt>
                <c:pt idx="17">
                  <c:v>1505.99</c:v>
                </c:pt>
                <c:pt idx="18">
                  <c:v>1188.27</c:v>
                </c:pt>
                <c:pt idx="19">
                  <c:v>1108.18</c:v>
                </c:pt>
                <c:pt idx="20">
                  <c:v>1044.58</c:v>
                </c:pt>
                <c:pt idx="21">
                  <c:v>990.36</c:v>
                </c:pt>
                <c:pt idx="22">
                  <c:v>1049.8499999999999</c:v>
                </c:pt>
                <c:pt idx="23">
                  <c:v>1031.25</c:v>
                </c:pt>
              </c:numCache>
            </c:numRef>
          </c:val>
          <c:extLst>
            <c:ext xmlns:c16="http://schemas.microsoft.com/office/drawing/2014/chart" uri="{C3380CC4-5D6E-409C-BE32-E72D297353CC}">
              <c16:uniqueId val="{00000000-E84C-4849-8247-7672CBD3576F}"/>
            </c:ext>
          </c:extLst>
        </c:ser>
        <c:ser>
          <c:idx val="1"/>
          <c:order val="1"/>
          <c:tx>
            <c:strRef>
              <c:f>q4_8_12_16_25_36_Fig!$CI$7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q4_8_12_16_25_36_Fig!$CI$8:$CI$31</c:f>
              <c:numCache>
                <c:formatCode>#,##0\ "€"</c:formatCode>
                <c:ptCount val="24"/>
                <c:pt idx="0">
                  <c:v>1237.67</c:v>
                </c:pt>
                <c:pt idx="1">
                  <c:v>1276.47</c:v>
                </c:pt>
                <c:pt idx="2">
                  <c:v>1215.1300000000001</c:v>
                </c:pt>
                <c:pt idx="3">
                  <c:v>1480.08</c:v>
                </c:pt>
                <c:pt idx="4">
                  <c:v>1128.21</c:v>
                </c:pt>
                <c:pt idx="5">
                  <c:v>1107.17</c:v>
                </c:pt>
                <c:pt idx="6">
                  <c:v>1168.78</c:v>
                </c:pt>
                <c:pt idx="7">
                  <c:v>1149.46</c:v>
                </c:pt>
                <c:pt idx="8">
                  <c:v>1382.49</c:v>
                </c:pt>
                <c:pt idx="9">
                  <c:v>1319.21</c:v>
                </c:pt>
                <c:pt idx="10">
                  <c:v>1326.74</c:v>
                </c:pt>
                <c:pt idx="11">
                  <c:v>1239.6199999999999</c:v>
                </c:pt>
                <c:pt idx="12">
                  <c:v>1188.93</c:v>
                </c:pt>
                <c:pt idx="13">
                  <c:v>1180.54</c:v>
                </c:pt>
                <c:pt idx="14">
                  <c:v>1237.75</c:v>
                </c:pt>
                <c:pt idx="15">
                  <c:v>1259.29</c:v>
                </c:pt>
                <c:pt idx="16">
                  <c:v>1260.73</c:v>
                </c:pt>
                <c:pt idx="17">
                  <c:v>1817.17</c:v>
                </c:pt>
                <c:pt idx="18">
                  <c:v>1433.11</c:v>
                </c:pt>
                <c:pt idx="19">
                  <c:v>1419.88</c:v>
                </c:pt>
                <c:pt idx="20">
                  <c:v>1401.29</c:v>
                </c:pt>
                <c:pt idx="21">
                  <c:v>1197.92</c:v>
                </c:pt>
                <c:pt idx="22">
                  <c:v>1271.71</c:v>
                </c:pt>
                <c:pt idx="23">
                  <c:v>1238.68</c:v>
                </c:pt>
              </c:numCache>
            </c:numRef>
          </c:val>
          <c:extLst>
            <c:ext xmlns:c16="http://schemas.microsoft.com/office/drawing/2014/chart" uri="{C3380CC4-5D6E-409C-BE32-E72D297353CC}">
              <c16:uniqueId val="{00000001-E84C-4849-8247-7672CBD3576F}"/>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804965417"/>
          <c:y val="0.96716776837043916"/>
          <c:w val="0.36497235015434393"/>
          <c:h val="3.1244729343526473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q4_8_12_16_25_36_Fig!$CH$7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8E12-4777-A837-FFA30A0A04F7}"/>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q4_8_12_16_25_36_Fig!$CG$32</c:f>
              <c:strCache>
                <c:ptCount val="1"/>
                <c:pt idx="0">
                  <c:v>Continente</c:v>
                </c:pt>
              </c:strCache>
            </c:strRef>
          </c:cat>
          <c:val>
            <c:numRef>
              <c:f>q4_8_12_16_25_36_Fig!$CH$32</c:f>
              <c:numCache>
                <c:formatCode>#,##0\ "€"</c:formatCode>
                <c:ptCount val="1"/>
                <c:pt idx="0">
                  <c:v>1219.8699999999999</c:v>
                </c:pt>
              </c:numCache>
            </c:numRef>
          </c:val>
          <c:extLst>
            <c:ext xmlns:c16="http://schemas.microsoft.com/office/drawing/2014/chart" uri="{C3380CC4-5D6E-409C-BE32-E72D297353CC}">
              <c16:uniqueId val="{00000001-8E12-4777-A837-FFA30A0A04F7}"/>
            </c:ext>
          </c:extLst>
        </c:ser>
        <c:ser>
          <c:idx val="1"/>
          <c:order val="1"/>
          <c:tx>
            <c:strRef>
              <c:f>q4_8_12_16_25_36_Fig!$CI$7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8E12-4777-A837-FFA30A0A04F7}"/>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q4_8_12_16_25_36_Fig!$CG$32</c:f>
              <c:strCache>
                <c:ptCount val="1"/>
                <c:pt idx="0">
                  <c:v>Continente</c:v>
                </c:pt>
              </c:strCache>
            </c:strRef>
          </c:cat>
          <c:val>
            <c:numRef>
              <c:f>q4_8_12_16_25_36_Fig!$CI$32</c:f>
              <c:numCache>
                <c:formatCode>#,##0\ "€"</c:formatCode>
                <c:ptCount val="1"/>
                <c:pt idx="0">
                  <c:v>1466.66</c:v>
                </c:pt>
              </c:numCache>
            </c:numRef>
          </c:val>
          <c:extLst>
            <c:ext xmlns:c16="http://schemas.microsoft.com/office/drawing/2014/chart" uri="{C3380CC4-5D6E-409C-BE32-E72D297353CC}">
              <c16:uniqueId val="{00000003-8E12-4777-A837-FFA30A0A04F7}"/>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q17_a_q19_q26_a_q29_q37_q40_Fig!$R$15</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q17_a_q19_q26_a_q29_q37_q40_Fig!$R$16:$R$22</c:f>
              <c:numCache>
                <c:formatCode>#,##0</c:formatCode>
                <c:ptCount val="7"/>
                <c:pt idx="0">
                  <c:v>-648</c:v>
                </c:pt>
                <c:pt idx="1">
                  <c:v>-154697</c:v>
                </c:pt>
                <c:pt idx="2">
                  <c:v>-436843</c:v>
                </c:pt>
                <c:pt idx="3">
                  <c:v>-440917</c:v>
                </c:pt>
                <c:pt idx="4">
                  <c:v>-417868</c:v>
                </c:pt>
                <c:pt idx="5">
                  <c:v>-256266</c:v>
                </c:pt>
                <c:pt idx="6">
                  <c:v>-36069</c:v>
                </c:pt>
              </c:numCache>
            </c:numRef>
          </c:val>
          <c:extLst>
            <c:ext xmlns:c16="http://schemas.microsoft.com/office/drawing/2014/chart" uri="{C3380CC4-5D6E-409C-BE32-E72D297353CC}">
              <c16:uniqueId val="{00000000-D461-4081-B656-5FF462F10629}"/>
            </c:ext>
          </c:extLst>
        </c:ser>
        <c:ser>
          <c:idx val="1"/>
          <c:order val="1"/>
          <c:tx>
            <c:strRef>
              <c:f>q17_a_q19_q26_a_q29_q37_q40_Fig!$S$15</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q17_a_q19_q26_a_q29_q37_q40_Fig!$S$16:$S$22</c:f>
              <c:numCache>
                <c:formatCode>#,##0</c:formatCode>
                <c:ptCount val="7"/>
                <c:pt idx="0">
                  <c:v>484</c:v>
                </c:pt>
                <c:pt idx="1">
                  <c:v>126764</c:v>
                </c:pt>
                <c:pt idx="2">
                  <c:v>371113</c:v>
                </c:pt>
                <c:pt idx="3">
                  <c:v>402903</c:v>
                </c:pt>
                <c:pt idx="4">
                  <c:v>398478</c:v>
                </c:pt>
                <c:pt idx="5">
                  <c:v>228479</c:v>
                </c:pt>
                <c:pt idx="6">
                  <c:v>24598</c:v>
                </c:pt>
              </c:numCache>
            </c:numRef>
          </c:val>
          <c:extLst>
            <c:ext xmlns:c16="http://schemas.microsoft.com/office/drawing/2014/chart" uri="{C3380CC4-5D6E-409C-BE32-E72D297353CC}">
              <c16:uniqueId val="{00000001-D461-4081-B656-5FF462F10629}"/>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450000"/>
          <c:min val="-450000"/>
        </c:scaling>
        <c:delete val="1"/>
        <c:axPos val="t"/>
        <c:numFmt formatCode="#,##0;#,##0" sourceLinked="0"/>
        <c:majorTickMark val="out"/>
        <c:minorTickMark val="none"/>
        <c:tickLblPos val="nextTo"/>
        <c:crossAx val="1261817855"/>
        <c:crosses val="autoZero"/>
        <c:crossBetween val="between"/>
      </c:valAx>
      <c:spPr>
        <a:noFill/>
        <a:ln>
          <a:noFill/>
        </a:ln>
        <a:effectLst/>
      </c:spPr>
    </c:plotArea>
    <c:legend>
      <c:legendPos val="t"/>
      <c:layout>
        <c:manualLayout>
          <c:xMode val="edge"/>
          <c:yMode val="edge"/>
          <c:x val="0.39529230248938402"/>
          <c:y val="5.2371061645764681E-2"/>
          <c:w val="0.39199891301477158"/>
          <c:h val="6.386808836879187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22471764117941029"/>
          <c:y val="1.509889753566796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6.645451605451605E-2"/>
          <c:y val="0.23192568942879796"/>
          <c:w val="0.60804176484176498"/>
          <c:h val="0.65021473137038388"/>
        </c:manualLayout>
      </c:layout>
      <c:doughnutChart>
        <c:varyColors val="1"/>
        <c:ser>
          <c:idx val="0"/>
          <c:order val="0"/>
          <c:tx>
            <c:strRef>
              <c:f>q17_a_q19_q26_a_q29_q37_q40_Fig!$T$15</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5ABA-4754-ABCE-4B5F5F2D0CB4}"/>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5ABA-4754-ABCE-4B5F5F2D0CB4}"/>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5ABA-4754-ABCE-4B5F5F2D0CB4}"/>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5ABA-4754-ABCE-4B5F5F2D0CB4}"/>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5ABA-4754-ABCE-4B5F5F2D0CB4}"/>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5ABA-4754-ABCE-4B5F5F2D0CB4}"/>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5ABA-4754-ABCE-4B5F5F2D0CB4}"/>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5ABA-4754-ABCE-4B5F5F2D0CB4}"/>
              </c:ext>
            </c:extLst>
          </c:dPt>
          <c:dLbls>
            <c:dLbl>
              <c:idx val="0"/>
              <c:layout>
                <c:manualLayout>
                  <c:x val="0.12956140350877179"/>
                  <c:y val="-0.174973719594181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5ABA-4754-ABCE-4B5F5F2D0CB4}"/>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BA-4754-ABCE-4B5F5F2D0CB4}"/>
                </c:ext>
              </c:extLst>
            </c:dLbl>
            <c:dLbl>
              <c:idx val="6"/>
              <c:layout>
                <c:manualLayout>
                  <c:x val="-0.12605263157894744"/>
                  <c:y val="-0.1762392535549851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5ABA-4754-ABCE-4B5F5F2D0CB4}"/>
                </c:ext>
              </c:extLst>
            </c:dLbl>
            <c:dLbl>
              <c:idx val="7"/>
              <c:layout>
                <c:manualLayout>
                  <c:x val="0.11388888888888894"/>
                  <c:y val="-0.11111111111111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ABA-4754-ABCE-4B5F5F2D0CB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q17_a_q19_q26_a_q29_q37_q40_Fig!$Q$16:$Q$22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q17_a_q19_q26_a_q29_q37_q40_Fig!$T$16:$T$22</c:f>
              <c:numCache>
                <c:formatCode>#,##0</c:formatCode>
                <c:ptCount val="7"/>
                <c:pt idx="0">
                  <c:v>1132</c:v>
                </c:pt>
                <c:pt idx="1">
                  <c:v>281461</c:v>
                </c:pt>
                <c:pt idx="2">
                  <c:v>807956</c:v>
                </c:pt>
                <c:pt idx="3">
                  <c:v>843820</c:v>
                </c:pt>
                <c:pt idx="4">
                  <c:v>816346</c:v>
                </c:pt>
                <c:pt idx="5">
                  <c:v>484745</c:v>
                </c:pt>
                <c:pt idx="6">
                  <c:v>60667</c:v>
                </c:pt>
              </c:numCache>
            </c:numRef>
          </c:val>
          <c:extLst>
            <c:ext xmlns:c16="http://schemas.microsoft.com/office/drawing/2014/chart" uri="{C3380CC4-5D6E-409C-BE32-E72D297353CC}">
              <c16:uniqueId val="{00000010-5ABA-4754-ABCE-4B5F5F2D0CB4}"/>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67128185907046478"/>
          <c:y val="0.19463641904117482"/>
          <c:w val="0.30055472263868072"/>
          <c:h val="0.72389134505706798"/>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793875765529326E-2"/>
          <c:y val="0.13630659253375696"/>
          <c:w val="0.48423902012248471"/>
          <c:h val="0.73270479216309237"/>
        </c:manualLayout>
      </c:layout>
      <c:doughnutChart>
        <c:varyColors val="1"/>
        <c:ser>
          <c:idx val="0"/>
          <c:order val="0"/>
          <c:tx>
            <c:strRef>
              <c:f>q17_a_q19_q26_a_q29_q37_q40_Fig!$R$76</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CDA5-43BE-8A28-486E160A8F7F}"/>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CDA5-43BE-8A28-486E160A8F7F}"/>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CDA5-43BE-8A28-486E160A8F7F}"/>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CDA5-43BE-8A28-486E160A8F7F}"/>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CDA5-43BE-8A28-486E160A8F7F}"/>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CDA5-43BE-8A28-486E160A8F7F}"/>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CDA5-43BE-8A28-486E160A8F7F}"/>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CDA5-43BE-8A28-486E160A8F7F}"/>
              </c:ext>
            </c:extLst>
          </c:dPt>
          <c:dLbls>
            <c:dLbl>
              <c:idx val="0"/>
              <c:layout>
                <c:manualLayout>
                  <c:x val="3.60926650137601E-2"/>
                  <c:y val="-0.187732173338472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CDA5-43BE-8A28-486E160A8F7F}"/>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5-43BE-8A28-486E160A8F7F}"/>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DA5-43BE-8A28-486E160A8F7F}"/>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CDA5-43BE-8A28-486E160A8F7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q17_a_q19_q26_a_q29_q37_q40_Fig!$Q$77:$Q$80</c:f>
              <c:strCache>
                <c:ptCount val="4"/>
                <c:pt idx="0">
                  <c:v>&lt; 1.º ciclo do ensino básico</c:v>
                </c:pt>
                <c:pt idx="1">
                  <c:v>Ensino básico</c:v>
                </c:pt>
                <c:pt idx="2">
                  <c:v>Ensino secundário + pós sec. não superior nível IV</c:v>
                </c:pt>
                <c:pt idx="3">
                  <c:v>Ensino superior**</c:v>
                </c:pt>
              </c:strCache>
            </c:strRef>
          </c:cat>
          <c:val>
            <c:numRef>
              <c:f>q17_a_q19_q26_a_q29_q37_q40_Fig!$R$77:$R$80</c:f>
              <c:numCache>
                <c:formatCode>#,##0</c:formatCode>
                <c:ptCount val="4"/>
                <c:pt idx="0">
                  <c:v>6162</c:v>
                </c:pt>
                <c:pt idx="1">
                  <c:v>946247</c:v>
                </c:pt>
                <c:pt idx="2">
                  <c:v>861654</c:v>
                </c:pt>
                <c:pt idx="3">
                  <c:v>645431</c:v>
                </c:pt>
              </c:numCache>
            </c:numRef>
          </c:val>
          <c:extLst>
            <c:ext xmlns:c16="http://schemas.microsoft.com/office/drawing/2014/chart" uri="{C3380CC4-5D6E-409C-BE32-E72D297353CC}">
              <c16:uniqueId val="{00000010-CDA5-43BE-8A28-486E160A8F7F}"/>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653718285214348"/>
          <c:y val="4.9101932750860465E-2"/>
          <c:w val="0.39061767279090115"/>
          <c:h val="0.82165051628276409"/>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2694453453786034"/>
          <c:w val="0.41229760119940023"/>
          <c:h val="0.79289885381340897"/>
        </c:manualLayout>
      </c:layout>
      <c:barChart>
        <c:barDir val="bar"/>
        <c:grouping val="clustered"/>
        <c:varyColors val="0"/>
        <c:ser>
          <c:idx val="0"/>
          <c:order val="0"/>
          <c:tx>
            <c:strRef>
              <c:f>q17_a_q19_q26_a_q29_q37_q40_Fig!$R$76</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B695-4285-8E11-92612446CC2B}"/>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B695-4285-8E11-92612446CC2B}"/>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B695-4285-8E11-92612446CC2B}"/>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B695-4285-8E11-92612446CC2B}"/>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B695-4285-8E11-92612446CC2B}"/>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95-4285-8E11-92612446CC2B}"/>
                </c:ext>
              </c:extLst>
            </c:dLbl>
            <c:spPr>
              <a:noFill/>
              <a:ln>
                <a:noFill/>
              </a:ln>
              <a:effectLst/>
            </c:spPr>
            <c:txPr>
              <a:bodyPr rot="0" spcFirstLastPara="1" vertOverflow="overflow" horzOverflow="overflow" vert="horz" wrap="non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q17_a_q19_q26_a_q29_q37_q40_Fig!$Q$77:$Q$81</c15:sqref>
                  </c15:fullRef>
                </c:ext>
              </c:extLst>
              <c:f>q17_a_q19_q26_a_q29_q37_q40_Fig!$Q$77:$Q$80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q17_a_q19_q26_a_q29_q37_q40_Fig!$R$77:$R$81</c15:sqref>
                  </c15:fullRef>
                </c:ext>
              </c:extLst>
              <c:f>q17_a_q19_q26_a_q29_q37_q40_Fig!$R$77:$R$80</c:f>
              <c:numCache>
                <c:formatCode>#,##0</c:formatCode>
                <c:ptCount val="4"/>
                <c:pt idx="0">
                  <c:v>6162</c:v>
                </c:pt>
                <c:pt idx="1">
                  <c:v>946247</c:v>
                </c:pt>
                <c:pt idx="2">
                  <c:v>861654</c:v>
                </c:pt>
                <c:pt idx="3">
                  <c:v>645431</c:v>
                </c:pt>
              </c:numCache>
            </c:numRef>
          </c:val>
          <c:extLst>
            <c:ext xmlns:c15="http://schemas.microsoft.com/office/drawing/2012/chart" uri="{02D57815-91ED-43cb-92C2-25804820EDAC}">
              <c15:categoryFilterExceptions>
                <c15:categoryFilterException>
                  <c15:sqref>q17_a_q19_q26_a_q29_q37_q40_Fig!$R$81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A-B695-4285-8E11-92612446CC2B}"/>
            </c:ext>
          </c:extLst>
        </c:ser>
        <c:dLbls>
          <c:showLegendKey val="0"/>
          <c:showVal val="0"/>
          <c:showCatName val="0"/>
          <c:showSerName val="0"/>
          <c:showPercent val="0"/>
          <c:showBubbleSize val="0"/>
        </c:dLbls>
        <c:gapWidth val="118"/>
        <c:axId val="891633855"/>
        <c:axId val="1319480015"/>
      </c:barChart>
      <c:valAx>
        <c:axId val="1319480015"/>
        <c:scaling>
          <c:orientation val="minMax"/>
          <c:max val="12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20491579663"/>
          <c:y val="0.13893333333333333"/>
          <c:w val="0.63847227349341062"/>
          <c:h val="0.78091002624671901"/>
        </c:manualLayout>
      </c:layout>
      <c:barChart>
        <c:barDir val="bar"/>
        <c:grouping val="clustered"/>
        <c:varyColors val="0"/>
        <c:ser>
          <c:idx val="0"/>
          <c:order val="0"/>
          <c:tx>
            <c:strRef>
              <c:f>q17_a_q19_q26_a_q29_q37_q40_Fig!$Q$107</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FE4F-4357-9EB5-D7BF786017E3}"/>
              </c:ext>
            </c:extLst>
          </c:dPt>
          <c:dPt>
            <c:idx val="1"/>
            <c:invertIfNegative val="0"/>
            <c:bubble3D val="0"/>
            <c:extLst>
              <c:ext xmlns:c16="http://schemas.microsoft.com/office/drawing/2014/chart" uri="{C3380CC4-5D6E-409C-BE32-E72D297353CC}">
                <c16:uniqueId val="{00000001-FE4F-4357-9EB5-D7BF786017E3}"/>
              </c:ext>
            </c:extLst>
          </c:dPt>
          <c:dPt>
            <c:idx val="2"/>
            <c:invertIfNegative val="0"/>
            <c:bubble3D val="0"/>
            <c:extLst>
              <c:ext xmlns:c16="http://schemas.microsoft.com/office/drawing/2014/chart" uri="{C3380CC4-5D6E-409C-BE32-E72D297353CC}">
                <c16:uniqueId val="{00000002-FE4F-4357-9EB5-D7BF786017E3}"/>
              </c:ext>
            </c:extLst>
          </c:dPt>
          <c:dPt>
            <c:idx val="3"/>
            <c:invertIfNegative val="0"/>
            <c:bubble3D val="0"/>
            <c:extLst>
              <c:ext xmlns:c16="http://schemas.microsoft.com/office/drawing/2014/chart" uri="{C3380CC4-5D6E-409C-BE32-E72D297353CC}">
                <c16:uniqueId val="{00000003-FE4F-4357-9EB5-D7BF786017E3}"/>
              </c:ext>
            </c:extLst>
          </c:dPt>
          <c:dPt>
            <c:idx val="4"/>
            <c:invertIfNegative val="0"/>
            <c:bubble3D val="0"/>
            <c:extLst>
              <c:ext xmlns:c16="http://schemas.microsoft.com/office/drawing/2014/chart" uri="{C3380CC4-5D6E-409C-BE32-E72D297353CC}">
                <c16:uniqueId val="{00000004-FE4F-4357-9EB5-D7BF786017E3}"/>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q17_a_q19_q26_a_q29_q37_q40_Fig!$R$106:$Y$106</c15:sqref>
                  </c15:fullRef>
                </c:ext>
              </c:extLst>
              <c:f>q17_a_q19_q26_a_q29_q37_q40_Fig!$S$106:$Y$106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q17_a_q19_q26_a_q29_q37_q40_Fig!$R$107:$Y$107</c15:sqref>
                  </c15:fullRef>
                </c:ext>
              </c:extLst>
              <c:f>q17_a_q19_q26_a_q29_q37_q40_Fig!$S$107:$Y$107</c:f>
              <c:numCache>
                <c:formatCode>#,##0.00\ "€"</c:formatCode>
                <c:ptCount val="7"/>
                <c:pt idx="0">
                  <c:v>1101.81</c:v>
                </c:pt>
                <c:pt idx="1">
                  <c:v>925.26</c:v>
                </c:pt>
                <c:pt idx="2">
                  <c:v>1134.9691398728628</c:v>
                </c:pt>
                <c:pt idx="3">
                  <c:v>1266.5928282166901</c:v>
                </c:pt>
                <c:pt idx="4">
                  <c:v>1314.2108032221263</c:v>
                </c:pt>
                <c:pt idx="5">
                  <c:v>1231.2502046094103</c:v>
                </c:pt>
                <c:pt idx="6">
                  <c:v>1345.46</c:v>
                </c:pt>
              </c:numCache>
            </c:numRef>
          </c:val>
          <c:extLst>
            <c:ext xmlns:c16="http://schemas.microsoft.com/office/drawing/2014/chart" uri="{C3380CC4-5D6E-409C-BE32-E72D297353CC}">
              <c16:uniqueId val="{00000005-FE4F-4357-9EB5-D7BF786017E3}"/>
            </c:ext>
          </c:extLst>
        </c:ser>
        <c:ser>
          <c:idx val="1"/>
          <c:order val="1"/>
          <c:tx>
            <c:strRef>
              <c:f>q17_a_q19_q26_a_q29_q37_q40_Fig!$Q$108</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q17_a_q19_q26_a_q29_q37_q40_Fig!$R$106:$Y$106</c15:sqref>
                  </c15:fullRef>
                </c:ext>
              </c:extLst>
              <c:f>q17_a_q19_q26_a_q29_q37_q40_Fig!$S$106:$Y$106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q17_a_q19_q26_a_q29_q37_q40_Fig!$R$108:$Y$108</c15:sqref>
                  </c15:fullRef>
                </c:ext>
              </c:extLst>
              <c:f>q17_a_q19_q26_a_q29_q37_q40_Fig!$S$108:$Y$108</c:f>
              <c:numCache>
                <c:formatCode>#,##0.00\ "€"</c:formatCode>
                <c:ptCount val="7"/>
                <c:pt idx="0">
                  <c:v>1193.83</c:v>
                </c:pt>
                <c:pt idx="1">
                  <c:v>1100.3599999999999</c:v>
                </c:pt>
                <c:pt idx="2">
                  <c:v>1352.4112985865575</c:v>
                </c:pt>
                <c:pt idx="3">
                  <c:v>1521.5461508740502</c:v>
                </c:pt>
                <c:pt idx="4">
                  <c:v>1594.9782009025278</c:v>
                </c:pt>
                <c:pt idx="5">
                  <c:v>1487.9493190902751</c:v>
                </c:pt>
                <c:pt idx="6">
                  <c:v>1557.94</c:v>
                </c:pt>
              </c:numCache>
            </c:numRef>
          </c:val>
          <c:extLst>
            <c:ext xmlns:c15="http://schemas.microsoft.com/office/drawing/2012/chart" uri="{02D57815-91ED-43cb-92C2-25804820EDAC}">
              <c15:categoryFilterExceptions>
                <c15:categoryFilterException>
                  <c15:sqref>q17_a_q19_q26_a_q29_q37_q40_Fig!$R$108</c15:sqref>
                  <c15:spPr xmlns:c15="http://schemas.microsoft.com/office/drawing/2012/chart">
                    <a:solidFill>
                      <a:sysClr val="window" lastClr="FFFFFF">
                        <a:lumMod val="85000"/>
                      </a:sysClr>
                    </a:solidFill>
                    <a:ln w="19050">
                      <a:solidFill>
                        <a:schemeClr val="lt1"/>
                      </a:solidFill>
                    </a:ln>
                    <a:effectLst/>
                  </c15:spPr>
                  <c15:invertIfNegative val="0"/>
                  <c15:bubble3D val="0"/>
                  <c15:dLbl>
                    <c:idx val="-1"/>
                    <c:dLblPos val="inEnd"/>
                    <c:showLegendKey val="0"/>
                    <c:showVal val="1"/>
                    <c:showCatName val="0"/>
                    <c:showSerName val="1"/>
                    <c:showPercent val="0"/>
                    <c:showBubbleSize val="0"/>
                    <c:separator> </c:separator>
                    <c:extLst>
                      <c:ext uri="{CE6537A1-D6FC-4f65-9D91-7224C49458BB}"/>
                      <c:ext xmlns:c16="http://schemas.microsoft.com/office/drawing/2014/chart" uri="{C3380CC4-5D6E-409C-BE32-E72D297353CC}">
                        <c16:uniqueId val="{00000006-6922-4904-9F6C-313DF0E75DDA}"/>
                      </c:ext>
                    </c:extLst>
                  </c15:dLbl>
                </c15:categoryFilterException>
              </c15:categoryFilterExceptions>
            </c:ext>
            <c:ext xmlns:c16="http://schemas.microsoft.com/office/drawing/2014/chart" uri="{C3380CC4-5D6E-409C-BE32-E72D297353CC}">
              <c16:uniqueId val="{00000006-FE4F-4357-9EB5-D7BF786017E3}"/>
            </c:ext>
          </c:extLst>
        </c:ser>
        <c:dLbls>
          <c:showLegendKey val="0"/>
          <c:showVal val="0"/>
          <c:showCatName val="0"/>
          <c:showSerName val="0"/>
          <c:showPercent val="0"/>
          <c:showBubbleSize val="0"/>
        </c:dLbls>
        <c:gapWidth val="42"/>
        <c:axId val="891633855"/>
        <c:axId val="1319480015"/>
      </c:barChart>
      <c:valAx>
        <c:axId val="1319480015"/>
        <c:scaling>
          <c:orientation val="minMax"/>
          <c:max val="20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52993679015136186"/>
          <c:y val="1.7451035760195285E-2"/>
          <c:w val="0.21659713598755717"/>
          <c:h val="9.798516112321462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205684241132001E-2"/>
          <c:y val="0.22899703122140164"/>
          <c:w val="0.93679431575886796"/>
          <c:h val="0.77100296877859842"/>
        </c:manualLayout>
      </c:layout>
      <c:barChart>
        <c:barDir val="bar"/>
        <c:grouping val="clustered"/>
        <c:varyColors val="0"/>
        <c:ser>
          <c:idx val="0"/>
          <c:order val="0"/>
          <c:tx>
            <c:strRef>
              <c:f>q17_a_q19_q26_a_q29_q37_q40_Fig!$S$96</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q17_a_q19_q26_a_q29_q37_q40_Fig!$S$97:$S$103</c:f>
              <c:numCache>
                <c:formatCode>#,##0.00\ "€"</c:formatCode>
                <c:ptCount val="7"/>
                <c:pt idx="0">
                  <c:v>-1204.42</c:v>
                </c:pt>
                <c:pt idx="1">
                  <c:v>-950.5</c:v>
                </c:pt>
                <c:pt idx="2">
                  <c:v>-1171.3786871588275</c:v>
                </c:pt>
                <c:pt idx="3">
                  <c:v>-1340.615528721723</c:v>
                </c:pt>
                <c:pt idx="4">
                  <c:v>-1419.5283084168145</c:v>
                </c:pt>
                <c:pt idx="5">
                  <c:v>-1344.0285848928534</c:v>
                </c:pt>
                <c:pt idx="6">
                  <c:v>-1456.5</c:v>
                </c:pt>
              </c:numCache>
            </c:numRef>
          </c:val>
          <c:extLst>
            <c:ext xmlns:c16="http://schemas.microsoft.com/office/drawing/2014/chart" uri="{C3380CC4-5D6E-409C-BE32-E72D297353CC}">
              <c16:uniqueId val="{00000000-AFCC-475E-88CB-DC5F801C852C}"/>
            </c:ext>
          </c:extLst>
        </c:ser>
        <c:ser>
          <c:idx val="1"/>
          <c:order val="1"/>
          <c:tx>
            <c:strRef>
              <c:f>q17_a_q19_q26_a_q29_q37_q40_Fig!$T$96</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q17_a_q19_q26_a_q29_q37_q40_Fig!$T$97:$T$103</c:f>
              <c:numCache>
                <c:formatCode>#,##0.00\ "€"</c:formatCode>
                <c:ptCount val="7"/>
                <c:pt idx="0">
                  <c:v>-1290.02</c:v>
                </c:pt>
                <c:pt idx="1">
                  <c:v>-1135</c:v>
                </c:pt>
                <c:pt idx="2">
                  <c:v>-1407.9649789743371</c:v>
                </c:pt>
                <c:pt idx="3">
                  <c:v>-1633.6152324644449</c:v>
                </c:pt>
                <c:pt idx="4">
                  <c:v>-1751.7699752233802</c:v>
                </c:pt>
                <c:pt idx="5">
                  <c:v>-1655.5514476389026</c:v>
                </c:pt>
                <c:pt idx="6">
                  <c:v>-1696.46</c:v>
                </c:pt>
              </c:numCache>
            </c:numRef>
          </c:val>
          <c:extLst>
            <c:ext xmlns:c16="http://schemas.microsoft.com/office/drawing/2014/chart" uri="{C3380CC4-5D6E-409C-BE32-E72D297353CC}">
              <c16:uniqueId val="{00000001-AFCC-475E-88CB-DC5F801C852C}"/>
            </c:ext>
          </c:extLst>
        </c:ser>
        <c:dLbls>
          <c:showLegendKey val="0"/>
          <c:showVal val="0"/>
          <c:showCatName val="0"/>
          <c:showSerName val="0"/>
          <c:showPercent val="0"/>
          <c:showBubbleSize val="0"/>
        </c:dLbls>
        <c:gapWidth val="42"/>
        <c:axId val="1450378176"/>
        <c:axId val="1375020736"/>
      </c:barChart>
      <c:barChart>
        <c:barDir val="bar"/>
        <c:grouping val="clustered"/>
        <c:varyColors val="0"/>
        <c:ser>
          <c:idx val="2"/>
          <c:order val="2"/>
          <c:tx>
            <c:strRef>
              <c:f>q17_a_q19_q26_a_q29_q37_q40_Fig!$U$96</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q17_a_q19_q26_a_q29_q37_q40_Fig!$R$97:$R$103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q17_a_q19_q26_a_q29_q37_q40_Fig!$U$97:$U$103</c:f>
              <c:numCache>
                <c:formatCode>#,##0.00\ "€"</c:formatCode>
                <c:ptCount val="7"/>
                <c:pt idx="0">
                  <c:v>801.79</c:v>
                </c:pt>
                <c:pt idx="1">
                  <c:v>891.28</c:v>
                </c:pt>
                <c:pt idx="2">
                  <c:v>1089.5295678527075</c:v>
                </c:pt>
                <c:pt idx="3">
                  <c:v>1178.8709557441496</c:v>
                </c:pt>
                <c:pt idx="4">
                  <c:v>1194.5282294044509</c:v>
                </c:pt>
                <c:pt idx="5">
                  <c:v>1087.881585360592</c:v>
                </c:pt>
                <c:pt idx="6">
                  <c:v>1157.69</c:v>
                </c:pt>
              </c:numCache>
            </c:numRef>
          </c:val>
          <c:extLst>
            <c:ext xmlns:c16="http://schemas.microsoft.com/office/drawing/2014/chart" uri="{C3380CC4-5D6E-409C-BE32-E72D297353CC}">
              <c16:uniqueId val="{00000002-AFCC-475E-88CB-DC5F801C852C}"/>
            </c:ext>
          </c:extLst>
        </c:ser>
        <c:ser>
          <c:idx val="3"/>
          <c:order val="3"/>
          <c:tx>
            <c:strRef>
              <c:f>q17_a_q19_q26_a_q29_q37_q40_Fig!$V$96</c:f>
              <c:strCache>
                <c:ptCount val="1"/>
                <c:pt idx="0">
                  <c:v>Ganho - M</c:v>
                </c:pt>
              </c:strCache>
            </c:strRef>
          </c:tx>
          <c:spPr>
            <a:solidFill>
              <a:srgbClr val="FFEF57"/>
            </a:solidFill>
          </c:spPr>
          <c:invertIfNegative val="0"/>
          <c:dLbls>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q17_a_q19_q26_a_q29_q37_q40_Fig!$R$97:$R$103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q17_a_q19_q26_a_q29_q37_q40_Fig!$V$97:$V$103</c:f>
              <c:numCache>
                <c:formatCode>#,##0.00\ "€"</c:formatCode>
                <c:ptCount val="7"/>
                <c:pt idx="0">
                  <c:v>912.59</c:v>
                </c:pt>
                <c:pt idx="1">
                  <c:v>1053.73</c:v>
                </c:pt>
                <c:pt idx="2">
                  <c:v>1283.0776747445054</c:v>
                </c:pt>
                <c:pt idx="3">
                  <c:v>1388.7278106261283</c:v>
                </c:pt>
                <c:pt idx="4">
                  <c:v>1416.7996478544317</c:v>
                </c:pt>
                <c:pt idx="5">
                  <c:v>1274.8774038965282</c:v>
                </c:pt>
                <c:pt idx="6">
                  <c:v>1323.72</c:v>
                </c:pt>
              </c:numCache>
            </c:numRef>
          </c:val>
          <c:extLst>
            <c:ext xmlns:c16="http://schemas.microsoft.com/office/drawing/2014/chart" uri="{C3380CC4-5D6E-409C-BE32-E72D297353CC}">
              <c16:uniqueId val="{00000003-AFCC-475E-88CB-DC5F801C852C}"/>
            </c:ext>
          </c:extLst>
        </c:ser>
        <c:dLbls>
          <c:showLegendKey val="0"/>
          <c:showVal val="0"/>
          <c:showCatName val="0"/>
          <c:showSerName val="0"/>
          <c:showPercent val="0"/>
          <c:showBubbleSize val="0"/>
        </c:dLbls>
        <c:gapWidth val="42"/>
        <c:axId val="1450370176"/>
        <c:axId val="1375018240"/>
      </c:barChart>
      <c:valAx>
        <c:axId val="1375020736"/>
        <c:scaling>
          <c:orientation val="minMax"/>
        </c:scaling>
        <c:delete val="1"/>
        <c:axPos val="b"/>
        <c:numFmt formatCode="#,##0.00\ &quot;€&quot;" sourceLinked="1"/>
        <c:majorTickMark val="out"/>
        <c:minorTickMark val="none"/>
        <c:tickLblPos val="nextTo"/>
        <c:crossAx val="1450378176"/>
        <c:crosses val="max"/>
        <c:crossBetween val="between"/>
      </c:valAx>
      <c:catAx>
        <c:axId val="1450378176"/>
        <c:scaling>
          <c:orientation val="maxMin"/>
        </c:scaling>
        <c:delete val="1"/>
        <c:axPos val="l"/>
        <c:numFmt formatCode="General" sourceLinked="1"/>
        <c:majorTickMark val="out"/>
        <c:minorTickMark val="none"/>
        <c:tickLblPos val="nextTo"/>
        <c:crossAx val="1375020736"/>
        <c:crosses val="autoZero"/>
        <c:auto val="1"/>
        <c:lblAlgn val="ctr"/>
        <c:lblOffset val="100"/>
        <c:noMultiLvlLbl val="0"/>
      </c:catAx>
      <c:valAx>
        <c:axId val="1375018240"/>
        <c:scaling>
          <c:orientation val="minMax"/>
        </c:scaling>
        <c:delete val="1"/>
        <c:axPos val="t"/>
        <c:numFmt formatCode="#,##0.00\ &quot;€&quot;" sourceLinked="1"/>
        <c:majorTickMark val="out"/>
        <c:minorTickMark val="none"/>
        <c:tickLblPos val="nextTo"/>
        <c:crossAx val="1450370176"/>
        <c:crosses val="autoZero"/>
        <c:crossBetween val="between"/>
      </c:valAx>
      <c:catAx>
        <c:axId val="1450370176"/>
        <c:scaling>
          <c:orientation val="maxMin"/>
        </c:scaling>
        <c:delete val="1"/>
        <c:axPos val="r"/>
        <c:numFmt formatCode="General" sourceLinked="1"/>
        <c:majorTickMark val="out"/>
        <c:minorTickMark val="none"/>
        <c:tickLblPos val="nextTo"/>
        <c:crossAx val="1375018240"/>
        <c:crosses val="max"/>
        <c:auto val="1"/>
        <c:lblAlgn val="ctr"/>
        <c:lblOffset val="100"/>
        <c:noMultiLvlLbl val="0"/>
      </c:catAx>
      <c:spPr>
        <a:noFill/>
        <a:ln>
          <a:noFill/>
        </a:ln>
        <a:effectLst/>
      </c:spPr>
    </c:plotArea>
    <c:legend>
      <c:legendPos val="t"/>
      <c:layout>
        <c:manualLayout>
          <c:xMode val="edge"/>
          <c:yMode val="edge"/>
          <c:x val="0.10183330070804396"/>
          <c:y val="2.6527633955922166E-2"/>
          <c:w val="0.8636341084320287"/>
          <c:h val="5.274598945994769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8179050350130707"/>
          <c:w val="0.60632456527300227"/>
          <c:h val="0.70374569616569937"/>
        </c:manualLayout>
      </c:layout>
      <c:barChart>
        <c:barDir val="bar"/>
        <c:grouping val="clustered"/>
        <c:varyColors val="0"/>
        <c:ser>
          <c:idx val="0"/>
          <c:order val="0"/>
          <c:tx>
            <c:strRef>
              <c:f>q17_a_q19_q26_a_q29_q37_q40_Fig!$Q$156</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0A64-443D-AA8C-2A067C297490}"/>
              </c:ext>
            </c:extLst>
          </c:dPt>
          <c:dPt>
            <c:idx val="1"/>
            <c:invertIfNegative val="0"/>
            <c:bubble3D val="0"/>
            <c:extLst>
              <c:ext xmlns:c16="http://schemas.microsoft.com/office/drawing/2014/chart" uri="{C3380CC4-5D6E-409C-BE32-E72D297353CC}">
                <c16:uniqueId val="{00000001-0A64-443D-AA8C-2A067C297490}"/>
              </c:ext>
            </c:extLst>
          </c:dPt>
          <c:dPt>
            <c:idx val="2"/>
            <c:invertIfNegative val="0"/>
            <c:bubble3D val="0"/>
            <c:extLst>
              <c:ext xmlns:c16="http://schemas.microsoft.com/office/drawing/2014/chart" uri="{C3380CC4-5D6E-409C-BE32-E72D297353CC}">
                <c16:uniqueId val="{00000002-0A64-443D-AA8C-2A067C297490}"/>
              </c:ext>
            </c:extLst>
          </c:dPt>
          <c:dPt>
            <c:idx val="3"/>
            <c:invertIfNegative val="0"/>
            <c:bubble3D val="0"/>
            <c:extLst>
              <c:ext xmlns:c16="http://schemas.microsoft.com/office/drawing/2014/chart" uri="{C3380CC4-5D6E-409C-BE32-E72D297353CC}">
                <c16:uniqueId val="{00000003-0A64-443D-AA8C-2A067C297490}"/>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q17_a_q19_q26_a_q29_q37_q40_Fig!$R$155:$W$155</c15:sqref>
                  </c15:fullRef>
                </c:ext>
              </c:extLst>
              <c:f>q17_a_q19_q26_a_q29_q37_q40_Fig!$S$155:$V$155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q17_a_q19_q26_a_q29_q37_q40_Fig!$R$156:$W$156</c15:sqref>
                  </c15:fullRef>
                </c:ext>
              </c:extLst>
              <c:f>q17_a_q19_q26_a_q29_q37_q40_Fig!$S$156:$V$156</c:f>
              <c:numCache>
                <c:formatCode>#,##0.00\ "€"</c:formatCode>
                <c:ptCount val="4"/>
                <c:pt idx="0">
                  <c:v>821.44</c:v>
                </c:pt>
                <c:pt idx="1">
                  <c:v>927.83</c:v>
                </c:pt>
                <c:pt idx="2">
                  <c:v>1057.23</c:v>
                </c:pt>
                <c:pt idx="3">
                  <c:v>1870.81</c:v>
                </c:pt>
              </c:numCache>
            </c:numRef>
          </c:val>
          <c:extLst>
            <c:ext xmlns:c15="http://schemas.microsoft.com/office/drawing/2012/chart" uri="{02D57815-91ED-43cb-92C2-25804820EDAC}">
              <c15:categoryFilterExceptions>
                <c15:categoryFilterException>
                  <c15:sqref>q17_a_q19_q26_a_q29_q37_q40_Fig!$W$156</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0A64-443D-AA8C-2A067C297490}"/>
            </c:ext>
          </c:extLst>
        </c:ser>
        <c:ser>
          <c:idx val="1"/>
          <c:order val="1"/>
          <c:tx>
            <c:strRef>
              <c:f>q17_a_q19_q26_a_q29_q37_q40_Fig!$Q$157</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q17_a_q19_q26_a_q29_q37_q40_Fig!$R$155:$W$155</c15:sqref>
                  </c15:fullRef>
                </c:ext>
              </c:extLst>
              <c:f>q17_a_q19_q26_a_q29_q37_q40_Fig!$S$155:$V$155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q17_a_q19_q26_a_q29_q37_q40_Fig!$R$157:$W$157</c15:sqref>
                  </c15:fullRef>
                </c:ext>
              </c:extLst>
              <c:f>q17_a_q19_q26_a_q29_q37_q40_Fig!$S$157:$V$157</c:f>
              <c:numCache>
                <c:formatCode>#,##0.00\ "€"</c:formatCode>
                <c:ptCount val="4"/>
                <c:pt idx="0">
                  <c:v>968.17</c:v>
                </c:pt>
                <c:pt idx="1">
                  <c:v>1122.23</c:v>
                </c:pt>
                <c:pt idx="2">
                  <c:v>1297.5899999999999</c:v>
                </c:pt>
                <c:pt idx="3">
                  <c:v>2204.65</c:v>
                </c:pt>
              </c:numCache>
            </c:numRef>
          </c:val>
          <c:extLst>
            <c:ext xmlns:c16="http://schemas.microsoft.com/office/drawing/2014/chart" uri="{C3380CC4-5D6E-409C-BE32-E72D297353CC}">
              <c16:uniqueId val="{00000005-0A64-443D-AA8C-2A067C297490}"/>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9273983843809283"/>
          <c:y val="8.2522611688207285E-3"/>
          <c:w val="0.23703567588317281"/>
          <c:h val="6.992608664633585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7702860588135602"/>
          <c:w val="0.7546157966014222"/>
          <c:h val="0.74281478392983291"/>
        </c:manualLayout>
      </c:layout>
      <c:barChart>
        <c:barDir val="bar"/>
        <c:grouping val="clustered"/>
        <c:varyColors val="0"/>
        <c:ser>
          <c:idx val="0"/>
          <c:order val="0"/>
          <c:tx>
            <c:strRef>
              <c:f>q17_a_q19_q26_a_q29_q37_q40_Fig!$Q$161</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1E7C-482C-B8DB-5954607137C7}"/>
              </c:ext>
            </c:extLst>
          </c:dPt>
          <c:dPt>
            <c:idx val="1"/>
            <c:invertIfNegative val="0"/>
            <c:bubble3D val="0"/>
            <c:extLst>
              <c:ext xmlns:c16="http://schemas.microsoft.com/office/drawing/2014/chart" uri="{C3380CC4-5D6E-409C-BE32-E72D297353CC}">
                <c16:uniqueId val="{00000001-1E7C-482C-B8DB-5954607137C7}"/>
              </c:ext>
            </c:extLst>
          </c:dPt>
          <c:dPt>
            <c:idx val="2"/>
            <c:invertIfNegative val="0"/>
            <c:bubble3D val="0"/>
            <c:extLst>
              <c:ext xmlns:c16="http://schemas.microsoft.com/office/drawing/2014/chart" uri="{C3380CC4-5D6E-409C-BE32-E72D297353CC}">
                <c16:uniqueId val="{00000002-1E7C-482C-B8DB-5954607137C7}"/>
              </c:ext>
            </c:extLst>
          </c:dPt>
          <c:dPt>
            <c:idx val="3"/>
            <c:invertIfNegative val="0"/>
            <c:bubble3D val="0"/>
            <c:extLst>
              <c:ext xmlns:c16="http://schemas.microsoft.com/office/drawing/2014/chart" uri="{C3380CC4-5D6E-409C-BE32-E72D297353CC}">
                <c16:uniqueId val="{00000003-1E7C-482C-B8DB-5954607137C7}"/>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q17_a_q19_q26_a_q29_q37_q40_Fig!$R$160:$W$160</c15:sqref>
                  </c15:fullRef>
                </c:ext>
              </c:extLst>
              <c:f>q17_a_q19_q26_a_q29_q37_q40_Fig!$S$160:$V$160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q17_a_q19_q26_a_q29_q37_q40_Fig!$R$161:$W$161</c15:sqref>
                  </c15:fullRef>
                </c:ext>
              </c:extLst>
              <c:f>q17_a_q19_q26_a_q29_q37_q40_Fig!$S$161:$V$161</c:f>
              <c:numCache>
                <c:formatCode>#,##0.00\ "€"</c:formatCode>
                <c:ptCount val="4"/>
                <c:pt idx="0">
                  <c:v>764</c:v>
                </c:pt>
                <c:pt idx="1">
                  <c:v>800</c:v>
                </c:pt>
                <c:pt idx="2">
                  <c:v>850</c:v>
                </c:pt>
                <c:pt idx="3">
                  <c:v>1452.5</c:v>
                </c:pt>
              </c:numCache>
            </c:numRef>
          </c:val>
          <c:extLst>
            <c:ext xmlns:c15="http://schemas.microsoft.com/office/drawing/2012/chart" uri="{02D57815-91ED-43cb-92C2-25804820EDAC}">
              <c15:categoryFilterExceptions>
                <c15:categoryFilterException>
                  <c15:sqref>q17_a_q19_q26_a_q29_q37_q40_Fig!$W$161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1E7C-482C-B8DB-5954607137C7}"/>
            </c:ext>
          </c:extLst>
        </c:ser>
        <c:ser>
          <c:idx val="1"/>
          <c:order val="1"/>
          <c:tx>
            <c:strRef>
              <c:f>q17_a_q19_q26_a_q29_q37_q40_Fig!$Q$162</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q17_a_q19_q26_a_q29_q37_q40_Fig!$R$160:$W$160</c15:sqref>
                  </c15:fullRef>
                </c:ext>
              </c:extLst>
              <c:f>q17_a_q19_q26_a_q29_q37_q40_Fig!$S$160:$V$160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q17_a_q19_q26_a_q29_q37_q40_Fig!$R$162:$W$162</c15:sqref>
                  </c15:fullRef>
                </c:ext>
              </c:extLst>
              <c:f>q17_a_q19_q26_a_q29_q37_q40_Fig!$S$162:$V$162</c:f>
              <c:numCache>
                <c:formatCode>#,##0.00\ "€"</c:formatCode>
                <c:ptCount val="4"/>
                <c:pt idx="0">
                  <c:v>893.11</c:v>
                </c:pt>
                <c:pt idx="1">
                  <c:v>964</c:v>
                </c:pt>
                <c:pt idx="2">
                  <c:v>1050.8</c:v>
                </c:pt>
                <c:pt idx="3">
                  <c:v>1734.72</c:v>
                </c:pt>
              </c:numCache>
            </c:numRef>
          </c:val>
          <c:extLst>
            <c:ext xmlns:c16="http://schemas.microsoft.com/office/drawing/2014/chart" uri="{C3380CC4-5D6E-409C-BE32-E72D297353CC}">
              <c16:uniqueId val="{00000005-1E7C-482C-B8DB-5954607137C7}"/>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2584854060556499"/>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q11_q13_q15_q17_Fig!$AS$4</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6800081692632286E-2"/>
                  <c:y val="-6.8592148410570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A5-45B2-B37E-1C5EAD54CE62}"/>
                </c:ext>
              </c:extLst>
            </c:dLbl>
            <c:dLbl>
              <c:idx val="10"/>
              <c:layout>
                <c:manualLayout>
                  <c:x val="5.5720542022900242E-2"/>
                  <c:y val="-8.0425915383071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A5-45B2-B37E-1C5EAD54CE6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q11_q13_q15_q17_Fig!$AT$3:$BD$3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q11_q13_q15_q17_Fig!$AT$4:$BD$4</c:f>
              <c:numCache>
                <c:formatCode>#\ ###\ ##0</c:formatCode>
                <c:ptCount val="11"/>
                <c:pt idx="0">
                  <c:v>2555676</c:v>
                </c:pt>
                <c:pt idx="1">
                  <c:v>2636881</c:v>
                </c:pt>
                <c:pt idx="2">
                  <c:v>2716011</c:v>
                </c:pt>
                <c:pt idx="3">
                  <c:v>2819978</c:v>
                </c:pt>
                <c:pt idx="4">
                  <c:v>2946903</c:v>
                </c:pt>
                <c:pt idx="5">
                  <c:v>3060489</c:v>
                </c:pt>
                <c:pt idx="6">
                  <c:v>3110949</c:v>
                </c:pt>
                <c:pt idx="7">
                  <c:v>3085566</c:v>
                </c:pt>
                <c:pt idx="8">
                  <c:v>3102345</c:v>
                </c:pt>
                <c:pt idx="9">
                  <c:v>3337082</c:v>
                </c:pt>
                <c:pt idx="10">
                  <c:v>3489583</c:v>
                </c:pt>
              </c:numCache>
            </c:numRef>
          </c:val>
          <c:extLst>
            <c:ext xmlns:c16="http://schemas.microsoft.com/office/drawing/2014/chart" uri="{C3380CC4-5D6E-409C-BE32-E72D297353CC}">
              <c16:uniqueId val="{00000002-9DA5-45B2-B37E-1C5EAD54CE62}"/>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q11_q13_q15_q17_Fig!$AS$5</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9DA5-45B2-B37E-1C5EAD54CE62}"/>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9DA5-45B2-B37E-1C5EAD54CE62}"/>
              </c:ext>
            </c:extLst>
          </c:dPt>
          <c:dLbls>
            <c:dLbl>
              <c:idx val="0"/>
              <c:layout>
                <c:manualLayout>
                  <c:x val="-1.9483754794768413E-2"/>
                  <c:y val="-7.4069634577372159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C000"/>
                      </a:solidFill>
                      <a:latin typeface="+mn-lt"/>
                      <a:ea typeface="+mn-ea"/>
                      <a:cs typeface="+mn-cs"/>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15235967373628478"/>
                      <c:h val="5.2349626592401534E-2"/>
                    </c:manualLayout>
                  </c15:layout>
                </c:ext>
                <c:ext xmlns:c16="http://schemas.microsoft.com/office/drawing/2014/chart" uri="{C3380CC4-5D6E-409C-BE32-E72D297353CC}">
                  <c16:uniqueId val="{00000003-9DA5-45B2-B37E-1C5EAD54CE62}"/>
                </c:ext>
              </c:extLst>
            </c:dLbl>
            <c:dLbl>
              <c:idx val="10"/>
              <c:layout>
                <c:manualLayout>
                  <c:x val="1.318458355744118E-2"/>
                  <c:y val="-1.0969271600849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A5-45B2-B37E-1C5EAD54CE6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q11_q13_q15_q17_Fig!$AT$3:$BD$3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q11_q13_q15_q17_Fig!$AT$5:$BD$5</c:f>
              <c:numCache>
                <c:formatCode>#\ ###\ ##0</c:formatCode>
                <c:ptCount val="11"/>
                <c:pt idx="0">
                  <c:v>2384121</c:v>
                </c:pt>
                <c:pt idx="1">
                  <c:v>2458163</c:v>
                </c:pt>
                <c:pt idx="2">
                  <c:v>2537653</c:v>
                </c:pt>
                <c:pt idx="3">
                  <c:v>2641919</c:v>
                </c:pt>
                <c:pt idx="4">
                  <c:v>2767521</c:v>
                </c:pt>
                <c:pt idx="5">
                  <c:v>2877918</c:v>
                </c:pt>
                <c:pt idx="6">
                  <c:v>2930482</c:v>
                </c:pt>
                <c:pt idx="7">
                  <c:v>2902825</c:v>
                </c:pt>
                <c:pt idx="8">
                  <c:v>2922343</c:v>
                </c:pt>
                <c:pt idx="9">
                  <c:v>3148147</c:v>
                </c:pt>
                <c:pt idx="10">
                  <c:v>3296134</c:v>
                </c:pt>
              </c:numCache>
            </c:numRef>
          </c:val>
          <c:smooth val="0"/>
          <c:extLst>
            <c:ext xmlns:c16="http://schemas.microsoft.com/office/drawing/2014/chart" uri="{C3380CC4-5D6E-409C-BE32-E72D297353CC}">
              <c16:uniqueId val="{00000006-9DA5-45B2-B37E-1C5EAD54CE62}"/>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3600000"/>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400000"/>
      </c:valAx>
      <c:spPr>
        <a:noFill/>
        <a:ln>
          <a:noFill/>
        </a:ln>
        <a:effectLst/>
      </c:spPr>
    </c:plotArea>
    <c:legend>
      <c:legendPos val="b"/>
      <c:layout>
        <c:manualLayout>
          <c:xMode val="edge"/>
          <c:yMode val="edge"/>
          <c:x val="1.3975067550970277E-2"/>
          <c:y val="0.87446938131313134"/>
          <c:w val="0.56198825022516985"/>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q17_a_q19_q26_a_q29_q37_q40_Fig!$R$44</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q17_a_q19_q26_a_q29_q37_q40_Fig!$R$45:$R$52</c:f>
              <c:numCache>
                <c:formatCode>#,##0</c:formatCode>
                <c:ptCount val="8"/>
                <c:pt idx="0">
                  <c:v>-162389</c:v>
                </c:pt>
                <c:pt idx="1">
                  <c:v>-100757</c:v>
                </c:pt>
                <c:pt idx="2">
                  <c:v>-101143</c:v>
                </c:pt>
                <c:pt idx="3">
                  <c:v>-149227</c:v>
                </c:pt>
                <c:pt idx="4">
                  <c:v>-686194</c:v>
                </c:pt>
                <c:pt idx="5">
                  <c:v>-289714</c:v>
                </c:pt>
                <c:pt idx="6">
                  <c:v>-210562</c:v>
                </c:pt>
                <c:pt idx="7">
                  <c:v>-43325</c:v>
                </c:pt>
              </c:numCache>
            </c:numRef>
          </c:val>
          <c:extLst>
            <c:ext xmlns:c16="http://schemas.microsoft.com/office/drawing/2014/chart" uri="{C3380CC4-5D6E-409C-BE32-E72D297353CC}">
              <c16:uniqueId val="{00000000-1154-43D7-BBE2-6DFCBD41DFCB}"/>
            </c:ext>
          </c:extLst>
        </c:ser>
        <c:ser>
          <c:idx val="1"/>
          <c:order val="1"/>
          <c:tx>
            <c:strRef>
              <c:f>q17_a_q19_q26_a_q29_q37_q40_Fig!$S$44</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q17_a_q19_q26_a_q29_q37_q40_Fig!$S$45:$S$52</c:f>
              <c:numCache>
                <c:formatCode>#,##0</c:formatCode>
                <c:ptCount val="8"/>
                <c:pt idx="0">
                  <c:v>152799</c:v>
                </c:pt>
                <c:pt idx="1">
                  <c:v>96479</c:v>
                </c:pt>
                <c:pt idx="2">
                  <c:v>68210</c:v>
                </c:pt>
                <c:pt idx="3">
                  <c:v>147330</c:v>
                </c:pt>
                <c:pt idx="4">
                  <c:v>493181</c:v>
                </c:pt>
                <c:pt idx="5">
                  <c:v>375328</c:v>
                </c:pt>
                <c:pt idx="6">
                  <c:v>185755</c:v>
                </c:pt>
                <c:pt idx="7">
                  <c:v>33741</c:v>
                </c:pt>
              </c:numCache>
            </c:numRef>
          </c:val>
          <c:extLst>
            <c:ext xmlns:c16="http://schemas.microsoft.com/office/drawing/2014/chart" uri="{C3380CC4-5D6E-409C-BE32-E72D297353CC}">
              <c16:uniqueId val="{00000001-1154-43D7-BBE2-6DFCBD41DFCB}"/>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680000"/>
          <c:min val="-680000"/>
        </c:scaling>
        <c:delete val="1"/>
        <c:axPos val="t"/>
        <c:numFmt formatCode="#,##0;#,##0" sourceLinked="0"/>
        <c:majorTickMark val="out"/>
        <c:minorTickMark val="none"/>
        <c:tickLblPos val="nextTo"/>
        <c:crossAx val="1261817855"/>
        <c:crosses val="autoZero"/>
        <c:crossBetween val="between"/>
        <c:majorUnit val="300000"/>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32626710030457906"/>
          <c:y val="2.196221962219622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0.10057665234430598"/>
          <c:y val="0.1704118028534371"/>
          <c:w val="0.44813898561610344"/>
          <c:h val="0.68743028534370942"/>
        </c:manualLayout>
      </c:layout>
      <c:doughnutChart>
        <c:varyColors val="1"/>
        <c:ser>
          <c:idx val="0"/>
          <c:order val="0"/>
          <c:tx>
            <c:strRef>
              <c:f>q17_a_q19_q26_a_q29_q37_q40_Fig!$T$44</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1F-4470-897D-E290E6B796C0}"/>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1F-4470-897D-E290E6B796C0}"/>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1F-4470-897D-E290E6B796C0}"/>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1F-4470-897D-E290E6B796C0}"/>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1F-4470-897D-E290E6B796C0}"/>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1F-4470-897D-E290E6B796C0}"/>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1F-4470-897D-E290E6B796C0}"/>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1F-4470-897D-E290E6B796C0}"/>
              </c:ext>
            </c:extLst>
          </c:dPt>
          <c:dLbls>
            <c:dLbl>
              <c:idx val="0"/>
              <c:layout>
                <c:manualLayout>
                  <c:x val="5.7951507621849772E-3"/>
                  <c:y val="-3.108895560716781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201F-4470-897D-E290E6B796C0}"/>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01F-4470-897D-E290E6B796C0}"/>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01F-4470-897D-E290E6B796C0}"/>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201F-4470-897D-E290E6B796C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q17_a_q19_q26_a_q29_q37_q40_Fig!$Q$45:$Q$52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q17_a_q19_q26_a_q29_q37_q40_Fig!$T$45:$T$52</c:f>
              <c:numCache>
                <c:formatCode>#,##0</c:formatCode>
                <c:ptCount val="8"/>
                <c:pt idx="0">
                  <c:v>315188</c:v>
                </c:pt>
                <c:pt idx="1">
                  <c:v>197236</c:v>
                </c:pt>
                <c:pt idx="2">
                  <c:v>169353</c:v>
                </c:pt>
                <c:pt idx="3">
                  <c:v>296557</c:v>
                </c:pt>
                <c:pt idx="4">
                  <c:v>1179375</c:v>
                </c:pt>
                <c:pt idx="5">
                  <c:v>665042</c:v>
                </c:pt>
                <c:pt idx="6">
                  <c:v>396317</c:v>
                </c:pt>
                <c:pt idx="7">
                  <c:v>77066</c:v>
                </c:pt>
              </c:numCache>
            </c:numRef>
          </c:val>
          <c:extLst>
            <c:ext xmlns:c16="http://schemas.microsoft.com/office/drawing/2014/chart" uri="{C3380CC4-5D6E-409C-BE32-E72D297353CC}">
              <c16:uniqueId val="{00000010-201F-4470-897D-E290E6B796C0}"/>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169350054184462"/>
          <c:y val="0.14209342093420935"/>
          <c:w val="0.43208164168356555"/>
          <c:h val="0.84273842738427385"/>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3893333333333333"/>
          <c:w val="0.564163817970042"/>
          <c:h val="0.78091002624671901"/>
        </c:manualLayout>
      </c:layout>
      <c:barChart>
        <c:barDir val="bar"/>
        <c:grouping val="clustered"/>
        <c:varyColors val="0"/>
        <c:ser>
          <c:idx val="0"/>
          <c:order val="0"/>
          <c:tx>
            <c:strRef>
              <c:f>q17_a_q19_q26_a_q29_q37_q40_Fig!$Q$132</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2EB0-49FB-BC72-9B1CD4A2AE19}"/>
              </c:ext>
            </c:extLst>
          </c:dPt>
          <c:dPt>
            <c:idx val="1"/>
            <c:invertIfNegative val="0"/>
            <c:bubble3D val="0"/>
            <c:extLst>
              <c:ext xmlns:c16="http://schemas.microsoft.com/office/drawing/2014/chart" uri="{C3380CC4-5D6E-409C-BE32-E72D297353CC}">
                <c16:uniqueId val="{00000001-2EB0-49FB-BC72-9B1CD4A2AE19}"/>
              </c:ext>
            </c:extLst>
          </c:dPt>
          <c:dPt>
            <c:idx val="2"/>
            <c:invertIfNegative val="0"/>
            <c:bubble3D val="0"/>
            <c:extLst>
              <c:ext xmlns:c16="http://schemas.microsoft.com/office/drawing/2014/chart" uri="{C3380CC4-5D6E-409C-BE32-E72D297353CC}">
                <c16:uniqueId val="{00000002-2EB0-49FB-BC72-9B1CD4A2AE19}"/>
              </c:ext>
            </c:extLst>
          </c:dPt>
          <c:dPt>
            <c:idx val="3"/>
            <c:invertIfNegative val="0"/>
            <c:bubble3D val="0"/>
            <c:extLst>
              <c:ext xmlns:c16="http://schemas.microsoft.com/office/drawing/2014/chart" uri="{C3380CC4-5D6E-409C-BE32-E72D297353CC}">
                <c16:uniqueId val="{00000003-2EB0-49FB-BC72-9B1CD4A2AE19}"/>
              </c:ext>
            </c:extLst>
          </c:dPt>
          <c:dPt>
            <c:idx val="4"/>
            <c:invertIfNegative val="0"/>
            <c:bubble3D val="0"/>
            <c:extLst>
              <c:ext xmlns:c16="http://schemas.microsoft.com/office/drawing/2014/chart" uri="{C3380CC4-5D6E-409C-BE32-E72D297353CC}">
                <c16:uniqueId val="{00000004-2EB0-49FB-BC72-9B1CD4A2AE19}"/>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q17_a_q19_q26_a_q29_q37_q40_Fig!$R$131:$Z$131</c15:sqref>
                  </c15:fullRef>
                </c:ext>
              </c:extLst>
              <c:f>q17_a_q19_q26_a_q29_q37_q40_Fig!$S$131:$Z$131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q17_a_q19_q26_a_q29_q37_q40_Fig!$R$132:$Z$132</c15:sqref>
                  </c15:fullRef>
                </c:ext>
              </c:extLst>
              <c:f>q17_a_q19_q26_a_q29_q37_q40_Fig!$S$132:$Z$132</c:f>
              <c:numCache>
                <c:formatCode>#,##0.00\ "€"</c:formatCode>
                <c:ptCount val="8"/>
                <c:pt idx="0">
                  <c:v>2373.94</c:v>
                </c:pt>
                <c:pt idx="1">
                  <c:v>1735.82</c:v>
                </c:pt>
                <c:pt idx="2">
                  <c:v>1651.96</c:v>
                </c:pt>
                <c:pt idx="3">
                  <c:v>1334.45</c:v>
                </c:pt>
                <c:pt idx="4">
                  <c:v>976.9</c:v>
                </c:pt>
                <c:pt idx="5">
                  <c:v>852.76</c:v>
                </c:pt>
                <c:pt idx="6">
                  <c:v>805.63</c:v>
                </c:pt>
                <c:pt idx="7">
                  <c:v>824.83</c:v>
                </c:pt>
              </c:numCache>
            </c:numRef>
          </c:val>
          <c:extLst>
            <c:ext xmlns:c16="http://schemas.microsoft.com/office/drawing/2014/chart" uri="{C3380CC4-5D6E-409C-BE32-E72D297353CC}">
              <c16:uniqueId val="{00000005-2EB0-49FB-BC72-9B1CD4A2AE19}"/>
            </c:ext>
          </c:extLst>
        </c:ser>
        <c:ser>
          <c:idx val="1"/>
          <c:order val="1"/>
          <c:tx>
            <c:strRef>
              <c:f>q17_a_q19_q26_a_q29_q37_q40_Fig!$Q$133</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q17_a_q19_q26_a_q29_q37_q40_Fig!$R$131:$Z$131</c15:sqref>
                  </c15:fullRef>
                </c:ext>
              </c:extLst>
              <c:f>q17_a_q19_q26_a_q29_q37_q40_Fig!$S$131:$Z$131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q17_a_q19_q26_a_q29_q37_q40_Fig!$R$133:$Z$133</c15:sqref>
                  </c15:fullRef>
                </c:ext>
              </c:extLst>
              <c:f>q17_a_q19_q26_a_q29_q37_q40_Fig!$S$133:$Z$133</c:f>
              <c:numCache>
                <c:formatCode>#,##0.00\ "€"</c:formatCode>
                <c:ptCount val="8"/>
                <c:pt idx="0">
                  <c:v>2770.63</c:v>
                </c:pt>
                <c:pt idx="1">
                  <c:v>2069.0700000000002</c:v>
                </c:pt>
                <c:pt idx="2">
                  <c:v>1991.34</c:v>
                </c:pt>
                <c:pt idx="3">
                  <c:v>1649.77</c:v>
                </c:pt>
                <c:pt idx="4">
                  <c:v>1193.5999999999999</c:v>
                </c:pt>
                <c:pt idx="5">
                  <c:v>1028.9100000000001</c:v>
                </c:pt>
                <c:pt idx="6">
                  <c:v>950.15</c:v>
                </c:pt>
                <c:pt idx="7">
                  <c:v>979</c:v>
                </c:pt>
              </c:numCache>
            </c:numRef>
          </c:val>
          <c:extLst>
            <c:ext xmlns:c16="http://schemas.microsoft.com/office/drawing/2014/chart" uri="{C3380CC4-5D6E-409C-BE32-E72D297353CC}">
              <c16:uniqueId val="{00000006-2EB0-49FB-BC72-9B1CD4A2AE19}"/>
            </c:ext>
          </c:extLst>
        </c:ser>
        <c:dLbls>
          <c:showLegendKey val="0"/>
          <c:showVal val="0"/>
          <c:showCatName val="0"/>
          <c:showSerName val="0"/>
          <c:showPercent val="0"/>
          <c:showBubbleSize val="0"/>
        </c:dLbls>
        <c:gapWidth val="42"/>
        <c:axId val="891633855"/>
        <c:axId val="1319480015"/>
      </c:barChart>
      <c:valAx>
        <c:axId val="1319480015"/>
        <c:scaling>
          <c:orientation val="minMax"/>
          <c:max val="28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022566875875509"/>
          <c:y val="3.2000000000000001E-2"/>
          <c:w val="0.26686175496572434"/>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7446682230048"/>
          <c:y val="0.22899703122140164"/>
          <c:w val="0.76325533177699523"/>
          <c:h val="0.77100296877859842"/>
        </c:manualLayout>
      </c:layout>
      <c:barChart>
        <c:barDir val="bar"/>
        <c:grouping val="clustered"/>
        <c:varyColors val="0"/>
        <c:ser>
          <c:idx val="0"/>
          <c:order val="0"/>
          <c:tx>
            <c:strRef>
              <c:f>q17_a_q19_q26_a_q29_q37_q40_Fig!$R$120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q17_a_q19_q26_a_q29_q37_q40_Fig!$R$121:$R$128</c:f>
              <c:numCache>
                <c:formatCode>#,##0.00\ "€"</c:formatCode>
                <c:ptCount val="8"/>
                <c:pt idx="0">
                  <c:v>-2702.18</c:v>
                </c:pt>
                <c:pt idx="1">
                  <c:v>-1872.23</c:v>
                </c:pt>
                <c:pt idx="2">
                  <c:v>-1701.91</c:v>
                </c:pt>
                <c:pt idx="3">
                  <c:v>-1437.35</c:v>
                </c:pt>
                <c:pt idx="4">
                  <c:v>-1006.52</c:v>
                </c:pt>
                <c:pt idx="5">
                  <c:v>-890.82</c:v>
                </c:pt>
                <c:pt idx="6">
                  <c:v>-820.99</c:v>
                </c:pt>
                <c:pt idx="7">
                  <c:v>-832.8</c:v>
                </c:pt>
              </c:numCache>
            </c:numRef>
          </c:val>
          <c:extLst>
            <c:ext xmlns:c16="http://schemas.microsoft.com/office/drawing/2014/chart" uri="{C3380CC4-5D6E-409C-BE32-E72D297353CC}">
              <c16:uniqueId val="{00000000-6967-41E3-A529-A2E39E3E06D9}"/>
            </c:ext>
          </c:extLst>
        </c:ser>
        <c:ser>
          <c:idx val="1"/>
          <c:order val="1"/>
          <c:tx>
            <c:strRef>
              <c:f>q17_a_q19_q26_a_q29_q37_q40_Fig!$S$120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q17_a_q19_q26_a_q29_q37_q40_Fig!$S$121:$S$128</c:f>
              <c:numCache>
                <c:formatCode>#,##0.00\ "€"</c:formatCode>
                <c:ptCount val="8"/>
                <c:pt idx="0">
                  <c:v>-3162.63</c:v>
                </c:pt>
                <c:pt idx="1">
                  <c:v>-2243.9499999999998</c:v>
                </c:pt>
                <c:pt idx="2">
                  <c:v>-2066.9499999999998</c:v>
                </c:pt>
                <c:pt idx="3">
                  <c:v>-1817.72</c:v>
                </c:pt>
                <c:pt idx="4">
                  <c:v>-1254.57</c:v>
                </c:pt>
                <c:pt idx="5">
                  <c:v>-1097.93</c:v>
                </c:pt>
                <c:pt idx="6">
                  <c:v>-985.99</c:v>
                </c:pt>
                <c:pt idx="7">
                  <c:v>-997.54</c:v>
                </c:pt>
              </c:numCache>
            </c:numRef>
          </c:val>
          <c:extLst>
            <c:ext xmlns:c16="http://schemas.microsoft.com/office/drawing/2014/chart" uri="{C3380CC4-5D6E-409C-BE32-E72D297353CC}">
              <c16:uniqueId val="{00000001-6967-41E3-A529-A2E39E3E06D9}"/>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q17_a_q19_q26_a_q29_q37_q40_Fig!$T$120</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q17_a_q19_q26_a_q29_q37_q40_Fig!$Q$121:$Q$128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q17_a_q19_q26_a_q29_q37_q40_Fig!$T$121:$T$128</c:f>
              <c:numCache>
                <c:formatCode>#,##0.00\ "€"</c:formatCode>
                <c:ptCount val="8"/>
                <c:pt idx="0">
                  <c:v>1999.71</c:v>
                </c:pt>
                <c:pt idx="1">
                  <c:v>1585.82</c:v>
                </c:pt>
                <c:pt idx="2">
                  <c:v>1574.82</c:v>
                </c:pt>
                <c:pt idx="3">
                  <c:v>1225.3</c:v>
                </c:pt>
                <c:pt idx="4">
                  <c:v>933.93</c:v>
                </c:pt>
                <c:pt idx="5">
                  <c:v>820.02</c:v>
                </c:pt>
                <c:pt idx="6">
                  <c:v>785.16</c:v>
                </c:pt>
                <c:pt idx="7">
                  <c:v>812.84</c:v>
                </c:pt>
              </c:numCache>
            </c:numRef>
          </c:val>
          <c:extLst>
            <c:ext xmlns:c16="http://schemas.microsoft.com/office/drawing/2014/chart" uri="{C3380CC4-5D6E-409C-BE32-E72D297353CC}">
              <c16:uniqueId val="{00000002-6967-41E3-A529-A2E39E3E06D9}"/>
            </c:ext>
          </c:extLst>
        </c:ser>
        <c:ser>
          <c:idx val="3"/>
          <c:order val="3"/>
          <c:tx>
            <c:strRef>
              <c:f>q17_a_q19_q26_a_q29_q37_q40_Fig!$U$120</c:f>
              <c:strCache>
                <c:ptCount val="1"/>
                <c:pt idx="0">
                  <c:v>Ganho - M</c:v>
                </c:pt>
              </c:strCache>
            </c:strRef>
          </c:tx>
          <c:spPr>
            <a:solidFill>
              <a:srgbClr val="FFEF57"/>
            </a:solidFill>
          </c:spPr>
          <c:invertIfNegative val="0"/>
          <c:dLbls>
            <c:dLbl>
              <c:idx val="2"/>
              <c:spPr>
                <a:noFill/>
                <a:ln>
                  <a:noFill/>
                </a:ln>
                <a:effectLst/>
              </c:spPr>
              <c:txPr>
                <a:bodyPr wrap="none" lIns="38100" tIns="19050" rIns="38100" bIns="19050" anchor="ctr">
                  <a:no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6967-41E3-A529-A2E39E3E06D9}"/>
                </c:ext>
              </c:extLst>
            </c:dLbl>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q17_a_q19_q26_a_q29_q37_q40_Fig!$Q$121:$Q$128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q17_a_q19_q26_a_q29_q37_q40_Fig!$U$121:$U$128</c:f>
              <c:numCache>
                <c:formatCode>#,##0.00\ "€"</c:formatCode>
                <c:ptCount val="8"/>
                <c:pt idx="0">
                  <c:v>2323.69</c:v>
                </c:pt>
                <c:pt idx="1">
                  <c:v>1876.78</c:v>
                </c:pt>
                <c:pt idx="2">
                  <c:v>1874.53</c:v>
                </c:pt>
                <c:pt idx="3">
                  <c:v>1471.6</c:v>
                </c:pt>
                <c:pt idx="4">
                  <c:v>1105.1600000000001</c:v>
                </c:pt>
                <c:pt idx="5">
                  <c:v>969.55</c:v>
                </c:pt>
                <c:pt idx="6">
                  <c:v>902.36</c:v>
                </c:pt>
                <c:pt idx="7">
                  <c:v>951.06</c:v>
                </c:pt>
              </c:numCache>
            </c:numRef>
          </c:val>
          <c:extLst>
            <c:ext xmlns:c16="http://schemas.microsoft.com/office/drawing/2014/chart" uri="{C3380CC4-5D6E-409C-BE32-E72D297353CC}">
              <c16:uniqueId val="{00000004-6967-41E3-A529-A2E39E3E06D9}"/>
            </c:ext>
          </c:extLst>
        </c:ser>
        <c:dLbls>
          <c:showLegendKey val="0"/>
          <c:showVal val="0"/>
          <c:showCatName val="0"/>
          <c:showSerName val="0"/>
          <c:showPercent val="0"/>
          <c:showBubbleSize val="0"/>
        </c:dLbls>
        <c:gapWidth val="42"/>
        <c:axId val="1450336976"/>
        <c:axId val="465148416"/>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scaling>
        <c:delete val="1"/>
        <c:axPos val="t"/>
        <c:numFmt formatCode="#,##0;#,##0" sourceLinked="0"/>
        <c:majorTickMark val="out"/>
        <c:minorTickMark val="none"/>
        <c:tickLblPos val="nextTo"/>
        <c:crossAx val="1261817855"/>
        <c:crosses val="autoZero"/>
        <c:crossBetween val="between"/>
        <c:majorUnit val="500"/>
      </c:valAx>
      <c:valAx>
        <c:axId val="465148416"/>
        <c:scaling>
          <c:orientation val="minMax"/>
        </c:scaling>
        <c:delete val="1"/>
        <c:axPos val="b"/>
        <c:numFmt formatCode="#,##0.00\ &quot;€&quot;" sourceLinked="1"/>
        <c:majorTickMark val="out"/>
        <c:minorTickMark val="none"/>
        <c:tickLblPos val="nextTo"/>
        <c:crossAx val="1450336976"/>
        <c:crosses val="max"/>
        <c:crossBetween val="between"/>
      </c:valAx>
      <c:catAx>
        <c:axId val="1450336976"/>
        <c:scaling>
          <c:orientation val="maxMin"/>
        </c:scaling>
        <c:delete val="1"/>
        <c:axPos val="r"/>
        <c:numFmt formatCode="General" sourceLinked="1"/>
        <c:majorTickMark val="out"/>
        <c:minorTickMark val="none"/>
        <c:tickLblPos val="nextTo"/>
        <c:crossAx val="465148416"/>
        <c:crosses val="max"/>
        <c:auto val="1"/>
        <c:lblAlgn val="ctr"/>
        <c:lblOffset val="100"/>
        <c:noMultiLvlLbl val="0"/>
      </c:catAx>
      <c:spPr>
        <a:noFill/>
        <a:ln>
          <a:noFill/>
        </a:ln>
        <a:effectLst/>
      </c:spPr>
    </c:plotArea>
    <c:legend>
      <c:legendPos val="t"/>
      <c:layout>
        <c:manualLayout>
          <c:xMode val="edge"/>
          <c:yMode val="edge"/>
          <c:x val="0.18002599047564213"/>
          <c:y val="4.1970662888849528E-2"/>
          <c:w val="0.72325983073291489"/>
          <c:h val="5.494043051374378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541962742462074E-2"/>
          <c:y val="0.13630659253375696"/>
          <c:w val="0.48749094168107027"/>
          <c:h val="0.61503188433701927"/>
        </c:manualLayout>
      </c:layout>
      <c:doughnutChart>
        <c:varyColors val="1"/>
        <c:ser>
          <c:idx val="0"/>
          <c:order val="0"/>
          <c:tx>
            <c:strRef>
              <c:f>q17_a_q19_q26_a_q29_q37_q40_Fig!$T$253</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01A-4E4D-B41E-49A96B66B3DF}"/>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01A-4E4D-B41E-49A96B66B3DF}"/>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01A-4E4D-B41E-49A96B66B3DF}"/>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01A-4E4D-B41E-49A96B66B3DF}"/>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01A-4E4D-B41E-49A96B66B3DF}"/>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001A-4E4D-B41E-49A96B66B3DF}"/>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01A-4E4D-B41E-49A96B66B3DF}"/>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001A-4E4D-B41E-49A96B66B3DF}"/>
              </c:ext>
            </c:extLst>
          </c:dPt>
          <c:dPt>
            <c:idx val="8"/>
            <c:bubble3D val="0"/>
            <c:spPr>
              <a:solidFill>
                <a:schemeClr val="accent5">
                  <a:lumMod val="80000"/>
                  <a:lumOff val="20000"/>
                </a:schemeClr>
              </a:solidFill>
              <a:ln>
                <a:noFill/>
              </a:ln>
              <a:effectLst/>
            </c:spPr>
            <c:extLst>
              <c:ext xmlns:c16="http://schemas.microsoft.com/office/drawing/2014/chart" uri="{C3380CC4-5D6E-409C-BE32-E72D297353CC}">
                <c16:uniqueId val="{00000011-001A-4E4D-B41E-49A96B66B3DF}"/>
              </c:ext>
            </c:extLst>
          </c:dPt>
          <c:dPt>
            <c:idx val="9"/>
            <c:bubble3D val="0"/>
            <c:spPr>
              <a:solidFill>
                <a:schemeClr val="accent1">
                  <a:lumMod val="80000"/>
                </a:schemeClr>
              </a:solidFill>
              <a:ln>
                <a:noFill/>
              </a:ln>
              <a:effectLst/>
            </c:spPr>
            <c:extLst>
              <c:ext xmlns:c16="http://schemas.microsoft.com/office/drawing/2014/chart" uri="{C3380CC4-5D6E-409C-BE32-E72D297353CC}">
                <c16:uniqueId val="{00000013-001A-4E4D-B41E-49A96B66B3DF}"/>
              </c:ext>
            </c:extLst>
          </c:dPt>
          <c:dLbls>
            <c:dLbl>
              <c:idx val="0"/>
              <c:layout>
                <c:manualLayout>
                  <c:x val="4.2276422764227585E-2"/>
                  <c:y val="-0.1805255334758886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1A-4E4D-B41E-49A96B66B3DF}"/>
                </c:ext>
              </c:extLst>
            </c:dLbl>
            <c:dLbl>
              <c:idx val="5"/>
              <c:layout>
                <c:manualLayout>
                  <c:x val="-0.14308943089430895"/>
                  <c:y val="0.1518055622410881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01A-4E4D-B41E-49A96B66B3DF}"/>
                </c:ext>
              </c:extLst>
            </c:dLbl>
            <c:dLbl>
              <c:idx val="9"/>
              <c:layout>
                <c:manualLayout>
                  <c:x val="-0.11382113821138215"/>
                  <c:y val="-0.18462838650943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layout>
                    <c:manualLayout>
                      <c:w val="8.4585365853658528E-2"/>
                      <c:h val="7.0589747971752992E-2"/>
                    </c:manualLayout>
                  </c15:layout>
                </c:ext>
                <c:ext xmlns:c16="http://schemas.microsoft.com/office/drawing/2014/chart" uri="{C3380CC4-5D6E-409C-BE32-E72D297353CC}">
                  <c16:uniqueId val="{00000013-001A-4E4D-B41E-49A96B66B3D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q17_a_q19_q26_a_q29_q37_q40_Fig!$S$254:$S$263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q17_a_q19_q26_a_q29_q37_q40_Fig!$T$254:$T$263</c:f>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14-001A-4E4D-B41E-49A96B66B3DF}"/>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9856961782216245"/>
          <c:y val="2.0381810857182919E-2"/>
          <c:w val="0.37078887592293658"/>
          <c:h val="0.9037076545992175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0742898448458355"/>
          <c:w val="0.41229760119940023"/>
          <c:h val="0.85925208587139457"/>
        </c:manualLayout>
      </c:layout>
      <c:barChart>
        <c:barDir val="bar"/>
        <c:grouping val="clustered"/>
        <c:varyColors val="0"/>
        <c:ser>
          <c:idx val="0"/>
          <c:order val="0"/>
          <c:tx>
            <c:strRef>
              <c:f>q17_a_q19_q26_a_q29_q37_q40_Fig!$T$253</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6D26-4136-92E5-4D966DDC6BD0}"/>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6D26-4136-92E5-4D966DDC6BD0}"/>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6D26-4136-92E5-4D966DDC6BD0}"/>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6D26-4136-92E5-4D966DDC6BD0}"/>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6D26-4136-92E5-4D966DDC6BD0}"/>
              </c:ext>
            </c:extLst>
          </c:dPt>
          <c:dPt>
            <c:idx val="5"/>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B-6D26-4136-92E5-4D966DDC6BD0}"/>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26-4136-92E5-4D966DDC6BD0}"/>
                </c:ext>
              </c:extLst>
            </c:dLbl>
            <c:spPr>
              <a:noFill/>
              <a:ln>
                <a:noFill/>
              </a:ln>
              <a:effectLst/>
            </c:spPr>
            <c:txPr>
              <a:bodyPr rot="0" spcFirstLastPara="1" vertOverflow="overflow" horzOverflow="overflow" vert="horz" wrap="non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q17_a_q19_q26_a_q29_q37_q40_Fig!$S$254:$S$263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q17_a_q19_q26_a_q29_q37_q40_Fig!$T$254:$T$263</c:f>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0C-6D26-4136-92E5-4D966DDC6BD0}"/>
            </c:ext>
          </c:extLst>
        </c:ser>
        <c:dLbls>
          <c:showLegendKey val="0"/>
          <c:showVal val="0"/>
          <c:showCatName val="0"/>
          <c:showSerName val="0"/>
          <c:showPercent val="0"/>
          <c:showBubbleSize val="0"/>
        </c:dLbls>
        <c:gapWidth val="118"/>
        <c:axId val="891633855"/>
        <c:axId val="1319480015"/>
      </c:barChart>
      <c:valAx>
        <c:axId val="1319480015"/>
        <c:scaling>
          <c:orientation val="minMax"/>
          <c:max val="8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4696557342948274"/>
          <c:w val="0.47051144456440863"/>
          <c:h val="0.79171744577056835"/>
        </c:manualLayout>
      </c:layout>
      <c:barChart>
        <c:barDir val="bar"/>
        <c:grouping val="clustered"/>
        <c:varyColors val="0"/>
        <c:ser>
          <c:idx val="1"/>
          <c:order val="1"/>
          <c:tx>
            <c:strRef>
              <c:f>q17_a_q19_q26_a_q29_q37_q40_Fig!$U$253</c:f>
              <c:strCache>
                <c:ptCount val="1"/>
                <c:pt idx="0">
                  <c:v>Base</c:v>
                </c:pt>
              </c:strCache>
            </c:strRef>
          </c:tx>
          <c:spPr>
            <a:solidFill>
              <a:srgbClr val="4F81BD"/>
            </a:solidFill>
            <a:ln w="19050">
              <a:solidFill>
                <a:schemeClr val="lt1"/>
              </a:solidFill>
            </a:ln>
            <a:effectLst/>
          </c:spPr>
          <c:invertIfNegative val="0"/>
          <c:dLbls>
            <c:numFmt formatCode="#,##0.00\ &quot;€&quot;"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q19_q28_q29_q39_Fig!$S$17:$S$26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q17_a_q19_q26_a_q29_q37_q40_Fig!$U$254:$U$263</c:f>
              <c:numCache>
                <c:formatCode>#,##0.00\ "€"</c:formatCode>
                <c:ptCount val="10"/>
                <c:pt idx="0">
                  <c:v>2657.57</c:v>
                </c:pt>
                <c:pt idx="1">
                  <c:v>1907.03</c:v>
                </c:pt>
                <c:pt idx="2">
                  <c:v>1506.33</c:v>
                </c:pt>
                <c:pt idx="3">
                  <c:v>1075.58</c:v>
                </c:pt>
                <c:pt idx="4">
                  <c:v>897.05</c:v>
                </c:pt>
                <c:pt idx="5">
                  <c:v>921.84</c:v>
                </c:pt>
                <c:pt idx="6">
                  <c:v>951.56</c:v>
                </c:pt>
                <c:pt idx="7">
                  <c:v>925.47</c:v>
                </c:pt>
                <c:pt idx="8">
                  <c:v>853.75</c:v>
                </c:pt>
                <c:pt idx="9">
                  <c:v>2853.07</c:v>
                </c:pt>
              </c:numCache>
            </c:numRef>
          </c:val>
          <c:extLst>
            <c:ext xmlns:c16="http://schemas.microsoft.com/office/drawing/2014/chart" uri="{C3380CC4-5D6E-409C-BE32-E72D297353CC}">
              <c16:uniqueId val="{00000000-E880-4ED0-88F3-932A5063397E}"/>
            </c:ext>
          </c:extLst>
        </c:ser>
        <c:ser>
          <c:idx val="2"/>
          <c:order val="2"/>
          <c:tx>
            <c:strRef>
              <c:f>q17_a_q19_q26_a_q29_q37_q40_Fig!$V$253</c:f>
              <c:strCache>
                <c:ptCount val="1"/>
                <c:pt idx="0">
                  <c:v>Ganho</c:v>
                </c:pt>
              </c:strCache>
            </c:strRef>
          </c:tx>
          <c:spPr>
            <a:solidFill>
              <a:srgbClr val="FFC000"/>
            </a:solidFill>
            <a:ln>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q19_q28_q29_q39_Fig!$S$17:$S$26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q17_a_q19_q26_a_q29_q37_q40_Fig!$V$254:$V$263</c:f>
              <c:numCache>
                <c:formatCode>#,##0.00\ "€"</c:formatCode>
                <c:ptCount val="10"/>
                <c:pt idx="0">
                  <c:v>3072.68</c:v>
                </c:pt>
                <c:pt idx="1">
                  <c:v>2222.79</c:v>
                </c:pt>
                <c:pt idx="2">
                  <c:v>1836.79</c:v>
                </c:pt>
                <c:pt idx="3">
                  <c:v>1303.32</c:v>
                </c:pt>
                <c:pt idx="4">
                  <c:v>1078.9100000000001</c:v>
                </c:pt>
                <c:pt idx="5">
                  <c:v>1062.6099999999999</c:v>
                </c:pt>
                <c:pt idx="6">
                  <c:v>1154.1400000000001</c:v>
                </c:pt>
                <c:pt idx="7">
                  <c:v>1235.24</c:v>
                </c:pt>
                <c:pt idx="8">
                  <c:v>1007.47</c:v>
                </c:pt>
                <c:pt idx="9">
                  <c:v>3169.09</c:v>
                </c:pt>
              </c:numCache>
            </c:numRef>
          </c:val>
          <c:extLst>
            <c:ext xmlns:c16="http://schemas.microsoft.com/office/drawing/2014/chart" uri="{C3380CC4-5D6E-409C-BE32-E72D297353CC}">
              <c16:uniqueId val="{00000001-E880-4ED0-88F3-932A5063397E}"/>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q17_a_q19_q26_a_q29_q37_q40_Fig!$T$253</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2-E880-4ED0-88F3-932A5063397E}"/>
                    </c:ext>
                  </c:extLst>
                </c:dPt>
                <c:dPt>
                  <c:idx val="2"/>
                  <c:invertIfNegative val="0"/>
                  <c:bubble3D val="0"/>
                  <c:extLst>
                    <c:ext xmlns:c16="http://schemas.microsoft.com/office/drawing/2014/chart" uri="{C3380CC4-5D6E-409C-BE32-E72D297353CC}">
                      <c16:uniqueId val="{00000003-E880-4ED0-88F3-932A5063397E}"/>
                    </c:ext>
                  </c:extLst>
                </c:dPt>
                <c:dPt>
                  <c:idx val="3"/>
                  <c:invertIfNegative val="0"/>
                  <c:bubble3D val="0"/>
                  <c:extLst>
                    <c:ext xmlns:c16="http://schemas.microsoft.com/office/drawing/2014/chart" uri="{C3380CC4-5D6E-409C-BE32-E72D297353CC}">
                      <c16:uniqueId val="{00000004-E880-4ED0-88F3-932A5063397E}"/>
                    </c:ext>
                  </c:extLst>
                </c:dPt>
                <c:dPt>
                  <c:idx val="4"/>
                  <c:invertIfNegative val="0"/>
                  <c:bubble3D val="0"/>
                  <c:extLst>
                    <c:ext xmlns:c16="http://schemas.microsoft.com/office/drawing/2014/chart" uri="{C3380CC4-5D6E-409C-BE32-E72D297353CC}">
                      <c16:uniqueId val="{00000005-E880-4ED0-88F3-932A5063397E}"/>
                    </c:ext>
                  </c:extLst>
                </c:dPt>
                <c:dPt>
                  <c:idx val="5"/>
                  <c:invertIfNegative val="0"/>
                  <c:bubble3D val="0"/>
                  <c:extLst>
                    <c:ext xmlns:c16="http://schemas.microsoft.com/office/drawing/2014/chart" uri="{C3380CC4-5D6E-409C-BE32-E72D297353CC}">
                      <c16:uniqueId val="{00000006-E880-4ED0-88F3-932A5063397E}"/>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q19_q28_q29_q39_Fig!$S$17:$S$26</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q17_a_q19_q26_a_q29_q37_q40_Fig!$T$254:$T$263</c15:sqref>
                        </c15:formulaRef>
                      </c:ext>
                    </c:extLst>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07-E880-4ED0-88F3-932A5063397E}"/>
                  </c:ext>
                </c:extLst>
              </c15:ser>
            </c15:filteredBarSeries>
          </c:ext>
        </c:extLst>
      </c:barChart>
      <c:valAx>
        <c:axId val="1319480015"/>
        <c:scaling>
          <c:orientation val="minMax"/>
          <c:max val="3300"/>
          <c:min val="0"/>
        </c:scaling>
        <c:delete val="1"/>
        <c:axPos val="t"/>
        <c:numFmt formatCode="#,##0.00\ &quot;€&quot;" sourceLinked="1"/>
        <c:majorTickMark val="out"/>
        <c:minorTickMark val="none"/>
        <c:tickLblPos val="nextTo"/>
        <c:crossAx val="891633855"/>
        <c:crosses val="autoZero"/>
        <c:crossBetween val="between"/>
        <c:majorUnit val="3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5036216525202521"/>
          <c:y val="1.9620487218601212E-2"/>
          <c:w val="0.16526299705334702"/>
          <c:h val="8.889572494316742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2141943790027154"/>
          <c:w val="0.7546157966014222"/>
          <c:h val="0.84693069647889441"/>
        </c:manualLayout>
      </c:layout>
      <c:barChart>
        <c:barDir val="bar"/>
        <c:grouping val="clustered"/>
        <c:varyColors val="0"/>
        <c:ser>
          <c:idx val="3"/>
          <c:order val="3"/>
          <c:tx>
            <c:strRef>
              <c:f>q17_a_q19_q26_a_q29_q37_q40_Fig!$W$253</c:f>
              <c:strCache>
                <c:ptCount val="1"/>
                <c:pt idx="0">
                  <c:v>Base</c:v>
                </c:pt>
              </c:strCache>
            </c:strRef>
          </c:tx>
          <c:spPr>
            <a:solidFill>
              <a:srgbClr val="4F81BD"/>
            </a:solidFill>
            <a:ln w="19050">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q17_a_q19_q26_a_q29_q37_q40_Fig!$S$254:$S$263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q17_a_q19_q26_a_q29_q37_q40_Fig!$W$254:$W$263</c:f>
              <c:numCache>
                <c:formatCode>#,##0.00\ "€"</c:formatCode>
                <c:ptCount val="10"/>
                <c:pt idx="0">
                  <c:v>15.43</c:v>
                </c:pt>
                <c:pt idx="1">
                  <c:v>11.33</c:v>
                </c:pt>
                <c:pt idx="2">
                  <c:v>8.6999999999999993</c:v>
                </c:pt>
                <c:pt idx="3">
                  <c:v>6.18</c:v>
                </c:pt>
                <c:pt idx="4">
                  <c:v>5.18</c:v>
                </c:pt>
                <c:pt idx="5">
                  <c:v>5</c:v>
                </c:pt>
                <c:pt idx="6">
                  <c:v>5.41</c:v>
                </c:pt>
                <c:pt idx="7">
                  <c:v>5.33</c:v>
                </c:pt>
                <c:pt idx="8">
                  <c:v>4.8600000000000003</c:v>
                </c:pt>
                <c:pt idx="9">
                  <c:v>16.690000000000001</c:v>
                </c:pt>
              </c:numCache>
            </c:numRef>
          </c:val>
          <c:extLst>
            <c:ext xmlns:c16="http://schemas.microsoft.com/office/drawing/2014/chart" uri="{C3380CC4-5D6E-409C-BE32-E72D297353CC}">
              <c16:uniqueId val="{00000000-2161-4DB6-A3B3-2F249B63F464}"/>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q17_a_q19_q26_a_q29_q37_q40_Fig!$T$253</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1-2161-4DB6-A3B3-2F249B63F464}"/>
                    </c:ext>
                  </c:extLst>
                </c:dPt>
                <c:dPt>
                  <c:idx val="2"/>
                  <c:invertIfNegative val="0"/>
                  <c:bubble3D val="0"/>
                  <c:extLst>
                    <c:ext xmlns:c16="http://schemas.microsoft.com/office/drawing/2014/chart" uri="{C3380CC4-5D6E-409C-BE32-E72D297353CC}">
                      <c16:uniqueId val="{00000002-2161-4DB6-A3B3-2F249B63F464}"/>
                    </c:ext>
                  </c:extLst>
                </c:dPt>
                <c:dPt>
                  <c:idx val="3"/>
                  <c:invertIfNegative val="0"/>
                  <c:bubble3D val="0"/>
                  <c:extLst>
                    <c:ext xmlns:c16="http://schemas.microsoft.com/office/drawing/2014/chart" uri="{C3380CC4-5D6E-409C-BE32-E72D297353CC}">
                      <c16:uniqueId val="{00000003-2161-4DB6-A3B3-2F249B63F464}"/>
                    </c:ext>
                  </c:extLst>
                </c:dPt>
                <c:dPt>
                  <c:idx val="4"/>
                  <c:invertIfNegative val="0"/>
                  <c:bubble3D val="0"/>
                  <c:extLst>
                    <c:ext xmlns:c16="http://schemas.microsoft.com/office/drawing/2014/chart" uri="{C3380CC4-5D6E-409C-BE32-E72D297353CC}">
                      <c16:uniqueId val="{00000004-2161-4DB6-A3B3-2F249B63F464}"/>
                    </c:ext>
                  </c:extLst>
                </c:dPt>
                <c:dPt>
                  <c:idx val="5"/>
                  <c:invertIfNegative val="0"/>
                  <c:bubble3D val="0"/>
                  <c:extLst>
                    <c:ext xmlns:c16="http://schemas.microsoft.com/office/drawing/2014/chart" uri="{C3380CC4-5D6E-409C-BE32-E72D297353CC}">
                      <c16:uniqueId val="{00000005-2161-4DB6-A3B3-2F249B63F464}"/>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q17_a_q19_q26_a_q29_q37_q40_Fig!$S$254:$S$263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q17_a_q19_q26_a_q29_q37_q40_Fig!$T$254:$T$263</c15:sqref>
                        </c15:formulaRef>
                      </c:ext>
                    </c:extLst>
                    <c:numCache>
                      <c:formatCode>#,##0</c:formatCode>
                      <c:ptCount val="10"/>
                      <c:pt idx="0">
                        <c:v>112926</c:v>
                      </c:pt>
                      <c:pt idx="1">
                        <c:v>416579</c:v>
                      </c:pt>
                      <c:pt idx="2">
                        <c:v>340854</c:v>
                      </c:pt>
                      <c:pt idx="3">
                        <c:v>434712</c:v>
                      </c:pt>
                      <c:pt idx="4">
                        <c:v>691852</c:v>
                      </c:pt>
                      <c:pt idx="5">
                        <c:v>37292</c:v>
                      </c:pt>
                      <c:pt idx="6">
                        <c:v>457733</c:v>
                      </c:pt>
                      <c:pt idx="7">
                        <c:v>324386</c:v>
                      </c:pt>
                      <c:pt idx="8">
                        <c:v>477160</c:v>
                      </c:pt>
                      <c:pt idx="9">
                        <c:v>2640</c:v>
                      </c:pt>
                    </c:numCache>
                  </c:numRef>
                </c:val>
                <c:extLst>
                  <c:ext xmlns:c16="http://schemas.microsoft.com/office/drawing/2014/chart" uri="{C3380CC4-5D6E-409C-BE32-E72D297353CC}">
                    <c16:uniqueId val="{00000006-2161-4DB6-A3B3-2F249B63F46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q17_a_q19_q26_a_q29_q37_q40_Fig!$U$253</c15:sqref>
                        </c15:formulaRef>
                      </c:ext>
                    </c:extLst>
                    <c:strCache>
                      <c:ptCount val="1"/>
                      <c:pt idx="0">
                        <c:v>Base</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q17_a_q19_q26_a_q29_q37_q40_Fig!$S$254:$S$263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xmlns:c15="http://schemas.microsoft.com/office/drawing/2012/chart">
                      <c:ext xmlns:c15="http://schemas.microsoft.com/office/drawing/2012/chart" uri="{02D57815-91ED-43cb-92C2-25804820EDAC}">
                        <c15:formulaRef>
                          <c15:sqref>q17_a_q19_q26_a_q29_q37_q40_Fig!$U$254:$U$263</c15:sqref>
                        </c15:formulaRef>
                      </c:ext>
                    </c:extLst>
                    <c:numCache>
                      <c:formatCode>#,##0.00\ "€"</c:formatCode>
                      <c:ptCount val="10"/>
                      <c:pt idx="0">
                        <c:v>2657.57</c:v>
                      </c:pt>
                      <c:pt idx="1">
                        <c:v>1907.03</c:v>
                      </c:pt>
                      <c:pt idx="2">
                        <c:v>1506.33</c:v>
                      </c:pt>
                      <c:pt idx="3">
                        <c:v>1075.58</c:v>
                      </c:pt>
                      <c:pt idx="4">
                        <c:v>897.05</c:v>
                      </c:pt>
                      <c:pt idx="5">
                        <c:v>921.84</c:v>
                      </c:pt>
                      <c:pt idx="6">
                        <c:v>951.56</c:v>
                      </c:pt>
                      <c:pt idx="7">
                        <c:v>925.47</c:v>
                      </c:pt>
                      <c:pt idx="8">
                        <c:v>853.75</c:v>
                      </c:pt>
                      <c:pt idx="9">
                        <c:v>2853.07</c:v>
                      </c:pt>
                    </c:numCache>
                  </c:numRef>
                </c:val>
                <c:extLst xmlns:c15="http://schemas.microsoft.com/office/drawing/2012/chart">
                  <c:ext xmlns:c16="http://schemas.microsoft.com/office/drawing/2014/chart" uri="{C3380CC4-5D6E-409C-BE32-E72D297353CC}">
                    <c16:uniqueId val="{00000007-2161-4DB6-A3B3-2F249B63F46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q17_a_q19_q26_a_q29_q37_q40_Fig!$V$253</c15:sqref>
                        </c15:formulaRef>
                      </c:ext>
                    </c:extLst>
                    <c:strCache>
                      <c:ptCount val="1"/>
                      <c:pt idx="0">
                        <c:v>Ganho</c:v>
                      </c:pt>
                    </c:strCache>
                  </c:strRef>
                </c:tx>
                <c:invertIfNegative val="0"/>
                <c:cat>
                  <c:strRef>
                    <c:extLst xmlns:c15="http://schemas.microsoft.com/office/drawing/2012/chart">
                      <c:ext xmlns:c15="http://schemas.microsoft.com/office/drawing/2012/chart" uri="{02D57815-91ED-43cb-92C2-25804820EDAC}">
                        <c15:formulaRef>
                          <c15:sqref>q17_a_q19_q26_a_q29_q37_q40_Fig!$S$254:$S$263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xmlns:c15="http://schemas.microsoft.com/office/drawing/2012/chart">
                      <c:ext xmlns:c15="http://schemas.microsoft.com/office/drawing/2012/chart" uri="{02D57815-91ED-43cb-92C2-25804820EDAC}">
                        <c15:formulaRef>
                          <c15:sqref>q17_a_q19_q26_a_q29_q37_q40_Fig!$V$254:$V$263</c15:sqref>
                        </c15:formulaRef>
                      </c:ext>
                    </c:extLst>
                    <c:numCache>
                      <c:formatCode>#,##0.00\ "€"</c:formatCode>
                      <c:ptCount val="10"/>
                      <c:pt idx="0">
                        <c:v>3072.68</c:v>
                      </c:pt>
                      <c:pt idx="1">
                        <c:v>2222.79</c:v>
                      </c:pt>
                      <c:pt idx="2">
                        <c:v>1836.79</c:v>
                      </c:pt>
                      <c:pt idx="3">
                        <c:v>1303.32</c:v>
                      </c:pt>
                      <c:pt idx="4">
                        <c:v>1078.9100000000001</c:v>
                      </c:pt>
                      <c:pt idx="5">
                        <c:v>1062.6099999999999</c:v>
                      </c:pt>
                      <c:pt idx="6">
                        <c:v>1154.1400000000001</c:v>
                      </c:pt>
                      <c:pt idx="7">
                        <c:v>1235.24</c:v>
                      </c:pt>
                      <c:pt idx="8">
                        <c:v>1007.47</c:v>
                      </c:pt>
                      <c:pt idx="9">
                        <c:v>3169.09</c:v>
                      </c:pt>
                    </c:numCache>
                  </c:numRef>
                </c:val>
                <c:extLst xmlns:c15="http://schemas.microsoft.com/office/drawing/2012/chart">
                  <c:ext xmlns:c16="http://schemas.microsoft.com/office/drawing/2014/chart" uri="{C3380CC4-5D6E-409C-BE32-E72D297353CC}">
                    <c16:uniqueId val="{00000008-2161-4DB6-A3B3-2F249B63F464}"/>
                  </c:ext>
                </c:extLst>
              </c15:ser>
            </c15:filteredBarSeries>
          </c:ext>
        </c:extLst>
      </c:barChart>
      <c:valAx>
        <c:axId val="1319480015"/>
        <c:scaling>
          <c:orientation val="minMax"/>
          <c:max val="20"/>
          <c:min val="0"/>
        </c:scaling>
        <c:delete val="1"/>
        <c:axPos val="t"/>
        <c:numFmt formatCode="#,##0.00\ &quot;€&quot;" sourceLinked="1"/>
        <c:majorTickMark val="out"/>
        <c:minorTickMark val="none"/>
        <c:tickLblPos val="nextTo"/>
        <c:crossAx val="891633855"/>
        <c:crosses val="autoZero"/>
        <c:crossBetween val="between"/>
        <c:majorUnit val="2"/>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17017432744235686"/>
          <c:h val="5.546408946742573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038397288886921E-2"/>
          <c:y val="0.13305232558139532"/>
          <c:w val="0.74059544722107495"/>
          <c:h val="0.74988738326313853"/>
        </c:manualLayout>
      </c:layout>
      <c:barChart>
        <c:barDir val="col"/>
        <c:grouping val="stacked"/>
        <c:varyColors val="0"/>
        <c:ser>
          <c:idx val="0"/>
          <c:order val="0"/>
          <c:tx>
            <c:strRef>
              <c:f>q21_q31_Fig!$A$6</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q21_q31_Fig!$B$6:$L$6</c:f>
              <c:numCache>
                <c:formatCode>0.0%</c:formatCode>
                <c:ptCount val="11"/>
                <c:pt idx="0">
                  <c:v>5.1753203234469409E-3</c:v>
                </c:pt>
                <c:pt idx="1">
                  <c:v>7.5470347823245985E-3</c:v>
                </c:pt>
                <c:pt idx="2">
                  <c:v>5.8283457994476508E-3</c:v>
                </c:pt>
                <c:pt idx="3">
                  <c:v>5.3890411798856496E-3</c:v>
                </c:pt>
                <c:pt idx="4">
                  <c:v>5.3899189612480261E-3</c:v>
                </c:pt>
                <c:pt idx="5">
                  <c:v>4.6670768628066213E-3</c:v>
                </c:pt>
                <c:pt idx="6">
                  <c:v>4.9964164128292422E-3</c:v>
                </c:pt>
                <c:pt idx="7">
                  <c:v>4.6522416984656105E-3</c:v>
                </c:pt>
                <c:pt idx="8">
                  <c:v>5.0086476651304149E-3</c:v>
                </c:pt>
                <c:pt idx="9">
                  <c:v>4.7863844973833336E-3</c:v>
                </c:pt>
                <c:pt idx="10">
                  <c:v>4.5003242016534283E-3</c:v>
                </c:pt>
              </c:numCache>
            </c:numRef>
          </c:val>
          <c:extLst>
            <c:ext xmlns:c16="http://schemas.microsoft.com/office/drawing/2014/chart" uri="{C3380CC4-5D6E-409C-BE32-E72D297353CC}">
              <c16:uniqueId val="{00000000-B90D-4524-BF0F-2EA66C5BDD0B}"/>
            </c:ext>
          </c:extLst>
        </c:ser>
        <c:ser>
          <c:idx val="1"/>
          <c:order val="1"/>
          <c:tx>
            <c:strRef>
              <c:f>q21_q31_Fig!$A$7</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q21_q31_Fig!$B$7:$L$7</c:f>
              <c:numCache>
                <c:formatCode>0.0%</c:formatCode>
                <c:ptCount val="11"/>
                <c:pt idx="0">
                  <c:v>0.14163154829567243</c:v>
                </c:pt>
                <c:pt idx="1">
                  <c:v>0.20369215067932647</c:v>
                </c:pt>
                <c:pt idx="2">
                  <c:v>0.18384224845075486</c:v>
                </c:pt>
                <c:pt idx="3">
                  <c:v>0.22109181370872022</c:v>
                </c:pt>
                <c:pt idx="4">
                  <c:v>0.22888510621531627</c:v>
                </c:pt>
                <c:pt idx="5">
                  <c:v>0.22317088266380225</c:v>
                </c:pt>
                <c:pt idx="6">
                  <c:v>0.20974556531087618</c:v>
                </c:pt>
                <c:pt idx="7">
                  <c:v>0.23879843890213009</c:v>
                </c:pt>
                <c:pt idx="8">
                  <c:v>0.23485068122516012</c:v>
                </c:pt>
                <c:pt idx="9">
                  <c:v>0.23346050170130656</c:v>
                </c:pt>
                <c:pt idx="10">
                  <c:v>0.20624493434916519</c:v>
                </c:pt>
              </c:numCache>
            </c:numRef>
          </c:val>
          <c:extLst>
            <c:ext xmlns:c16="http://schemas.microsoft.com/office/drawing/2014/chart" uri="{C3380CC4-5D6E-409C-BE32-E72D297353CC}">
              <c16:uniqueId val="{00000001-B90D-4524-BF0F-2EA66C5BDD0B}"/>
            </c:ext>
          </c:extLst>
        </c:ser>
        <c:ser>
          <c:idx val="2"/>
          <c:order val="2"/>
          <c:tx>
            <c:strRef>
              <c:f>q21_q31_Fig!$A$8</c:f>
              <c:strCache>
                <c:ptCount val="1"/>
                <c:pt idx="0">
                  <c:v>&gt;RMMG e &lt;= 999,99 €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q21_q31_Fig!$B$8:$L$8</c:f>
              <c:numCache>
                <c:formatCode>0.0%</c:formatCode>
                <c:ptCount val="11"/>
                <c:pt idx="0">
                  <c:v>0.60319352809901661</c:v>
                </c:pt>
                <c:pt idx="1">
                  <c:v>0.54175553996329417</c:v>
                </c:pt>
                <c:pt idx="2">
                  <c:v>0.5613940017005411</c:v>
                </c:pt>
                <c:pt idx="3">
                  <c:v>0.52377937535980879</c:v>
                </c:pt>
                <c:pt idx="4">
                  <c:v>0.50997986343912571</c:v>
                </c:pt>
                <c:pt idx="5">
                  <c:v>0.50294203130519</c:v>
                </c:pt>
                <c:pt idx="6">
                  <c:v>0.49900779430209641</c:v>
                </c:pt>
                <c:pt idx="7">
                  <c:v>0.44975874698144924</c:v>
                </c:pt>
                <c:pt idx="8">
                  <c:v>0.43323348150544805</c:v>
                </c:pt>
                <c:pt idx="9">
                  <c:v>0.40428893382685605</c:v>
                </c:pt>
                <c:pt idx="10">
                  <c:v>0.38834576106338142</c:v>
                </c:pt>
              </c:numCache>
            </c:numRef>
          </c:val>
          <c:extLst>
            <c:ext xmlns:c16="http://schemas.microsoft.com/office/drawing/2014/chart" uri="{C3380CC4-5D6E-409C-BE32-E72D297353CC}">
              <c16:uniqueId val="{00000002-B90D-4524-BF0F-2EA66C5BDD0B}"/>
            </c:ext>
          </c:extLst>
        </c:ser>
        <c:ser>
          <c:idx val="4"/>
          <c:order val="3"/>
          <c:tx>
            <c:strRef>
              <c:f>q21_q31_Fig!$A$9</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q21_q31_Fig!$B$9:$L$9</c:f>
              <c:numCache>
                <c:formatCode>0.0%</c:formatCode>
                <c:ptCount val="11"/>
                <c:pt idx="0">
                  <c:v>0.13618645963974821</c:v>
                </c:pt>
                <c:pt idx="1">
                  <c:v>0.13515638329373902</c:v>
                </c:pt>
                <c:pt idx="2">
                  <c:v>0.13673033065127307</c:v>
                </c:pt>
                <c:pt idx="3">
                  <c:v>0.13732516882726309</c:v>
                </c:pt>
                <c:pt idx="4">
                  <c:v>0.1414573466551404</c:v>
                </c:pt>
                <c:pt idx="5">
                  <c:v>0.14863141246975106</c:v>
                </c:pt>
                <c:pt idx="6">
                  <c:v>0.15694678373051424</c:v>
                </c:pt>
                <c:pt idx="7">
                  <c:v>0.16926526187573876</c:v>
                </c:pt>
                <c:pt idx="8">
                  <c:v>0.17971693097409155</c:v>
                </c:pt>
                <c:pt idx="9">
                  <c:v>0.19453183031966045</c:v>
                </c:pt>
                <c:pt idx="10">
                  <c:v>0.21866266817960772</c:v>
                </c:pt>
              </c:numCache>
            </c:numRef>
          </c:val>
          <c:extLst>
            <c:ext xmlns:c16="http://schemas.microsoft.com/office/drawing/2014/chart" uri="{C3380CC4-5D6E-409C-BE32-E72D297353CC}">
              <c16:uniqueId val="{00000004-B90D-4524-BF0F-2EA66C5BDD0B}"/>
            </c:ext>
          </c:extLst>
        </c:ser>
        <c:ser>
          <c:idx val="5"/>
          <c:order val="4"/>
          <c:tx>
            <c:strRef>
              <c:f>q21_q31_Fig!$A$10</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q21_q31_Fig!$B$10:$L$10</c:f>
              <c:numCache>
                <c:formatCode>0.0%</c:formatCode>
                <c:ptCount val="11"/>
                <c:pt idx="0">
                  <c:v>7.7581669717869936E-2</c:v>
                </c:pt>
                <c:pt idx="1">
                  <c:v>7.6610207814419587E-2</c:v>
                </c:pt>
                <c:pt idx="2">
                  <c:v>7.6416368385605976E-2</c:v>
                </c:pt>
                <c:pt idx="3">
                  <c:v>7.5857299902526196E-2</c:v>
                </c:pt>
                <c:pt idx="4">
                  <c:v>7.7197654909160335E-2</c:v>
                </c:pt>
                <c:pt idx="5">
                  <c:v>8.1324936554869331E-2</c:v>
                </c:pt>
                <c:pt idx="6">
                  <c:v>8.6777011288299594E-2</c:v>
                </c:pt>
                <c:pt idx="7">
                  <c:v>9.2550406216296899E-2</c:v>
                </c:pt>
                <c:pt idx="8">
                  <c:v>9.8043982670133603E-2</c:v>
                </c:pt>
                <c:pt idx="9">
                  <c:v>0.10679828206968098</c:v>
                </c:pt>
                <c:pt idx="10">
                  <c:v>0.11902577403144755</c:v>
                </c:pt>
              </c:numCache>
            </c:numRef>
          </c:val>
          <c:extLst>
            <c:ext xmlns:c16="http://schemas.microsoft.com/office/drawing/2014/chart" uri="{C3380CC4-5D6E-409C-BE32-E72D297353CC}">
              <c16:uniqueId val="{00000005-B90D-4524-BF0F-2EA66C5BDD0B}"/>
            </c:ext>
          </c:extLst>
        </c:ser>
        <c:ser>
          <c:idx val="6"/>
          <c:order val="5"/>
          <c:tx>
            <c:strRef>
              <c:f>q21_q31_Fig!$A$11</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q21_q31_Fig!$B$11:$L$11</c:f>
              <c:numCache>
                <c:formatCode>0.0%</c:formatCode>
                <c:ptCount val="11"/>
                <c:pt idx="0">
                  <c:v>2.3744902833149343E-2</c:v>
                </c:pt>
                <c:pt idx="1">
                  <c:v>2.339357788982771E-2</c:v>
                </c:pt>
                <c:pt idx="2">
                  <c:v>2.3905006752443711E-2</c:v>
                </c:pt>
                <c:pt idx="3">
                  <c:v>2.4396190394620498E-2</c:v>
                </c:pt>
                <c:pt idx="4">
                  <c:v>2.4870739977569757E-2</c:v>
                </c:pt>
                <c:pt idx="5">
                  <c:v>2.6643100792627713E-2</c:v>
                </c:pt>
                <c:pt idx="6">
                  <c:v>2.8876545421967388E-2</c:v>
                </c:pt>
                <c:pt idx="7">
                  <c:v>3.0903582891505917E-2</c:v>
                </c:pt>
                <c:pt idx="8">
                  <c:v>3.3638190415860442E-2</c:v>
                </c:pt>
                <c:pt idx="9">
                  <c:v>3.7576464102116271E-2</c:v>
                </c:pt>
                <c:pt idx="10">
                  <c:v>4.157278327119468E-2</c:v>
                </c:pt>
              </c:numCache>
            </c:numRef>
          </c:val>
          <c:extLst>
            <c:ext xmlns:c16="http://schemas.microsoft.com/office/drawing/2014/chart" uri="{C3380CC4-5D6E-409C-BE32-E72D297353CC}">
              <c16:uniqueId val="{00000006-B90D-4524-BF0F-2EA66C5BDD0B}"/>
            </c:ext>
          </c:extLst>
        </c:ser>
        <c:ser>
          <c:idx val="7"/>
          <c:order val="6"/>
          <c:tx>
            <c:strRef>
              <c:f>q21_q31_Fig!$A$12</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q21_q31_Fig!$B$12:$L$12</c:f>
              <c:numCache>
                <c:formatCode>0.0%</c:formatCode>
                <c:ptCount val="11"/>
                <c:pt idx="0">
                  <c:v>6.7965751058840706E-3</c:v>
                </c:pt>
                <c:pt idx="1">
                  <c:v>6.3013825080757372E-3</c:v>
                </c:pt>
                <c:pt idx="2">
                  <c:v>6.294412572552986E-3</c:v>
                </c:pt>
                <c:pt idx="3">
                  <c:v>6.5929862655852252E-3</c:v>
                </c:pt>
                <c:pt idx="4">
                  <c:v>6.6052422602292842E-3</c:v>
                </c:pt>
                <c:pt idx="5">
                  <c:v>6.8258209552794014E-3</c:v>
                </c:pt>
                <c:pt idx="6">
                  <c:v>7.3396344741085825E-3</c:v>
                </c:pt>
                <c:pt idx="7">
                  <c:v>7.7306320635011586E-3</c:v>
                </c:pt>
                <c:pt idx="8">
                  <c:v>8.580410561875567E-3</c:v>
                </c:pt>
                <c:pt idx="9">
                  <c:v>1.0213310382704541E-2</c:v>
                </c:pt>
                <c:pt idx="10">
                  <c:v>1.179202463932566E-2</c:v>
                </c:pt>
              </c:numCache>
            </c:numRef>
          </c:val>
          <c:extLst>
            <c:ext xmlns:c16="http://schemas.microsoft.com/office/drawing/2014/chart" uri="{C3380CC4-5D6E-409C-BE32-E72D297353CC}">
              <c16:uniqueId val="{00000007-B90D-4524-BF0F-2EA66C5BDD0B}"/>
            </c:ext>
          </c:extLst>
        </c:ser>
        <c:ser>
          <c:idx val="8"/>
          <c:order val="7"/>
          <c:tx>
            <c:strRef>
              <c:f>q21_q31_Fig!$A$13</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q21_q31_Fig!$B$5:$L$5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q21_q31_Fig!$B$13:$L$13</c:f>
              <c:numCache>
                <c:formatCode>0.0%</c:formatCode>
                <c:ptCount val="11"/>
                <c:pt idx="0">
                  <c:v>5.6899959852124635E-3</c:v>
                </c:pt>
                <c:pt idx="1">
                  <c:v>5.5437230689926445E-3</c:v>
                </c:pt>
                <c:pt idx="2">
                  <c:v>5.58928568738069E-3</c:v>
                </c:pt>
                <c:pt idx="3">
                  <c:v>5.5681243615903556E-3</c:v>
                </c:pt>
                <c:pt idx="4">
                  <c:v>5.6141275822102184E-3</c:v>
                </c:pt>
                <c:pt idx="5">
                  <c:v>5.7947383956736247E-3</c:v>
                </c:pt>
                <c:pt idx="6">
                  <c:v>6.3102490593083677E-3</c:v>
                </c:pt>
                <c:pt idx="7">
                  <c:v>6.340689370912307E-3</c:v>
                </c:pt>
                <c:pt idx="8">
                  <c:v>6.9276749823002333E-3</c:v>
                </c:pt>
                <c:pt idx="9">
                  <c:v>8.3442931002918625E-3</c:v>
                </c:pt>
                <c:pt idx="10">
                  <c:v>9.8557302642243473E-3</c:v>
                </c:pt>
              </c:numCache>
            </c:numRef>
          </c:val>
          <c:extLst>
            <c:ext xmlns:c16="http://schemas.microsoft.com/office/drawing/2014/chart" uri="{C3380CC4-5D6E-409C-BE32-E72D297353CC}">
              <c16:uniqueId val="{00000008-B90D-4524-BF0F-2EA66C5BDD0B}"/>
            </c:ext>
          </c:extLst>
        </c:ser>
        <c:dLbls>
          <c:dLblPos val="ctr"/>
          <c:showLegendKey val="0"/>
          <c:showVal val="1"/>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legend>
      <c:legendPos val="r"/>
      <c:layout>
        <c:manualLayout>
          <c:xMode val="edge"/>
          <c:yMode val="edge"/>
          <c:x val="0.81165842097773233"/>
          <c:y val="8.6394371814666263E-2"/>
          <c:w val="0.18834138026711106"/>
          <c:h val="0.8590699048194694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038397288886921E-2"/>
          <c:y val="0.13305232558139532"/>
          <c:w val="0.76942714940518253"/>
          <c:h val="0.74988738326313853"/>
        </c:manualLayout>
      </c:layout>
      <c:barChart>
        <c:barDir val="col"/>
        <c:grouping val="stacked"/>
        <c:varyColors val="0"/>
        <c:ser>
          <c:idx val="0"/>
          <c:order val="0"/>
          <c:tx>
            <c:strRef>
              <c:f>q21_q31_Fig!$A$21</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q21_q31_Fig!$B$21:$L$21</c:f>
              <c:numCache>
                <c:formatCode>0.0%</c:formatCode>
                <c:ptCount val="11"/>
                <c:pt idx="0">
                  <c:v>2.4342624824716702E-3</c:v>
                </c:pt>
                <c:pt idx="1">
                  <c:v>2.7480064118420976E-3</c:v>
                </c:pt>
                <c:pt idx="2">
                  <c:v>2.4257570195029862E-3</c:v>
                </c:pt>
                <c:pt idx="3">
                  <c:v>2.4886722587985563E-3</c:v>
                </c:pt>
                <c:pt idx="4">
                  <c:v>2.1126268385224184E-3</c:v>
                </c:pt>
                <c:pt idx="5">
                  <c:v>1.7647200184633606E-3</c:v>
                </c:pt>
                <c:pt idx="6">
                  <c:v>1.8872065938003943E-3</c:v>
                </c:pt>
                <c:pt idx="7">
                  <c:v>1.6981513947021373E-3</c:v>
                </c:pt>
                <c:pt idx="8">
                  <c:v>1.7358949447285597E-3</c:v>
                </c:pt>
                <c:pt idx="9">
                  <c:v>1.761278389303548E-3</c:v>
                </c:pt>
                <c:pt idx="10">
                  <c:v>1.5618414653914734E-3</c:v>
                </c:pt>
              </c:numCache>
            </c:numRef>
          </c:val>
          <c:extLst>
            <c:ext xmlns:c16="http://schemas.microsoft.com/office/drawing/2014/chart" uri="{C3380CC4-5D6E-409C-BE32-E72D297353CC}">
              <c16:uniqueId val="{00000000-B6C3-4DD4-A621-BFCA97281971}"/>
            </c:ext>
          </c:extLst>
        </c:ser>
        <c:ser>
          <c:idx val="1"/>
          <c:order val="1"/>
          <c:tx>
            <c:strRef>
              <c:f>q21_q31_Fig!$A$22</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q21_q31_Fig!$B$22:$L$22</c:f>
              <c:numCache>
                <c:formatCode>0.0%</c:formatCode>
                <c:ptCount val="11"/>
                <c:pt idx="0">
                  <c:v>4.0476886936918116E-2</c:v>
                </c:pt>
                <c:pt idx="1">
                  <c:v>4.9883135828475443E-2</c:v>
                </c:pt>
                <c:pt idx="2">
                  <c:v>4.7405720668303591E-2</c:v>
                </c:pt>
                <c:pt idx="3">
                  <c:v>5.4094800212758608E-2</c:v>
                </c:pt>
                <c:pt idx="4">
                  <c:v>5.3383697406544174E-2</c:v>
                </c:pt>
                <c:pt idx="5">
                  <c:v>5.2246503999865787E-2</c:v>
                </c:pt>
                <c:pt idx="6">
                  <c:v>4.8300483784268052E-2</c:v>
                </c:pt>
                <c:pt idx="7">
                  <c:v>4.9281970761298595E-2</c:v>
                </c:pt>
                <c:pt idx="8">
                  <c:v>4.6096644814990859E-2</c:v>
                </c:pt>
                <c:pt idx="9">
                  <c:v>4.5002451480673285E-2</c:v>
                </c:pt>
                <c:pt idx="10">
                  <c:v>4.1181715026746633E-2</c:v>
                </c:pt>
              </c:numCache>
            </c:numRef>
          </c:val>
          <c:extLst>
            <c:ext xmlns:c16="http://schemas.microsoft.com/office/drawing/2014/chart" uri="{C3380CC4-5D6E-409C-BE32-E72D297353CC}">
              <c16:uniqueId val="{00000001-B6C3-4DD4-A621-BFCA97281971}"/>
            </c:ext>
          </c:extLst>
        </c:ser>
        <c:ser>
          <c:idx val="2"/>
          <c:order val="2"/>
          <c:tx>
            <c:strRef>
              <c:f>q21_q31_Fig!$A$23</c:f>
              <c:strCache>
                <c:ptCount val="1"/>
                <c:pt idx="0">
                  <c:v>&gt;RMMG e &lt;= 999,99 €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q21_q31_Fig!$B$23:$L$23</c:f>
              <c:numCache>
                <c:formatCode>0.0%</c:formatCode>
                <c:ptCount val="11"/>
                <c:pt idx="0">
                  <c:v>0.62176892914138027</c:v>
                </c:pt>
                <c:pt idx="1">
                  <c:v>0.6144576563794043</c:v>
                </c:pt>
                <c:pt idx="2">
                  <c:v>0.61444575972148496</c:v>
                </c:pt>
                <c:pt idx="3">
                  <c:v>0.60386167576114003</c:v>
                </c:pt>
                <c:pt idx="4">
                  <c:v>0.59158476563397799</c:v>
                </c:pt>
                <c:pt idx="5">
                  <c:v>0.56911857857515635</c:v>
                </c:pt>
                <c:pt idx="6">
                  <c:v>0.54308860419279703</c:v>
                </c:pt>
                <c:pt idx="7">
                  <c:v>0.5133172035905621</c:v>
                </c:pt>
                <c:pt idx="8">
                  <c:v>0.48613783369399355</c:v>
                </c:pt>
                <c:pt idx="9">
                  <c:v>0.43309814550221687</c:v>
                </c:pt>
                <c:pt idx="10">
                  <c:v>0.34796685038093694</c:v>
                </c:pt>
              </c:numCache>
            </c:numRef>
          </c:val>
          <c:extLst>
            <c:ext xmlns:c16="http://schemas.microsoft.com/office/drawing/2014/chart" uri="{C3380CC4-5D6E-409C-BE32-E72D297353CC}">
              <c16:uniqueId val="{00000002-B6C3-4DD4-A621-BFCA97281971}"/>
            </c:ext>
          </c:extLst>
        </c:ser>
        <c:ser>
          <c:idx val="4"/>
          <c:order val="3"/>
          <c:tx>
            <c:strRef>
              <c:f>q21_q31_Fig!$A$24</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q21_q31_Fig!$B$24:$L$24</c:f>
              <c:numCache>
                <c:formatCode>0.0%</c:formatCode>
                <c:ptCount val="11"/>
                <c:pt idx="0">
                  <c:v>0.16860362092577086</c:v>
                </c:pt>
                <c:pt idx="1">
                  <c:v>0.16805000448580024</c:v>
                </c:pt>
                <c:pt idx="2">
                  <c:v>0.17108266608274392</c:v>
                </c:pt>
                <c:pt idx="3">
                  <c:v>0.17426058841477807</c:v>
                </c:pt>
                <c:pt idx="4">
                  <c:v>0.18309823480271284</c:v>
                </c:pt>
                <c:pt idx="5">
                  <c:v>0.19677308339480987</c:v>
                </c:pt>
                <c:pt idx="6">
                  <c:v>0.21366197814011825</c:v>
                </c:pt>
                <c:pt idx="7">
                  <c:v>0.22926383866314129</c:v>
                </c:pt>
                <c:pt idx="8">
                  <c:v>0.24640756086765664</c:v>
                </c:pt>
                <c:pt idx="9">
                  <c:v>0.27650387291860873</c:v>
                </c:pt>
                <c:pt idx="10">
                  <c:v>0.33085021883611604</c:v>
                </c:pt>
              </c:numCache>
            </c:numRef>
          </c:val>
          <c:extLst>
            <c:ext xmlns:c16="http://schemas.microsoft.com/office/drawing/2014/chart" uri="{C3380CC4-5D6E-409C-BE32-E72D297353CC}">
              <c16:uniqueId val="{00000004-B6C3-4DD4-A621-BFCA97281971}"/>
            </c:ext>
          </c:extLst>
        </c:ser>
        <c:ser>
          <c:idx val="5"/>
          <c:order val="4"/>
          <c:tx>
            <c:strRef>
              <c:f>q21_q31_Fig!$A$25</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q21_q31_Fig!$B$25:$L$25</c:f>
              <c:numCache>
                <c:formatCode>0.0%</c:formatCode>
                <c:ptCount val="11"/>
                <c:pt idx="0">
                  <c:v>0.10744449516559279</c:v>
                </c:pt>
                <c:pt idx="1">
                  <c:v>0.10662150788230297</c:v>
                </c:pt>
                <c:pt idx="2">
                  <c:v>0.10646562179987153</c:v>
                </c:pt>
                <c:pt idx="3">
                  <c:v>0.10664549462239484</c:v>
                </c:pt>
                <c:pt idx="4">
                  <c:v>0.11032658940694005</c:v>
                </c:pt>
                <c:pt idx="5">
                  <c:v>0.11769757541434873</c:v>
                </c:pt>
                <c:pt idx="6">
                  <c:v>0.12736964701666367</c:v>
                </c:pt>
                <c:pt idx="7">
                  <c:v>0.13675455774592699</c:v>
                </c:pt>
                <c:pt idx="8">
                  <c:v>0.14504629204660197</c:v>
                </c:pt>
                <c:pt idx="9">
                  <c:v>0.15884584710756844</c:v>
                </c:pt>
                <c:pt idx="10">
                  <c:v>0.18160196142000323</c:v>
                </c:pt>
              </c:numCache>
            </c:numRef>
          </c:val>
          <c:extLst>
            <c:ext xmlns:c16="http://schemas.microsoft.com/office/drawing/2014/chart" uri="{C3380CC4-5D6E-409C-BE32-E72D297353CC}">
              <c16:uniqueId val="{00000005-B6C3-4DD4-A621-BFCA97281971}"/>
            </c:ext>
          </c:extLst>
        </c:ser>
        <c:ser>
          <c:idx val="6"/>
          <c:order val="5"/>
          <c:tx>
            <c:strRef>
              <c:f>q21_q31_Fig!$A$26</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C3-4DD4-A621-BFCA9728197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q21_q31_Fig!$B$26:$L$26</c:f>
              <c:numCache>
                <c:formatCode>0.0%</c:formatCode>
                <c:ptCount val="11"/>
                <c:pt idx="0">
                  <c:v>3.8930744121562902E-2</c:v>
                </c:pt>
                <c:pt idx="1">
                  <c:v>3.8366297482714112E-2</c:v>
                </c:pt>
                <c:pt idx="2">
                  <c:v>3.8309885185856679E-2</c:v>
                </c:pt>
                <c:pt idx="3">
                  <c:v>3.8479525390637356E-2</c:v>
                </c:pt>
                <c:pt idx="4">
                  <c:v>3.9048886391427916E-2</c:v>
                </c:pt>
                <c:pt idx="5">
                  <c:v>4.0913210869986109E-2</c:v>
                </c:pt>
                <c:pt idx="6">
                  <c:v>4.3067998566565131E-2</c:v>
                </c:pt>
                <c:pt idx="7">
                  <c:v>4.6109315665781622E-2</c:v>
                </c:pt>
                <c:pt idx="8">
                  <c:v>4.8960871473792987E-2</c:v>
                </c:pt>
                <c:pt idx="9">
                  <c:v>5.5147583345082206E-2</c:v>
                </c:pt>
                <c:pt idx="10">
                  <c:v>6.1939131139568809E-2</c:v>
                </c:pt>
              </c:numCache>
            </c:numRef>
          </c:val>
          <c:extLst>
            <c:ext xmlns:c16="http://schemas.microsoft.com/office/drawing/2014/chart" uri="{C3380CC4-5D6E-409C-BE32-E72D297353CC}">
              <c16:uniqueId val="{00000007-B6C3-4DD4-A621-BFCA97281971}"/>
            </c:ext>
          </c:extLst>
        </c:ser>
        <c:ser>
          <c:idx val="7"/>
          <c:order val="6"/>
          <c:tx>
            <c:strRef>
              <c:f>q21_q31_Fig!$A$27</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q21_q31_Fig!$B$27:$L$27</c:f>
              <c:numCache>
                <c:formatCode>0.0%</c:formatCode>
                <c:ptCount val="11"/>
                <c:pt idx="0">
                  <c:v>1.1290069192932493E-2</c:v>
                </c:pt>
                <c:pt idx="1">
                  <c:v>1.1010694873793437E-2</c:v>
                </c:pt>
                <c:pt idx="2">
                  <c:v>1.1017356467254038E-2</c:v>
                </c:pt>
                <c:pt idx="3">
                  <c:v>1.1287106838203699E-2</c:v>
                </c:pt>
                <c:pt idx="4">
                  <c:v>1.1404151049066509E-2</c:v>
                </c:pt>
                <c:pt idx="5">
                  <c:v>1.1988941934272794E-2</c:v>
                </c:pt>
                <c:pt idx="6">
                  <c:v>1.2757122379501881E-2</c:v>
                </c:pt>
                <c:pt idx="7">
                  <c:v>1.3377274252143367E-2</c:v>
                </c:pt>
                <c:pt idx="8">
                  <c:v>1.4589697145407103E-2</c:v>
                </c:pt>
                <c:pt idx="9">
                  <c:v>1.6623774522697764E-2</c:v>
                </c:pt>
                <c:pt idx="10">
                  <c:v>1.9549359701734478E-2</c:v>
                </c:pt>
              </c:numCache>
            </c:numRef>
          </c:val>
          <c:extLst>
            <c:ext xmlns:c16="http://schemas.microsoft.com/office/drawing/2014/chart" uri="{C3380CC4-5D6E-409C-BE32-E72D297353CC}">
              <c16:uniqueId val="{00000008-B6C3-4DD4-A621-BFCA97281971}"/>
            </c:ext>
          </c:extLst>
        </c:ser>
        <c:ser>
          <c:idx val="8"/>
          <c:order val="7"/>
          <c:tx>
            <c:strRef>
              <c:f>q21_q31_Fig!$A$28</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q21_q31_Fig!$B$20:$L$20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q21_q31_Fig!$B$28:$L$28</c:f>
              <c:numCache>
                <c:formatCode>0.0%</c:formatCode>
                <c:ptCount val="11"/>
                <c:pt idx="0">
                  <c:v>9.0509920333708711E-3</c:v>
                </c:pt>
                <c:pt idx="1">
                  <c:v>8.8626966556673813E-3</c:v>
                </c:pt>
                <c:pt idx="2">
                  <c:v>8.8472330549823185E-3</c:v>
                </c:pt>
                <c:pt idx="3">
                  <c:v>8.8821365012888634E-3</c:v>
                </c:pt>
                <c:pt idx="4">
                  <c:v>9.0410484708080847E-3</c:v>
                </c:pt>
                <c:pt idx="5">
                  <c:v>9.497385793097007E-3</c:v>
                </c:pt>
                <c:pt idx="6">
                  <c:v>9.8669593262856112E-3</c:v>
                </c:pt>
                <c:pt idx="7">
                  <c:v>1.0197687926443938E-2</c:v>
                </c:pt>
                <c:pt idx="8">
                  <c:v>1.1025205012828354E-2</c:v>
                </c:pt>
                <c:pt idx="9">
                  <c:v>1.3017046733849161E-2</c:v>
                </c:pt>
                <c:pt idx="10">
                  <c:v>1.5348922029502351E-2</c:v>
                </c:pt>
              </c:numCache>
            </c:numRef>
          </c:val>
          <c:extLst>
            <c:ext xmlns:c16="http://schemas.microsoft.com/office/drawing/2014/chart" uri="{C3380CC4-5D6E-409C-BE32-E72D297353CC}">
              <c16:uniqueId val="{00000009-B6C3-4DD4-A621-BFCA97281971}"/>
            </c:ext>
          </c:extLst>
        </c:ser>
        <c:dLbls>
          <c:showLegendKey val="0"/>
          <c:showVal val="0"/>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[Dashboard_seriesqp_2013_2023.xlsx]q22_q33_Fig!Tabela Dinâmica1</c:name>
    <c:fmtId val="8"/>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clip" horzOverflow="clip"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horzOverflow="clip" vert="horz" wrap="square" lIns="38100" tIns="36000" rIns="38100" bIns="3600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8"/>
      </c:pivotFmt>
      <c:pivotFmt>
        <c:idx val="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9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s>
    <c:plotArea>
      <c:layout>
        <c:manualLayout>
          <c:layoutTarget val="inner"/>
          <c:xMode val="edge"/>
          <c:yMode val="edge"/>
          <c:x val="4.160946204071217E-2"/>
          <c:y val="0.10694915712855482"/>
          <c:w val="0.9285441549297756"/>
          <c:h val="0.74702347773538613"/>
        </c:manualLayout>
      </c:layout>
      <c:barChart>
        <c:barDir val="col"/>
        <c:grouping val="clustered"/>
        <c:varyColors val="0"/>
        <c:ser>
          <c:idx val="0"/>
          <c:order val="0"/>
          <c:tx>
            <c:strRef>
              <c:f>q22_q33_Fig!$J$5:$J$7</c:f>
              <c:strCache>
                <c:ptCount val="1"/>
                <c:pt idx="0">
                  <c:v>G - Base</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q22_q33_Fig!$I$8:$I$19</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q22_q33_Fig!$J$8:$J$19</c:f>
              <c:numCache>
                <c:formatCode>#,##0.0\ "€"</c:formatCode>
                <c:ptCount val="11"/>
                <c:pt idx="0">
                  <c:v>861.47</c:v>
                </c:pt>
                <c:pt idx="1">
                  <c:v>862.67</c:v>
                </c:pt>
                <c:pt idx="2">
                  <c:v>867.89</c:v>
                </c:pt>
                <c:pt idx="3">
                  <c:v>881.9</c:v>
                </c:pt>
                <c:pt idx="4">
                  <c:v>900.4</c:v>
                </c:pt>
                <c:pt idx="5">
                  <c:v>924.91</c:v>
                </c:pt>
                <c:pt idx="6">
                  <c:v>959.33</c:v>
                </c:pt>
                <c:pt idx="7">
                  <c:v>989.91</c:v>
                </c:pt>
                <c:pt idx="8">
                  <c:v>1031.8499999999999</c:v>
                </c:pt>
                <c:pt idx="9">
                  <c:v>1075.5999999999999</c:v>
                </c:pt>
                <c:pt idx="10">
                  <c:v>1146.8499999999999</c:v>
                </c:pt>
              </c:numCache>
            </c:numRef>
          </c:val>
          <c:extLst>
            <c:ext xmlns:c16="http://schemas.microsoft.com/office/drawing/2014/chart" uri="{C3380CC4-5D6E-409C-BE32-E72D297353CC}">
              <c16:uniqueId val="{00000000-C011-4A10-8851-0F65F8BB0CF1}"/>
            </c:ext>
          </c:extLst>
        </c:ser>
        <c:ser>
          <c:idx val="1"/>
          <c:order val="1"/>
          <c:tx>
            <c:strRef>
              <c:f>q22_q33_Fig!$K$5:$K$7</c:f>
              <c:strCache>
                <c:ptCount val="1"/>
                <c:pt idx="0">
                  <c:v>G - Ganho</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q22_q33_Fig!$I$8:$I$19</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q22_q33_Fig!$K$8:$K$19</c:f>
              <c:numCache>
                <c:formatCode>#,##0.0\ "€"</c:formatCode>
                <c:ptCount val="11"/>
                <c:pt idx="0">
                  <c:v>1013.46</c:v>
                </c:pt>
                <c:pt idx="1">
                  <c:v>1014.14</c:v>
                </c:pt>
                <c:pt idx="2">
                  <c:v>1022.01</c:v>
                </c:pt>
                <c:pt idx="3">
                  <c:v>1039.55</c:v>
                </c:pt>
                <c:pt idx="4">
                  <c:v>1066.6400000000001</c:v>
                </c:pt>
                <c:pt idx="5">
                  <c:v>1099.03</c:v>
                </c:pt>
                <c:pt idx="6">
                  <c:v>1140.32</c:v>
                </c:pt>
                <c:pt idx="7">
                  <c:v>1176.33</c:v>
                </c:pt>
                <c:pt idx="8">
                  <c:v>1224.17</c:v>
                </c:pt>
                <c:pt idx="9">
                  <c:v>1280.54</c:v>
                </c:pt>
                <c:pt idx="10">
                  <c:v>1373.91</c:v>
                </c:pt>
              </c:numCache>
            </c:numRef>
          </c:val>
          <c:extLst>
            <c:ext xmlns:c16="http://schemas.microsoft.com/office/drawing/2014/chart" uri="{C3380CC4-5D6E-409C-BE32-E72D297353CC}">
              <c16:uniqueId val="{00000029-F8C8-411B-9F24-F67FFA632892}"/>
            </c:ext>
          </c:extLst>
        </c:ser>
        <c:dLbls>
          <c:dLblPos val="inBase"/>
          <c:showLegendKey val="0"/>
          <c:showVal val="1"/>
          <c:showCatName val="0"/>
          <c:showSerName val="0"/>
          <c:showPercent val="0"/>
          <c:showBubbleSize val="0"/>
        </c:dLbls>
        <c:gapWidth val="91"/>
        <c:axId val="518723167"/>
        <c:axId val="384185983"/>
      </c:barChart>
      <c:catAx>
        <c:axId val="5187231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384185983"/>
        <c:crosses val="autoZero"/>
        <c:auto val="1"/>
        <c:lblAlgn val="ctr"/>
        <c:lblOffset val="100"/>
        <c:noMultiLvlLbl val="0"/>
      </c:catAx>
      <c:valAx>
        <c:axId val="384185983"/>
        <c:scaling>
          <c:orientation val="minMax"/>
          <c:max val="36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crossAx val="518723167"/>
        <c:crosses val="autoZero"/>
        <c:crossBetween val="between"/>
        <c:majorUnit val="300"/>
      </c:valAx>
      <c:spPr>
        <a:noFill/>
        <a:ln>
          <a:noFill/>
        </a:ln>
        <a:effectLst/>
      </c:spPr>
    </c:plotArea>
    <c:legend>
      <c:legendPos val="t"/>
      <c:layout>
        <c:manualLayout>
          <c:xMode val="edge"/>
          <c:yMode val="edge"/>
          <c:x val="9.1424355351236872E-2"/>
          <c:y val="2.4076554940779288E-2"/>
          <c:w val="0.11713562152630413"/>
          <c:h val="7.43407963684254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619722949665792E-2"/>
          <c:y val="9.5615259059443292E-2"/>
          <c:w val="0.80138464480865856"/>
          <c:h val="0.85481219311037926"/>
        </c:manualLayout>
      </c:layout>
      <c:lineChart>
        <c:grouping val="standard"/>
        <c:varyColors val="0"/>
        <c:ser>
          <c:idx val="3"/>
          <c:order val="0"/>
          <c:tx>
            <c:strRef>
              <c:f>q32_Fig!$A$38</c:f>
              <c:strCache>
                <c:ptCount val="1"/>
                <c:pt idx="0">
                  <c:v>D2</c:v>
                </c:pt>
              </c:strCache>
            </c:strRef>
          </c:tx>
          <c:spPr>
            <a:ln w="28575" cap="rnd">
              <a:noFill/>
              <a:round/>
            </a:ln>
            <a:effectLst/>
          </c:spPr>
          <c:marker>
            <c:symbol val="dash"/>
            <c:size val="5"/>
            <c:spPr>
              <a:solidFill>
                <a:schemeClr val="accent4"/>
              </a:solidFill>
              <a:ln w="25400">
                <a:solidFill>
                  <a:schemeClr val="accent1"/>
                </a:solidFill>
              </a:ln>
              <a:effectLst/>
            </c:spPr>
          </c:marker>
          <c:dLbls>
            <c:dLbl>
              <c:idx val="0"/>
              <c:layout>
                <c:manualLayout>
                  <c:x val="1.0749222928015713E-3"/>
                  <c:y val="-1.24102724789096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B53-4B60-A47B-4EF33C175AEB}"/>
                </c:ext>
              </c:extLst>
            </c:dLbl>
            <c:dLbl>
              <c:idx val="1"/>
              <c:layout>
                <c:manualLayout>
                  <c:x val="4.6665343448171184E-3"/>
                  <c:y val="-1.9065018041589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53-4B60-A47B-4EF33C175AEB}"/>
                </c:ext>
              </c:extLst>
            </c:dLbl>
            <c:dLbl>
              <c:idx val="2"/>
              <c:layout>
                <c:manualLayout>
                  <c:x val="-9.7794939380095179E-4"/>
                  <c:y val="-2.166405741646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53-4B60-A47B-4EF33C175AEB}"/>
                </c:ext>
              </c:extLst>
            </c:dLbl>
            <c:dLbl>
              <c:idx val="3"/>
              <c:layout>
                <c:manualLayout>
                  <c:x val="2.5610041042107554E-3"/>
                  <c:y val="-1.9064946886796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53-4B60-A47B-4EF33C175AEB}"/>
                </c:ext>
              </c:extLst>
            </c:dLbl>
            <c:dLbl>
              <c:idx val="4"/>
              <c:layout>
                <c:manualLayout>
                  <c:x val="7.6421889514150453E-4"/>
                  <c:y val="-2.1969619865218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53-4B60-A47B-4EF33C175AEB}"/>
                </c:ext>
              </c:extLst>
            </c:dLbl>
            <c:dLbl>
              <c:idx val="5"/>
              <c:layout>
                <c:manualLayout>
                  <c:x val="-9.7794939380088674E-4"/>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53-4B60-A47B-4EF33C175AEB}"/>
                </c:ext>
              </c:extLst>
            </c:dLbl>
            <c:dLbl>
              <c:idx val="6"/>
              <c:layout>
                <c:manualLayout>
                  <c:x val="2.5610041042107554E-3"/>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53-4B60-A47B-4EF33C175AEB}"/>
                </c:ext>
              </c:extLst>
            </c:dLbl>
            <c:dLbl>
              <c:idx val="7"/>
              <c:layout>
                <c:manualLayout>
                  <c:x val="2.6154816954596758E-3"/>
                  <c:y val="-1.8759384438042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53-4B60-A47B-4EF33C175AEB}"/>
                </c:ext>
              </c:extLst>
            </c:dLbl>
            <c:dLbl>
              <c:idx val="8"/>
              <c:layout>
                <c:manualLayout>
                  <c:x val="2.5610041042107554E-3"/>
                  <c:y val="-2.4568730394886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53-4B60-A47B-4EF33C175AEB}"/>
                </c:ext>
              </c:extLst>
            </c:dLbl>
            <c:dLbl>
              <c:idx val="9"/>
              <c:layout>
                <c:manualLayout>
                  <c:x val="-9.7794939380108146E-4"/>
                  <c:y val="-2.4874292843640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53-4B60-A47B-4EF33C175AEB}"/>
                </c:ext>
              </c:extLst>
            </c:dLbl>
            <c:dLbl>
              <c:idx val="10"/>
              <c:layout>
                <c:manualLayout>
                  <c:x val="6.0999886164291202E-3"/>
                  <c:y val="-2.4634402732546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53-4B60-A47B-4EF33C175AEB}"/>
                </c:ext>
              </c:extLst>
            </c:dLbl>
            <c:spPr>
              <a:noFill/>
              <a:ln>
                <a:noFill/>
              </a:ln>
              <a:effectLst/>
            </c:spPr>
            <c:txPr>
              <a:bodyPr rot="0" vert="horz"/>
              <a:lstStyle/>
              <a:p>
                <a:pPr>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q32_Fig!$B$38:$N$38</c15:sqref>
                  </c15:fullRef>
                </c:ext>
              </c:extLst>
              <c:f>q32_Fig!$B$38:$L$38</c:f>
              <c:numCache>
                <c:formatCode>#,##0\ "€"</c:formatCode>
                <c:ptCount val="11"/>
                <c:pt idx="0">
                  <c:v>565.75</c:v>
                </c:pt>
                <c:pt idx="1">
                  <c:v>580.52</c:v>
                </c:pt>
                <c:pt idx="2">
                  <c:v>581.94000000000005</c:v>
                </c:pt>
                <c:pt idx="3">
                  <c:v>600.67999999999995</c:v>
                </c:pt>
                <c:pt idx="4">
                  <c:v>630.6</c:v>
                </c:pt>
                <c:pt idx="5">
                  <c:v>660.08</c:v>
                </c:pt>
                <c:pt idx="6">
                  <c:v>687.04</c:v>
                </c:pt>
                <c:pt idx="7">
                  <c:v>720.8</c:v>
                </c:pt>
                <c:pt idx="8">
                  <c:v>751.73</c:v>
                </c:pt>
                <c:pt idx="9">
                  <c:v>795.53</c:v>
                </c:pt>
                <c:pt idx="10">
                  <c:v>863.33</c:v>
                </c:pt>
              </c:numCache>
            </c:numRef>
          </c:val>
          <c:smooth val="0"/>
          <c:extLst>
            <c:ext xmlns:c15="http://schemas.microsoft.com/office/drawing/2012/chart" uri="{02D57815-91ED-43cb-92C2-25804820EDAC}">
              <c15:categoryFilterExceptions>
                <c15:categoryFilterException>
                  <c15:sqref>q32_Fig!$M$38</c15:sqref>
                  <c15:dLbl>
                    <c:idx val="10"/>
                    <c:layout>
                      <c:manualLayout>
                        <c:x val="-2.2266218149659376E-2"/>
                        <c:y val="-4.260780676756386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07FC-471D-94D9-F8C877F38AF5}"/>
                      </c:ext>
                    </c:extLst>
                  </c15:dLbl>
                </c15:categoryFilterException>
              </c15:categoryFilterExceptions>
            </c:ext>
            <c:ext xmlns:c16="http://schemas.microsoft.com/office/drawing/2014/chart" uri="{C3380CC4-5D6E-409C-BE32-E72D297353CC}">
              <c16:uniqueId val="{0000000B-5B53-4B60-A47B-4EF33C175AEB}"/>
            </c:ext>
          </c:extLst>
        </c:ser>
        <c:ser>
          <c:idx val="0"/>
          <c:order val="1"/>
          <c:tx>
            <c:strRef>
              <c:f>q32_Fig!$A$35</c:f>
              <c:strCache>
                <c:ptCount val="1"/>
                <c:pt idx="0">
                  <c:v>D10</c:v>
                </c:pt>
              </c:strCache>
            </c:strRef>
          </c:tx>
          <c:spPr>
            <a:ln w="28575" cap="rnd">
              <a:noFill/>
              <a:round/>
            </a:ln>
            <a:effectLst/>
          </c:spPr>
          <c:marker>
            <c:symbol val="dash"/>
            <c:size val="5"/>
            <c:spPr>
              <a:solidFill>
                <a:schemeClr val="accent1"/>
              </a:solidFill>
              <a:ln w="25400">
                <a:solidFill>
                  <a:schemeClr val="accent1"/>
                </a:solidFill>
              </a:ln>
              <a:effectLst/>
            </c:spPr>
          </c:marker>
          <c:dLbls>
            <c:dLbl>
              <c:idx val="0"/>
              <c:layout>
                <c:manualLayout>
                  <c:x val="-3.1543988981868026E-2"/>
                  <c:y val="-4.537305756358438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B53-4B60-A47B-4EF33C175AEB}"/>
                </c:ext>
              </c:extLst>
            </c:dLbl>
            <c:dLbl>
              <c:idx val="1"/>
              <c:layout>
                <c:manualLayout>
                  <c:x val="-3.2190493661516668E-2"/>
                  <c:y val="-4.587689772599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53-4B60-A47B-4EF33C175AEB}"/>
                </c:ext>
              </c:extLst>
            </c:dLbl>
            <c:dLbl>
              <c:idx val="2"/>
              <c:layout>
                <c:manualLayout>
                  <c:x val="-3.2190493661516668E-2"/>
                  <c:y val="-4.657838877219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53-4B60-A47B-4EF33C175AEB}"/>
                </c:ext>
              </c:extLst>
            </c:dLbl>
            <c:dLbl>
              <c:idx val="3"/>
              <c:layout>
                <c:manualLayout>
                  <c:x val="-3.444801618874737E-2"/>
                  <c:y val="-4.3364172215897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53-4B60-A47B-4EF33C175AEB}"/>
                </c:ext>
              </c:extLst>
            </c:dLbl>
            <c:dLbl>
              <c:idx val="4"/>
              <c:layout>
                <c:manualLayout>
                  <c:x val="-3.4448048412030544E-2"/>
                  <c:y val="-4.5876746975418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53-4B60-A47B-4EF33C175AEB}"/>
                </c:ext>
              </c:extLst>
            </c:dLbl>
            <c:dLbl>
              <c:idx val="5"/>
              <c:layout>
                <c:manualLayout>
                  <c:x val="-2.9932971134286054E-2"/>
                  <c:y val="-4.7280188166108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53-4B60-A47B-4EF33C175AEB}"/>
                </c:ext>
              </c:extLst>
            </c:dLbl>
            <c:dLbl>
              <c:idx val="6"/>
              <c:layout>
                <c:manualLayout>
                  <c:x val="-3.444801618874737E-2"/>
                  <c:y val="-4.72801881661081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53-4B60-A47B-4EF33C175AEB}"/>
                </c:ext>
              </c:extLst>
            </c:dLbl>
            <c:dLbl>
              <c:idx val="7"/>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53-4B60-A47B-4EF33C175AEB}"/>
                </c:ext>
              </c:extLst>
            </c:dLbl>
            <c:dLbl>
              <c:idx val="8"/>
              <c:layout>
                <c:manualLayout>
                  <c:x val="-3.4448016188747453E-2"/>
                  <c:y val="-4.72801881661081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53-4B60-A47B-4EF33C175AEB}"/>
                </c:ext>
              </c:extLst>
            </c:dLbl>
            <c:dLbl>
              <c:idx val="9"/>
              <c:layout>
                <c:manualLayout>
                  <c:x val="-3.444801618874737E-2"/>
                  <c:y val="-4.72801881661081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53-4B60-A47B-4EF33C175AEB}"/>
                </c:ext>
              </c:extLst>
            </c:dLbl>
            <c:dLbl>
              <c:idx val="10"/>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53-4B60-A47B-4EF33C175AEB}"/>
                </c:ext>
              </c:extLst>
            </c:dLbl>
            <c:spPr>
              <a:noFill/>
              <a:ln>
                <a:noFill/>
              </a:ln>
              <a:effectLst/>
            </c:spPr>
            <c:txPr>
              <a:bodyPr rot="0" vert="horz"/>
              <a:lstStyle/>
              <a:p>
                <a:pPr>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q32_Fig!$B$35:$N$35</c15:sqref>
                  </c15:fullRef>
                </c:ext>
              </c:extLst>
              <c:f>q32_Fig!$B$35:$L$35</c:f>
              <c:numCache>
                <c:formatCode>#,##0\ "€"</c:formatCode>
                <c:ptCount val="11"/>
                <c:pt idx="0">
                  <c:v>3225.2</c:v>
                </c:pt>
                <c:pt idx="1">
                  <c:v>3193.76</c:v>
                </c:pt>
                <c:pt idx="2">
                  <c:v>3206.88</c:v>
                </c:pt>
                <c:pt idx="3">
                  <c:v>3219.96</c:v>
                </c:pt>
                <c:pt idx="4">
                  <c:v>3248.78</c:v>
                </c:pt>
                <c:pt idx="5">
                  <c:v>3312.32</c:v>
                </c:pt>
                <c:pt idx="6">
                  <c:v>3378.28</c:v>
                </c:pt>
                <c:pt idx="7">
                  <c:v>3432.76</c:v>
                </c:pt>
                <c:pt idx="8">
                  <c:v>3525.8</c:v>
                </c:pt>
                <c:pt idx="9">
                  <c:v>3729.82</c:v>
                </c:pt>
                <c:pt idx="10">
                  <c:v>3957.82</c:v>
                </c:pt>
              </c:numCache>
            </c:numRef>
          </c:val>
          <c:smooth val="0"/>
          <c:extLst>
            <c:ext xmlns:c15="http://schemas.microsoft.com/office/drawing/2012/chart" uri="{02D57815-91ED-43cb-92C2-25804820EDAC}">
              <c15:categoryFilterExceptions>
                <c15:categoryFilterException>
                  <c15:sqref>q32_Fig!$M$35</c15:sqref>
                  <c15:dLbl>
                    <c:idx val="10"/>
                    <c:layout>
                      <c:manualLayout>
                        <c:x val="-3.4448048412030474E-2"/>
                        <c:y val="-4.587674697541890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07FC-471D-94D9-F8C877F38AF5}"/>
                      </c:ext>
                    </c:extLst>
                  </c15:dLbl>
                </c15:categoryFilterException>
              </c15:categoryFilterExceptions>
            </c:ext>
            <c:ext xmlns:c16="http://schemas.microsoft.com/office/drawing/2014/chart" uri="{C3380CC4-5D6E-409C-BE32-E72D297353CC}">
              <c16:uniqueId val="{00000017-5B53-4B60-A47B-4EF33C175AEB}"/>
            </c:ext>
          </c:extLst>
        </c:ser>
        <c:ser>
          <c:idx val="2"/>
          <c:order val="2"/>
          <c:tx>
            <c:strRef>
              <c:f>q32_Fig!$A$37</c:f>
              <c:strCache>
                <c:ptCount val="1"/>
                <c:pt idx="0">
                  <c:v>D5</c:v>
                </c:pt>
              </c:strCache>
            </c:strRef>
          </c:tx>
          <c:spPr>
            <a:ln w="28575" cap="rnd">
              <a:noFill/>
              <a:round/>
            </a:ln>
            <a:effectLst/>
          </c:spPr>
          <c:marker>
            <c:symbol val="dash"/>
            <c:size val="5"/>
            <c:spPr>
              <a:solidFill>
                <a:schemeClr val="accent3"/>
              </a:solidFill>
              <a:ln w="25400">
                <a:solidFill>
                  <a:schemeClr val="accent1"/>
                </a:solidFill>
              </a:ln>
              <a:effectLst/>
            </c:spPr>
          </c:marker>
          <c:dLbls>
            <c:dLbl>
              <c:idx val="0"/>
              <c:layout>
                <c:manualLayout>
                  <c:x val="-1.2781132657711946E-2"/>
                  <c:y val="-4.073889979069357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5B53-4B60-A47B-4EF33C175AEB}"/>
                </c:ext>
              </c:extLst>
            </c:dLbl>
            <c:dLbl>
              <c:idx val="1"/>
              <c:layout>
                <c:manualLayout>
                  <c:x val="-2.2266218149659407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B53-4B60-A47B-4EF33C175AEB}"/>
                </c:ext>
              </c:extLst>
            </c:dLbl>
            <c:dLbl>
              <c:idx val="2"/>
              <c:layout>
                <c:manualLayout>
                  <c:x val="-1.8863859092054406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B53-4B60-A47B-4EF33C175AEB}"/>
                </c:ext>
              </c:extLst>
            </c:dLbl>
            <c:dLbl>
              <c:idx val="3"/>
              <c:layout>
                <c:manualLayout>
                  <c:x val="-2.066060573563971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B53-4B60-A47B-4EF33C175AEB}"/>
                </c:ext>
              </c:extLst>
            </c:dLbl>
            <c:dLbl>
              <c:idx val="4"/>
              <c:layout>
                <c:manualLayout>
                  <c:x val="-1.8863859092054406E-2"/>
                  <c:y val="-4.5999020248699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B53-4B60-A47B-4EF33C175AEB}"/>
                </c:ext>
              </c:extLst>
            </c:dLbl>
            <c:dLbl>
              <c:idx val="5"/>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B53-4B60-A47B-4EF33C175AEB}"/>
                </c:ext>
              </c:extLst>
            </c:dLbl>
            <c:dLbl>
              <c:idx val="6"/>
              <c:layout>
                <c:manualLayout>
                  <c:x val="-2.066060573563978E-2"/>
                  <c:y val="-4.2788792817988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B53-4B60-A47B-4EF33C175AEB}"/>
                </c:ext>
              </c:extLst>
            </c:dLbl>
            <c:dLbl>
              <c:idx val="7"/>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B53-4B60-A47B-4EF33C175AEB}"/>
                </c:ext>
              </c:extLst>
            </c:dLbl>
            <c:dLbl>
              <c:idx val="8"/>
              <c:layout>
                <c:manualLayout>
                  <c:x val="-1.3246681980974843E-2"/>
                  <c:y val="-4.9209223083827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B53-4B60-A47B-4EF33C175AEB}"/>
                </c:ext>
              </c:extLst>
            </c:dLbl>
            <c:dLbl>
              <c:idx val="9"/>
              <c:layout>
                <c:manualLayout>
                  <c:x val="-1.7067112448469226E-2"/>
                  <c:y val="-4.599902024869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B53-4B60-A47B-4EF33C175AEB}"/>
                </c:ext>
              </c:extLst>
            </c:dLbl>
            <c:dLbl>
              <c:idx val="10"/>
              <c:layout>
                <c:manualLayout>
                  <c:x val="-1.527036580488378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B53-4B60-A47B-4EF33C175AEB}"/>
                </c:ext>
              </c:extLst>
            </c:dLbl>
            <c:spPr>
              <a:noFill/>
              <a:ln>
                <a:noFill/>
              </a:ln>
              <a:effectLst/>
            </c:spPr>
            <c:txPr>
              <a:bodyPr rot="0" vert="horz"/>
              <a:lstStyle/>
              <a:p>
                <a:pPr>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q32_Fig!$B$37:$N$37</c15:sqref>
                  </c15:fullRef>
                </c:ext>
              </c:extLst>
              <c:f>q32_Fig!$B$37:$L$37</c:f>
              <c:numCache>
                <c:formatCode>#,##0\ "€"</c:formatCode>
                <c:ptCount val="11"/>
                <c:pt idx="0">
                  <c:v>742.51</c:v>
                </c:pt>
                <c:pt idx="1">
                  <c:v>744.94</c:v>
                </c:pt>
                <c:pt idx="2">
                  <c:v>748.82</c:v>
                </c:pt>
                <c:pt idx="3">
                  <c:v>758.29</c:v>
                </c:pt>
                <c:pt idx="4">
                  <c:v>782.49</c:v>
                </c:pt>
                <c:pt idx="5">
                  <c:v>814.41</c:v>
                </c:pt>
                <c:pt idx="6">
                  <c:v>849.92</c:v>
                </c:pt>
                <c:pt idx="7">
                  <c:v>884.65</c:v>
                </c:pt>
                <c:pt idx="8">
                  <c:v>918.75</c:v>
                </c:pt>
                <c:pt idx="9">
                  <c:v>971.89</c:v>
                </c:pt>
                <c:pt idx="10">
                  <c:v>1050.28</c:v>
                </c:pt>
              </c:numCache>
            </c:numRef>
          </c:val>
          <c:smooth val="0"/>
          <c:extLst>
            <c:ext xmlns:c15="http://schemas.microsoft.com/office/drawing/2012/chart" uri="{02D57815-91ED-43cb-92C2-25804820EDAC}">
              <c15:categoryFilterExceptions>
                <c15:categoryFilterException>
                  <c15:sqref>q32_Fig!$M$37</c15:sqref>
                  <c15:dLbl>
                    <c:idx val="10"/>
                    <c:layout>
                      <c:manualLayout>
                        <c:x val="-1.8863859092054406E-2"/>
                        <c:y val="-5.241947511012096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07FC-471D-94D9-F8C877F38AF5}"/>
                      </c:ext>
                    </c:extLst>
                  </c15:dLbl>
                </c15:categoryFilterException>
              </c15:categoryFilterExceptions>
            </c:ext>
            <c:ext xmlns:c16="http://schemas.microsoft.com/office/drawing/2014/chart" uri="{C3380CC4-5D6E-409C-BE32-E72D297353CC}">
              <c16:uniqueId val="{00000023-5B53-4B60-A47B-4EF33C175AEB}"/>
            </c:ext>
          </c:extLst>
        </c:ser>
        <c:ser>
          <c:idx val="4"/>
          <c:order val="3"/>
          <c:tx>
            <c:strRef>
              <c:f>q32_Fig!$A$39</c:f>
              <c:strCache>
                <c:ptCount val="1"/>
                <c:pt idx="0">
                  <c:v>D1</c:v>
                </c:pt>
              </c:strCache>
            </c:strRef>
          </c:tx>
          <c:spPr>
            <a:ln w="28575" cap="rnd">
              <a:noFill/>
              <a:round/>
            </a:ln>
            <a:effectLst/>
          </c:spPr>
          <c:marker>
            <c:symbol val="dash"/>
            <c:size val="5"/>
            <c:spPr>
              <a:solidFill>
                <a:schemeClr val="accent5"/>
              </a:solidFill>
              <a:ln w="25400">
                <a:solidFill>
                  <a:schemeClr val="accent1"/>
                </a:solidFill>
              </a:ln>
              <a:effectLst/>
            </c:spPr>
          </c:marker>
          <c:dLbls>
            <c:dLbl>
              <c:idx val="0"/>
              <c:layout>
                <c:manualLayout>
                  <c:x val="-2.9006182440297939E-2"/>
                  <c:y val="4.1457002263129067E-2"/>
                </c:manualLayout>
              </c:layout>
              <c:spPr>
                <a:noFill/>
                <a:ln>
                  <a:noFill/>
                </a:ln>
                <a:effectLst/>
              </c:spPr>
              <c:txPr>
                <a:bodyPr rot="0" vert="horz"/>
                <a:lstStyle/>
                <a:p>
                  <a:pPr>
                    <a:defRPr/>
                  </a:pPr>
                  <a:endParaRPr lang="pt-PT"/>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4-5B53-4B60-A47B-4EF33C175AEB}"/>
                </c:ext>
              </c:extLst>
            </c:dLbl>
            <c:dLbl>
              <c:idx val="1"/>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5-5B53-4B60-A47B-4EF33C175AEB}"/>
                </c:ext>
              </c:extLst>
            </c:dLbl>
            <c:dLbl>
              <c:idx val="2"/>
              <c:layout>
                <c:manualLayout>
                  <c:x val="-2.9561038073299368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5B53-4B60-A47B-4EF33C175AEB}"/>
                </c:ext>
              </c:extLst>
            </c:dLbl>
            <c:dLbl>
              <c:idx val="3"/>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7-5B53-4B60-A47B-4EF33C175AEB}"/>
                </c:ext>
              </c:extLst>
            </c:dLbl>
            <c:dLbl>
              <c:idx val="4"/>
              <c:layout>
                <c:manualLayout>
                  <c:x val="-2.9561038073299399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5B53-4B60-A47B-4EF33C175AEB}"/>
                </c:ext>
              </c:extLst>
            </c:dLbl>
            <c:dLbl>
              <c:idx val="5"/>
              <c:layout>
                <c:manualLayout>
                  <c:x val="-2.9561038073299333E-2"/>
                  <c:y val="4.2662405850809403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9-5B53-4B60-A47B-4EF33C175AEB}"/>
                </c:ext>
              </c:extLst>
            </c:dLbl>
            <c:dLbl>
              <c:idx val="6"/>
              <c:layout>
                <c:manualLayout>
                  <c:x val="-2.9561038073299333E-2"/>
                  <c:y val="4.587674697541877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A-5B53-4B60-A47B-4EF33C175AEB}"/>
                </c:ext>
              </c:extLst>
            </c:dLbl>
            <c:dLbl>
              <c:idx val="7"/>
              <c:layout>
                <c:manualLayout>
                  <c:x val="-2.9561038073299399E-2"/>
                  <c:y val="4.2662405850809403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B-5B53-4B60-A47B-4EF33C175AEB}"/>
                </c:ext>
              </c:extLst>
            </c:dLbl>
            <c:dLbl>
              <c:idx val="8"/>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C-5B53-4B60-A47B-4EF33C175AEB}"/>
                </c:ext>
              </c:extLst>
            </c:dLbl>
            <c:dLbl>
              <c:idx val="9"/>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D-5B53-4B60-A47B-4EF33C175AEB}"/>
                </c:ext>
              </c:extLst>
            </c:dLbl>
            <c:dLbl>
              <c:idx val="10"/>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E-5B53-4B60-A47B-4EF33C175AEB}"/>
                </c:ext>
              </c:extLst>
            </c:dLbl>
            <c:spPr>
              <a:noFill/>
              <a:ln>
                <a:noFill/>
              </a:ln>
              <a:effectLst/>
            </c:spPr>
            <c:txPr>
              <a:bodyPr rot="0" vert="horz"/>
              <a:lstStyle/>
              <a:p>
                <a:pPr>
                  <a:defRPr/>
                </a:pPr>
                <a:endParaRPr lang="pt-PT"/>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q32_Fig!$B$39:$N$39</c15:sqref>
                  </c15:fullRef>
                </c:ext>
              </c:extLst>
              <c:f>q32_Fig!$B$39:$L$39</c:f>
              <c:numCache>
                <c:formatCode>#,##0\ "€"</c:formatCode>
                <c:ptCount val="11"/>
                <c:pt idx="0">
                  <c:v>502.41</c:v>
                </c:pt>
                <c:pt idx="1">
                  <c:v>517.54999999999995</c:v>
                </c:pt>
                <c:pt idx="2">
                  <c:v>518.95000000000005</c:v>
                </c:pt>
                <c:pt idx="3">
                  <c:v>541.09</c:v>
                </c:pt>
                <c:pt idx="4">
                  <c:v>568.88</c:v>
                </c:pt>
                <c:pt idx="5">
                  <c:v>593.04999999999995</c:v>
                </c:pt>
                <c:pt idx="6">
                  <c:v>615.49</c:v>
                </c:pt>
                <c:pt idx="7">
                  <c:v>651.89</c:v>
                </c:pt>
                <c:pt idx="8">
                  <c:v>684.62</c:v>
                </c:pt>
                <c:pt idx="9">
                  <c:v>726.79</c:v>
                </c:pt>
                <c:pt idx="10">
                  <c:v>786.12</c:v>
                </c:pt>
              </c:numCache>
            </c:numRef>
          </c:val>
          <c:smooth val="0"/>
          <c:extLst>
            <c:ext xmlns:c15="http://schemas.microsoft.com/office/drawing/2012/chart" uri="{02D57815-91ED-43cb-92C2-25804820EDAC}">
              <c15:categoryFilterExceptions>
                <c15:categoryFilterException>
                  <c15:sqref>q32_Fig!$M$39</c15:sqref>
                  <c15:dLbl>
                    <c:idx val="10"/>
                    <c:layout>
                      <c:manualLayout>
                        <c:x val="-2.9561038073299333E-2"/>
                        <c:y val="4.5876746975418894E-2"/>
                      </c:manualLayout>
                    </c:layout>
                    <c:dLblPos val="r"/>
                    <c:showLegendKey val="0"/>
                    <c:showVal val="1"/>
                    <c:showCatName val="0"/>
                    <c:showSerName val="0"/>
                    <c:showPercent val="0"/>
                    <c:showBubbleSize val="0"/>
                    <c:separator>
</c:separator>
                    <c:extLst>
                      <c:ext uri="{CE6537A1-D6FC-4f65-9D91-7224C49458BB}"/>
                      <c:ext xmlns:c16="http://schemas.microsoft.com/office/drawing/2014/chart" uri="{C3380CC4-5D6E-409C-BE32-E72D297353CC}">
                        <c16:uniqueId val="{00000003-07FC-471D-94D9-F8C877F38AF5}"/>
                      </c:ext>
                    </c:extLst>
                  </c15:dLbl>
                </c15:categoryFilterException>
              </c15:categoryFilterExceptions>
            </c:ext>
            <c:ext xmlns:c16="http://schemas.microsoft.com/office/drawing/2014/chart" uri="{C3380CC4-5D6E-409C-BE32-E72D297353CC}">
              <c16:uniqueId val="{0000002F-5B53-4B60-A47B-4EF33C175AEB}"/>
            </c:ext>
          </c:extLst>
        </c:ser>
        <c:ser>
          <c:idx val="1"/>
          <c:order val="4"/>
          <c:tx>
            <c:strRef>
              <c:f>q32_Fig!$A$36</c:f>
              <c:strCache>
                <c:ptCount val="1"/>
                <c:pt idx="0">
                  <c:v>D9</c:v>
                </c:pt>
              </c:strCache>
            </c:strRef>
          </c:tx>
          <c:spPr>
            <a:ln w="28575" cap="rnd">
              <a:noFill/>
              <a:round/>
            </a:ln>
            <a:effectLst/>
          </c:spPr>
          <c:marker>
            <c:symbol val="dash"/>
            <c:size val="5"/>
            <c:spPr>
              <a:solidFill>
                <a:schemeClr val="accent2"/>
              </a:solidFill>
              <a:ln w="25400">
                <a:solidFill>
                  <a:schemeClr val="accent1"/>
                </a:solidFill>
              </a:ln>
              <a:effectLst/>
            </c:spPr>
          </c:marker>
          <c:dLbls>
            <c:dLbl>
              <c:idx val="0"/>
              <c:layout>
                <c:manualLayout>
                  <c:x val="-1.2567823442540541E-2"/>
                  <c:y val="-4.638443806096164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0-5B53-4B60-A47B-4EF33C175AEB}"/>
                </c:ext>
              </c:extLst>
            </c:dLbl>
            <c:dLbl>
              <c:idx val="1"/>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B53-4B60-A47B-4EF33C175AEB}"/>
                </c:ext>
              </c:extLst>
            </c:dLbl>
            <c:dLbl>
              <c:idx val="2"/>
              <c:layout>
                <c:manualLayout>
                  <c:x val="-2.7135401553775598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B53-4B60-A47B-4EF33C175AEB}"/>
                </c:ext>
              </c:extLst>
            </c:dLbl>
            <c:dLbl>
              <c:idx val="3"/>
              <c:layout>
                <c:manualLayout>
                  <c:x val="-2.1745161623019604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B53-4B60-A47B-4EF33C175AEB}"/>
                </c:ext>
              </c:extLst>
            </c:dLbl>
            <c:dLbl>
              <c:idx val="4"/>
              <c:layout>
                <c:manualLayout>
                  <c:x val="-2.7135401553775567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B53-4B60-A47B-4EF33C175AEB}"/>
                </c:ext>
              </c:extLst>
            </c:dLbl>
            <c:dLbl>
              <c:idx val="5"/>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B53-4B60-A47B-4EF33C175AEB}"/>
                </c:ext>
              </c:extLst>
            </c:dLbl>
            <c:dLbl>
              <c:idx val="6"/>
              <c:layout>
                <c:manualLayout>
                  <c:x val="-2.3081123627621918E-2"/>
                  <c:y val="-4.7229619141239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B53-4B60-A47B-4EF33C175AEB}"/>
                </c:ext>
              </c:extLst>
            </c:dLbl>
            <c:dLbl>
              <c:idx val="7"/>
              <c:layout>
                <c:manualLayout>
                  <c:x val="-2.174516162301963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B53-4B60-A47B-4EF33C175AEB}"/>
                </c:ext>
              </c:extLst>
            </c:dLbl>
            <c:dLbl>
              <c:idx val="8"/>
              <c:layout>
                <c:manualLayout>
                  <c:x val="-2.5338654910190189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B53-4B60-A47B-4EF33C175AEB}"/>
                </c:ext>
              </c:extLst>
            </c:dLbl>
            <c:dLbl>
              <c:idx val="9"/>
              <c:layout>
                <c:manualLayout>
                  <c:x val="-2.533865491019025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B53-4B60-A47B-4EF33C175AEB}"/>
                </c:ext>
              </c:extLst>
            </c:dLbl>
            <c:dLbl>
              <c:idx val="10"/>
              <c:layout>
                <c:manualLayout>
                  <c:x val="-2.7135401553775699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B53-4B60-A47B-4EF33C175AEB}"/>
                </c:ext>
              </c:extLst>
            </c:dLbl>
            <c:numFmt formatCode="#,##0\ &quot;€&quot;" sourceLinked="0"/>
            <c:spPr>
              <a:noFill/>
              <a:ln>
                <a:noFill/>
              </a:ln>
              <a:effectLst/>
            </c:spPr>
            <c:txPr>
              <a:bodyPr rot="0" vert="horz"/>
              <a:lstStyle/>
              <a:p>
                <a:pPr>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q32_Fig!$B$34:$N$34</c15:sqref>
                  </c15:fullRef>
                </c:ext>
              </c:extLst>
              <c:f>q32_Fig!$B$34:$L$34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q32_Fig!$B$36:$N$36</c15:sqref>
                  </c15:fullRef>
                </c:ext>
              </c:extLst>
              <c:f>q32_Fig!$B$36:$L$36</c:f>
              <c:numCache>
                <c:formatCode>#,##0\ "€"</c:formatCode>
                <c:ptCount val="11"/>
                <c:pt idx="0">
                  <c:v>1606.65</c:v>
                </c:pt>
                <c:pt idx="1">
                  <c:v>1596.19</c:v>
                </c:pt>
                <c:pt idx="2">
                  <c:v>1593.99</c:v>
                </c:pt>
                <c:pt idx="3">
                  <c:v>1597.23</c:v>
                </c:pt>
                <c:pt idx="4">
                  <c:v>1617.01</c:v>
                </c:pt>
                <c:pt idx="5">
                  <c:v>1663.94</c:v>
                </c:pt>
                <c:pt idx="6">
                  <c:v>1717.19</c:v>
                </c:pt>
                <c:pt idx="7">
                  <c:v>1773.49</c:v>
                </c:pt>
                <c:pt idx="8">
                  <c:v>1827.6</c:v>
                </c:pt>
                <c:pt idx="9">
                  <c:v>1929.98</c:v>
                </c:pt>
                <c:pt idx="10">
                  <c:v>2057.54</c:v>
                </c:pt>
              </c:numCache>
            </c:numRef>
          </c:val>
          <c:smooth val="0"/>
          <c:extLst>
            <c:ext xmlns:c15="http://schemas.microsoft.com/office/drawing/2012/chart" uri="{02D57815-91ED-43cb-92C2-25804820EDAC}">
              <c15:categoryFilterExceptions>
                <c15:categoryFilterException>
                  <c15:sqref>q32_Fig!$M$36</c15:sqref>
                  <c15:dLbl>
                    <c:idx val="10"/>
                    <c:layout>
                      <c:manualLayout>
                        <c:x val="-2.7135401553775567E-2"/>
                        <c:y val="-4.581803419827482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07FC-471D-94D9-F8C877F38AF5}"/>
                      </c:ext>
                    </c:extLst>
                  </c15:dLbl>
                </c15:categoryFilterException>
              </c15:categoryFilterExceptions>
            </c:ext>
            <c:ext xmlns:c16="http://schemas.microsoft.com/office/drawing/2014/chart" uri="{C3380CC4-5D6E-409C-BE32-E72D297353CC}">
              <c16:uniqueId val="{0000003B-5B53-4B60-A47B-4EF33C175AEB}"/>
            </c:ext>
          </c:extLst>
        </c:ser>
        <c:dLbls>
          <c:showLegendKey val="0"/>
          <c:showVal val="0"/>
          <c:showCatName val="0"/>
          <c:showSerName val="0"/>
          <c:showPercent val="0"/>
          <c:showBubbleSize val="0"/>
        </c:dLbls>
        <c:hiLowLines>
          <c:spPr>
            <a:ln w="9525" cap="flat" cmpd="sng" algn="ctr">
              <a:solidFill>
                <a:schemeClr val="tx1">
                  <a:lumMod val="75000"/>
                  <a:lumOff val="25000"/>
                  <a:alpha val="21000"/>
                </a:schemeClr>
              </a:solidFill>
              <a:round/>
            </a:ln>
            <a:effectLst/>
          </c:spPr>
        </c:hiLowLines>
        <c:upDownBars>
          <c:gapWidth val="219"/>
          <c:upBars>
            <c:spPr>
              <a:solidFill>
                <a:srgbClr val="4F81BD">
                  <a:lumMod val="60000"/>
                  <a:lumOff val="40000"/>
                  <a:alpha val="57000"/>
                </a:srgbClr>
              </a:solidFill>
              <a:ln w="34925">
                <a:solidFill>
                  <a:schemeClr val="tx2">
                    <a:lumMod val="20000"/>
                    <a:lumOff val="80000"/>
                  </a:schemeClr>
                </a:solidFill>
              </a:ln>
              <a:effectLst/>
              <a:scene3d>
                <a:camera prst="orthographicFront"/>
                <a:lightRig rig="threePt" dir="t"/>
              </a:scene3d>
              <a:sp3d>
                <a:bevelB w="133350"/>
              </a:sp3d>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1516193728"/>
        <c:axId val="243822752"/>
      </c:lineChart>
      <c:catAx>
        <c:axId val="151619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pt-PT"/>
          </a:p>
        </c:txPr>
        <c:crossAx val="243822752"/>
        <c:crosses val="autoZero"/>
        <c:auto val="1"/>
        <c:lblAlgn val="ctr"/>
        <c:lblOffset val="100"/>
        <c:noMultiLvlLbl val="0"/>
      </c:catAx>
      <c:valAx>
        <c:axId val="243822752"/>
        <c:scaling>
          <c:orientation val="minMax"/>
          <c:max val="4000"/>
        </c:scaling>
        <c:delete val="0"/>
        <c:axPos val="l"/>
        <c:majorGridlines>
          <c:spPr>
            <a:ln w="9525" cap="flat" cmpd="sng" algn="ctr">
              <a:noFill/>
              <a:round/>
            </a:ln>
            <a:effectLst/>
          </c:spPr>
        </c:majorGridlines>
        <c:numFmt formatCode="#,##0\ &quot;€&quot;" sourceLinked="0"/>
        <c:majorTickMark val="none"/>
        <c:minorTickMark val="none"/>
        <c:tickLblPos val="nextTo"/>
        <c:spPr>
          <a:noFill/>
          <a:ln>
            <a:noFill/>
          </a:ln>
          <a:effectLst/>
        </c:spPr>
        <c:txPr>
          <a:bodyPr rot="-60000000" vert="horz"/>
          <a:lstStyle/>
          <a:p>
            <a:pPr>
              <a:defRPr/>
            </a:pPr>
            <a:endParaRPr lang="pt-PT"/>
          </a:p>
        </c:txPr>
        <c:crossAx val="1516193728"/>
        <c:crosses val="autoZero"/>
        <c:crossBetween val="between"/>
        <c:majorUnit val="400"/>
        <c:minorUnit val="20"/>
      </c:valAx>
      <c:spPr>
        <a:noFill/>
        <a:ln>
          <a:noFill/>
        </a:ln>
        <a:effectLst/>
      </c:spPr>
    </c:plotArea>
    <c:plotVisOnly val="1"/>
    <c:dispBlanksAs val="gap"/>
    <c:showDLblsOverMax val="0"/>
  </c:chart>
  <c:spPr>
    <a:noFill/>
    <a:ln w="9525" cap="flat" cmpd="sng" algn="ctr">
      <a:noFill/>
      <a:round/>
    </a:ln>
    <a:effectLst/>
  </c:spPr>
  <c:txPr>
    <a:bodyPr/>
    <a:lstStyle/>
    <a:p>
      <a:pPr>
        <a:defRPr sz="7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960500801841724E-2"/>
          <c:y val="6.5949345426542308E-2"/>
          <c:w val="0.77681941078122041"/>
          <c:h val="0.74648887800473851"/>
        </c:manualLayout>
      </c:layout>
      <c:lineChart>
        <c:grouping val="standard"/>
        <c:varyColors val="0"/>
        <c:ser>
          <c:idx val="0"/>
          <c:order val="0"/>
          <c:tx>
            <c:strRef>
              <c:f>q20_q30_q41_Fig!$A$15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q20_q30_q41_Fig!$B$15:$L$15</c:f>
              <c:numCache>
                <c:formatCode>#,##0.00\ "€"</c:formatCode>
                <c:ptCount val="11"/>
                <c:pt idx="0">
                  <c:v>912.18</c:v>
                </c:pt>
                <c:pt idx="1">
                  <c:v>909.49</c:v>
                </c:pt>
                <c:pt idx="2">
                  <c:v>913.93</c:v>
                </c:pt>
                <c:pt idx="3">
                  <c:v>924.94</c:v>
                </c:pt>
                <c:pt idx="4">
                  <c:v>943</c:v>
                </c:pt>
                <c:pt idx="5">
                  <c:v>970.42</c:v>
                </c:pt>
                <c:pt idx="6">
                  <c:v>1005.09</c:v>
                </c:pt>
                <c:pt idx="7">
                  <c:v>1041.99</c:v>
                </c:pt>
                <c:pt idx="8">
                  <c:v>1082.77</c:v>
                </c:pt>
                <c:pt idx="9">
                  <c:v>1143.45</c:v>
                </c:pt>
                <c:pt idx="10">
                  <c:v>1219.8699999999999</c:v>
                </c:pt>
              </c:numCache>
            </c:numRef>
          </c:val>
          <c:smooth val="0"/>
          <c:extLst xmlns:c15="http://schemas.microsoft.com/office/drawing/2012/chart">
            <c:ext xmlns:c16="http://schemas.microsoft.com/office/drawing/2014/chart" uri="{C3380CC4-5D6E-409C-BE32-E72D297353CC}">
              <c16:uniqueId val="{00000000-1577-4B7B-9D22-942E73EEF126}"/>
            </c:ext>
          </c:extLst>
        </c:ser>
        <c:ser>
          <c:idx val="1"/>
          <c:order val="1"/>
          <c:tx>
            <c:strRef>
              <c:f>q20_q30_q41_Fig!$A$16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q20_q30_q41_Fig!$B$16:$L$16</c:f>
              <c:numCache>
                <c:formatCode>#,##0.00\ "€"</c:formatCode>
                <c:ptCount val="11"/>
                <c:pt idx="0">
                  <c:v>813.49</c:v>
                </c:pt>
                <c:pt idx="1">
                  <c:v>814.02</c:v>
                </c:pt>
                <c:pt idx="2">
                  <c:v>822.04</c:v>
                </c:pt>
                <c:pt idx="3">
                  <c:v>834.1</c:v>
                </c:pt>
                <c:pt idx="4">
                  <c:v>851.63</c:v>
                </c:pt>
                <c:pt idx="5">
                  <c:v>878.73</c:v>
                </c:pt>
                <c:pt idx="6">
                  <c:v>910.7</c:v>
                </c:pt>
                <c:pt idx="7">
                  <c:v>946.93</c:v>
                </c:pt>
                <c:pt idx="8">
                  <c:v>985.26</c:v>
                </c:pt>
                <c:pt idx="9">
                  <c:v>1034.9100000000001</c:v>
                </c:pt>
                <c:pt idx="10">
                  <c:v>1104.8399999999999</c:v>
                </c:pt>
              </c:numCache>
            </c:numRef>
          </c:val>
          <c:smooth val="0"/>
          <c:extLst>
            <c:ext xmlns:c16="http://schemas.microsoft.com/office/drawing/2014/chart" uri="{C3380CC4-5D6E-409C-BE32-E72D297353CC}">
              <c16:uniqueId val="{00000001-1577-4B7B-9D22-942E73EEF126}"/>
            </c:ext>
          </c:extLst>
        </c:ser>
        <c:ser>
          <c:idx val="2"/>
          <c:order val="2"/>
          <c:tx>
            <c:strRef>
              <c:f>q20_q30_q41_Fig!$A$17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q20_q30_q41_Fig!$B$17:$L$17</c:f>
              <c:numCache>
                <c:formatCode>#,##0.00\ "€"</c:formatCode>
                <c:ptCount val="11"/>
                <c:pt idx="0">
                  <c:v>1378.62</c:v>
                </c:pt>
                <c:pt idx="1">
                  <c:v>1355.5</c:v>
                </c:pt>
                <c:pt idx="2">
                  <c:v>1369.22</c:v>
                </c:pt>
                <c:pt idx="3">
                  <c:v>1380.34</c:v>
                </c:pt>
                <c:pt idx="4">
                  <c:v>1384.89</c:v>
                </c:pt>
                <c:pt idx="5">
                  <c:v>1383.1</c:v>
                </c:pt>
                <c:pt idx="6">
                  <c:v>1377.83</c:v>
                </c:pt>
                <c:pt idx="7">
                  <c:v>1398.04</c:v>
                </c:pt>
                <c:pt idx="8">
                  <c:v>1401.27</c:v>
                </c:pt>
                <c:pt idx="9">
                  <c:v>1434.7</c:v>
                </c:pt>
                <c:pt idx="10">
                  <c:v>1540.55</c:v>
                </c:pt>
              </c:numCache>
            </c:numRef>
          </c:val>
          <c:smooth val="0"/>
          <c:extLst>
            <c:ext xmlns:c16="http://schemas.microsoft.com/office/drawing/2014/chart" uri="{C3380CC4-5D6E-409C-BE32-E72D297353CC}">
              <c16:uniqueId val="{00000002-1577-4B7B-9D22-942E73EEF126}"/>
            </c:ext>
          </c:extLst>
        </c:ser>
        <c:ser>
          <c:idx val="3"/>
          <c:order val="3"/>
          <c:tx>
            <c:strRef>
              <c:f>q20_q30_q41_Fig!$A$18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q20_q30_q41_Fig!$B$18:$L$18</c:f>
              <c:numCache>
                <c:formatCode>#,##0.00\ "€"</c:formatCode>
                <c:ptCount val="11"/>
                <c:pt idx="0">
                  <c:v>977.85</c:v>
                </c:pt>
                <c:pt idx="1">
                  <c:v>972.19</c:v>
                </c:pt>
                <c:pt idx="2">
                  <c:v>967.53</c:v>
                </c:pt>
                <c:pt idx="3">
                  <c:v>971.01</c:v>
                </c:pt>
                <c:pt idx="4">
                  <c:v>992.05</c:v>
                </c:pt>
                <c:pt idx="5">
                  <c:v>1032.1099999999999</c:v>
                </c:pt>
                <c:pt idx="6">
                  <c:v>1074.6099999999999</c:v>
                </c:pt>
                <c:pt idx="7">
                  <c:v>1119.8599999999999</c:v>
                </c:pt>
                <c:pt idx="8">
                  <c:v>1179.75</c:v>
                </c:pt>
                <c:pt idx="9">
                  <c:v>1261.6500000000001</c:v>
                </c:pt>
                <c:pt idx="10">
                  <c:v>1353.7</c:v>
                </c:pt>
              </c:numCache>
            </c:numRef>
          </c:val>
          <c:smooth val="0"/>
          <c:extLst>
            <c:ext xmlns:c16="http://schemas.microsoft.com/office/drawing/2014/chart" uri="{C3380CC4-5D6E-409C-BE32-E72D297353CC}">
              <c16:uniqueId val="{00000003-1577-4B7B-9D22-942E73EEF126}"/>
            </c:ext>
          </c:extLst>
        </c:ser>
        <c:ser>
          <c:idx val="4"/>
          <c:order val="4"/>
          <c:tx>
            <c:strRef>
              <c:f>q20_q30_q41_Fig!$A$19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q20_q30_q41_Fig!$B$19:$L$19</c:f>
              <c:numCache>
                <c:formatCode>#,##0.00\ "€"</c:formatCode>
                <c:ptCount val="11"/>
                <c:pt idx="0">
                  <c:v>1450.63</c:v>
                </c:pt>
                <c:pt idx="1">
                  <c:v>1444.7</c:v>
                </c:pt>
                <c:pt idx="2">
                  <c:v>1449</c:v>
                </c:pt>
                <c:pt idx="3">
                  <c:v>1443.02</c:v>
                </c:pt>
                <c:pt idx="4">
                  <c:v>1460.94</c:v>
                </c:pt>
                <c:pt idx="5">
                  <c:v>1499.23</c:v>
                </c:pt>
                <c:pt idx="6">
                  <c:v>1520.65</c:v>
                </c:pt>
                <c:pt idx="7">
                  <c:v>1451.9</c:v>
                </c:pt>
                <c:pt idx="8">
                  <c:v>1476.86</c:v>
                </c:pt>
                <c:pt idx="9">
                  <c:v>1594.67</c:v>
                </c:pt>
                <c:pt idx="10">
                  <c:v>1672.43</c:v>
                </c:pt>
              </c:numCache>
            </c:numRef>
          </c:val>
          <c:smooth val="0"/>
          <c:extLst>
            <c:ext xmlns:c16="http://schemas.microsoft.com/office/drawing/2014/chart" uri="{C3380CC4-5D6E-409C-BE32-E72D297353CC}">
              <c16:uniqueId val="{00000004-1577-4B7B-9D22-942E73EEF126}"/>
            </c:ext>
          </c:extLst>
        </c:ser>
        <c:ser>
          <c:idx val="5"/>
          <c:order val="5"/>
          <c:tx>
            <c:strRef>
              <c:f>q20_q30_q41_Fig!$A$20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q20_q30_q41_Fig!$B$14:$L$14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q20_q30_q41_Fig!$B$20:$L$20</c:f>
              <c:numCache>
                <c:formatCode>#,##0.00\ "€"</c:formatCode>
                <c:ptCount val="11"/>
                <c:pt idx="0">
                  <c:v>1130.8</c:v>
                </c:pt>
                <c:pt idx="1">
                  <c:v>1121.4000000000001</c:v>
                </c:pt>
                <c:pt idx="2">
                  <c:v>1104.3499999999999</c:v>
                </c:pt>
                <c:pt idx="3">
                  <c:v>1107.47</c:v>
                </c:pt>
                <c:pt idx="4">
                  <c:v>1109.81</c:v>
                </c:pt>
                <c:pt idx="5">
                  <c:v>1145.6199999999999</c:v>
                </c:pt>
                <c:pt idx="6">
                  <c:v>1184.1099999999999</c:v>
                </c:pt>
                <c:pt idx="7">
                  <c:v>1211.97</c:v>
                </c:pt>
                <c:pt idx="8">
                  <c:v>1273.56</c:v>
                </c:pt>
                <c:pt idx="9">
                  <c:v>1356.61</c:v>
                </c:pt>
                <c:pt idx="10">
                  <c:v>1446.74</c:v>
                </c:pt>
              </c:numCache>
            </c:numRef>
          </c:val>
          <c:smooth val="0"/>
          <c:extLst>
            <c:ext xmlns:c16="http://schemas.microsoft.com/office/drawing/2014/chart" uri="{C3380CC4-5D6E-409C-BE32-E72D297353CC}">
              <c16:uniqueId val="{00000005-1577-4B7B-9D22-942E73EEF126}"/>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22003499562555"/>
          <c:y val="0.13152482269503546"/>
          <c:w val="0.84854399038524708"/>
          <c:h val="0.68091324320084134"/>
        </c:manualLayout>
      </c:layout>
      <c:lineChart>
        <c:grouping val="standard"/>
        <c:varyColors val="0"/>
        <c:ser>
          <c:idx val="0"/>
          <c:order val="0"/>
          <c:tx>
            <c:strRef>
              <c:f>q20_q30_q41_Fig!$A$26</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q20_q30_q41_Fig!$B$26:$L$26</c:f>
              <c:numCache>
                <c:formatCode>#,##0.00\ "€"</c:formatCode>
                <c:ptCount val="11"/>
                <c:pt idx="0">
                  <c:v>1093.82</c:v>
                </c:pt>
                <c:pt idx="1">
                  <c:v>1093.21</c:v>
                </c:pt>
                <c:pt idx="2">
                  <c:v>1096.6600000000001</c:v>
                </c:pt>
                <c:pt idx="3">
                  <c:v>1107.8599999999999</c:v>
                </c:pt>
                <c:pt idx="4">
                  <c:v>1133.3399999999999</c:v>
                </c:pt>
                <c:pt idx="5">
                  <c:v>1170.25</c:v>
                </c:pt>
                <c:pt idx="6">
                  <c:v>1209.94</c:v>
                </c:pt>
                <c:pt idx="7">
                  <c:v>1250.75</c:v>
                </c:pt>
                <c:pt idx="8">
                  <c:v>1294.1099999999999</c:v>
                </c:pt>
                <c:pt idx="9">
                  <c:v>1368</c:v>
                </c:pt>
                <c:pt idx="10">
                  <c:v>1466.66</c:v>
                </c:pt>
              </c:numCache>
            </c:numRef>
          </c:val>
          <c:smooth val="0"/>
          <c:extLst xmlns:c15="http://schemas.microsoft.com/office/drawing/2012/chart">
            <c:ext xmlns:c16="http://schemas.microsoft.com/office/drawing/2014/chart" uri="{C3380CC4-5D6E-409C-BE32-E72D297353CC}">
              <c16:uniqueId val="{00000000-B297-49E2-8F45-2ACDF6C0187E}"/>
            </c:ext>
          </c:extLst>
        </c:ser>
        <c:ser>
          <c:idx val="1"/>
          <c:order val="1"/>
          <c:tx>
            <c:strRef>
              <c:f>q20_q30_q41_Fig!$A$27</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q20_q30_q41_Fig!$B$27:$L$27</c:f>
              <c:numCache>
                <c:formatCode>#,##0.00\ "€"</c:formatCode>
                <c:ptCount val="11"/>
                <c:pt idx="0">
                  <c:v>956.89</c:v>
                </c:pt>
                <c:pt idx="1">
                  <c:v>958.21</c:v>
                </c:pt>
                <c:pt idx="2">
                  <c:v>967.68</c:v>
                </c:pt>
                <c:pt idx="3">
                  <c:v>981.32</c:v>
                </c:pt>
                <c:pt idx="4">
                  <c:v>1003.59</c:v>
                </c:pt>
                <c:pt idx="5">
                  <c:v>1039.96</c:v>
                </c:pt>
                <c:pt idx="6">
                  <c:v>1077.22</c:v>
                </c:pt>
                <c:pt idx="7">
                  <c:v>1117.7</c:v>
                </c:pt>
                <c:pt idx="8">
                  <c:v>1159.75</c:v>
                </c:pt>
                <c:pt idx="9">
                  <c:v>1221.48</c:v>
                </c:pt>
                <c:pt idx="10">
                  <c:v>1310.4000000000001</c:v>
                </c:pt>
              </c:numCache>
            </c:numRef>
          </c:val>
          <c:smooth val="0"/>
          <c:extLst>
            <c:ext xmlns:c16="http://schemas.microsoft.com/office/drawing/2014/chart" uri="{C3380CC4-5D6E-409C-BE32-E72D297353CC}">
              <c16:uniqueId val="{00000001-B297-49E2-8F45-2ACDF6C0187E}"/>
            </c:ext>
          </c:extLst>
        </c:ser>
        <c:ser>
          <c:idx val="2"/>
          <c:order val="2"/>
          <c:tx>
            <c:strRef>
              <c:f>q20_q30_q41_Fig!$A$28</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q20_q30_q41_Fig!$B$28:$L$28</c:f>
              <c:numCache>
                <c:formatCode>#,##0.00\ "€"</c:formatCode>
                <c:ptCount val="11"/>
                <c:pt idx="0">
                  <c:v>1912.25</c:v>
                </c:pt>
                <c:pt idx="1">
                  <c:v>1928.43</c:v>
                </c:pt>
                <c:pt idx="2">
                  <c:v>1936.67</c:v>
                </c:pt>
                <c:pt idx="3">
                  <c:v>1944.81</c:v>
                </c:pt>
                <c:pt idx="4">
                  <c:v>1970.67</c:v>
                </c:pt>
                <c:pt idx="5">
                  <c:v>1974.69</c:v>
                </c:pt>
                <c:pt idx="6">
                  <c:v>1933.53</c:v>
                </c:pt>
                <c:pt idx="7">
                  <c:v>1966.25</c:v>
                </c:pt>
                <c:pt idx="8">
                  <c:v>1956.61</c:v>
                </c:pt>
                <c:pt idx="9">
                  <c:v>2014.6</c:v>
                </c:pt>
                <c:pt idx="10">
                  <c:v>2185.2800000000002</c:v>
                </c:pt>
              </c:numCache>
            </c:numRef>
          </c:val>
          <c:smooth val="0"/>
          <c:extLst>
            <c:ext xmlns:c16="http://schemas.microsoft.com/office/drawing/2014/chart" uri="{C3380CC4-5D6E-409C-BE32-E72D297353CC}">
              <c16:uniqueId val="{00000002-B297-49E2-8F45-2ACDF6C0187E}"/>
            </c:ext>
          </c:extLst>
        </c:ser>
        <c:ser>
          <c:idx val="3"/>
          <c:order val="3"/>
          <c:tx>
            <c:strRef>
              <c:f>q20_q30_q41_Fig!$A$29</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q20_q30_q41_Fig!$B$29:$L$29</c:f>
              <c:numCache>
                <c:formatCode>#,##0.00\ "€"</c:formatCode>
                <c:ptCount val="11"/>
                <c:pt idx="0">
                  <c:v>1115.6600000000001</c:v>
                </c:pt>
                <c:pt idx="1">
                  <c:v>1112.83</c:v>
                </c:pt>
                <c:pt idx="2">
                  <c:v>1108.6500000000001</c:v>
                </c:pt>
                <c:pt idx="3">
                  <c:v>1109.69</c:v>
                </c:pt>
                <c:pt idx="4">
                  <c:v>1137.24</c:v>
                </c:pt>
                <c:pt idx="5">
                  <c:v>1189.52</c:v>
                </c:pt>
                <c:pt idx="6">
                  <c:v>1243.71</c:v>
                </c:pt>
                <c:pt idx="7">
                  <c:v>1290.47</c:v>
                </c:pt>
                <c:pt idx="8">
                  <c:v>1355.96</c:v>
                </c:pt>
                <c:pt idx="9">
                  <c:v>1448.63</c:v>
                </c:pt>
                <c:pt idx="10">
                  <c:v>1565.83</c:v>
                </c:pt>
              </c:numCache>
            </c:numRef>
          </c:val>
          <c:smooth val="0"/>
          <c:extLst>
            <c:ext xmlns:c16="http://schemas.microsoft.com/office/drawing/2014/chart" uri="{C3380CC4-5D6E-409C-BE32-E72D297353CC}">
              <c16:uniqueId val="{00000003-B297-49E2-8F45-2ACDF6C0187E}"/>
            </c:ext>
          </c:extLst>
        </c:ser>
        <c:ser>
          <c:idx val="4"/>
          <c:order val="4"/>
          <c:tx>
            <c:strRef>
              <c:f>q20_q30_q41_Fig!$A$30</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q20_q30_q41_Fig!$B$30:$L$30</c:f>
              <c:numCache>
                <c:formatCode>#,##0.00\ "€"</c:formatCode>
                <c:ptCount val="11"/>
                <c:pt idx="0">
                  <c:v>1992.38</c:v>
                </c:pt>
                <c:pt idx="1">
                  <c:v>2002.28</c:v>
                </c:pt>
                <c:pt idx="2">
                  <c:v>1985.41</c:v>
                </c:pt>
                <c:pt idx="3">
                  <c:v>1982.63</c:v>
                </c:pt>
                <c:pt idx="4">
                  <c:v>2024.68</c:v>
                </c:pt>
                <c:pt idx="5">
                  <c:v>2085.6</c:v>
                </c:pt>
                <c:pt idx="6">
                  <c:v>2111.4</c:v>
                </c:pt>
                <c:pt idx="7">
                  <c:v>1993.24</c:v>
                </c:pt>
                <c:pt idx="8">
                  <c:v>2027.84</c:v>
                </c:pt>
                <c:pt idx="9">
                  <c:v>2202.54</c:v>
                </c:pt>
                <c:pt idx="10">
                  <c:v>2332.16</c:v>
                </c:pt>
              </c:numCache>
            </c:numRef>
          </c:val>
          <c:smooth val="0"/>
          <c:extLst>
            <c:ext xmlns:c16="http://schemas.microsoft.com/office/drawing/2014/chart" uri="{C3380CC4-5D6E-409C-BE32-E72D297353CC}">
              <c16:uniqueId val="{00000004-B297-49E2-8F45-2ACDF6C0187E}"/>
            </c:ext>
          </c:extLst>
        </c:ser>
        <c:ser>
          <c:idx val="5"/>
          <c:order val="5"/>
          <c:tx>
            <c:strRef>
              <c:f>q20_q30_q41_Fig!$A$31</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q20_q30_q41_Fig!$B$25:$L$25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q20_q30_q41_Fig!$B$31:$L$31</c:f>
              <c:numCache>
                <c:formatCode>#,##0.00\ "€"</c:formatCode>
                <c:ptCount val="11"/>
                <c:pt idx="0">
                  <c:v>1327.37</c:v>
                </c:pt>
                <c:pt idx="1">
                  <c:v>1313.3</c:v>
                </c:pt>
                <c:pt idx="2">
                  <c:v>1292.21</c:v>
                </c:pt>
                <c:pt idx="3">
                  <c:v>1292.3699999999999</c:v>
                </c:pt>
                <c:pt idx="4">
                  <c:v>1303.6199999999999</c:v>
                </c:pt>
                <c:pt idx="5">
                  <c:v>1350.43</c:v>
                </c:pt>
                <c:pt idx="6">
                  <c:v>1400.22</c:v>
                </c:pt>
                <c:pt idx="7">
                  <c:v>1426.6</c:v>
                </c:pt>
                <c:pt idx="8">
                  <c:v>1489.71</c:v>
                </c:pt>
                <c:pt idx="9">
                  <c:v>1584.35</c:v>
                </c:pt>
                <c:pt idx="10">
                  <c:v>1696.04</c:v>
                </c:pt>
              </c:numCache>
            </c:numRef>
          </c:val>
          <c:smooth val="0"/>
          <c:extLst>
            <c:ext xmlns:c16="http://schemas.microsoft.com/office/drawing/2014/chart" uri="{C3380CC4-5D6E-409C-BE32-E72D297353CC}">
              <c16:uniqueId val="{00000005-B297-49E2-8F45-2ACDF6C0187E}"/>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1"/>
        <c:axPos val="l"/>
        <c:majorGridlines>
          <c:spPr>
            <a:ln w="9525" cap="flat" cmpd="sng" algn="ctr">
              <a:noFill/>
              <a:round/>
            </a:ln>
            <a:effectLst/>
          </c:spPr>
        </c:majorGridlines>
        <c:numFmt formatCode="#,##0\ &quot;€&quot;" sourceLinked="0"/>
        <c:majorTickMark val="out"/>
        <c:minorTickMark val="none"/>
        <c:tickLblPos val="nextTo"/>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79149606299213"/>
          <c:y val="0.12026229508196722"/>
          <c:w val="0.74945871766029237"/>
          <c:h val="0.77416152489135581"/>
        </c:manualLayout>
      </c:layout>
      <c:lineChart>
        <c:grouping val="standard"/>
        <c:varyColors val="0"/>
        <c:ser>
          <c:idx val="0"/>
          <c:order val="0"/>
          <c:tx>
            <c:strRef>
              <c:f>q20_q30_q41_Fig!$A$5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q20_q30_q41_Fig!$B$5:$L$5</c:f>
              <c:numCache>
                <c:formatCode>#,##0</c:formatCode>
                <c:ptCount val="11"/>
                <c:pt idx="0">
                  <c:v>2384121</c:v>
                </c:pt>
                <c:pt idx="1">
                  <c:v>2458163</c:v>
                </c:pt>
                <c:pt idx="2">
                  <c:v>2537653</c:v>
                </c:pt>
                <c:pt idx="3">
                  <c:v>2641919</c:v>
                </c:pt>
                <c:pt idx="4">
                  <c:v>2767521</c:v>
                </c:pt>
                <c:pt idx="5">
                  <c:v>2877918</c:v>
                </c:pt>
                <c:pt idx="6">
                  <c:v>2930482</c:v>
                </c:pt>
                <c:pt idx="7">
                  <c:v>2902825</c:v>
                </c:pt>
                <c:pt idx="8">
                  <c:v>2922343</c:v>
                </c:pt>
                <c:pt idx="9">
                  <c:v>3148147</c:v>
                </c:pt>
                <c:pt idx="10">
                  <c:v>3296134</c:v>
                </c:pt>
              </c:numCache>
            </c:numRef>
          </c:val>
          <c:smooth val="0"/>
          <c:extLst xmlns:c15="http://schemas.microsoft.com/office/drawing/2012/chart">
            <c:ext xmlns:c16="http://schemas.microsoft.com/office/drawing/2014/chart" uri="{C3380CC4-5D6E-409C-BE32-E72D297353CC}">
              <c16:uniqueId val="{00000000-20B8-469E-BB4C-D853424C39EE}"/>
            </c:ext>
          </c:extLst>
        </c:ser>
        <c:ser>
          <c:idx val="1"/>
          <c:order val="1"/>
          <c:tx>
            <c:strRef>
              <c:f>q20_q30_q41_Fig!$A$6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q20_q30_q41_Fig!$B$6:$L$6</c:f>
              <c:numCache>
                <c:formatCode>#,##0</c:formatCode>
                <c:ptCount val="11"/>
                <c:pt idx="0">
                  <c:v>1752648</c:v>
                </c:pt>
                <c:pt idx="1">
                  <c:v>1802130</c:v>
                </c:pt>
                <c:pt idx="2">
                  <c:v>1855203</c:v>
                </c:pt>
                <c:pt idx="3">
                  <c:v>1911498</c:v>
                </c:pt>
                <c:pt idx="4">
                  <c:v>1975887</c:v>
                </c:pt>
                <c:pt idx="5">
                  <c:v>2073822</c:v>
                </c:pt>
                <c:pt idx="6">
                  <c:v>2078465</c:v>
                </c:pt>
                <c:pt idx="7">
                  <c:v>2014412</c:v>
                </c:pt>
                <c:pt idx="8">
                  <c:v>2031422</c:v>
                </c:pt>
                <c:pt idx="9">
                  <c:v>2174986</c:v>
                </c:pt>
                <c:pt idx="10">
                  <c:v>2283826</c:v>
                </c:pt>
              </c:numCache>
            </c:numRef>
          </c:val>
          <c:smooth val="0"/>
          <c:extLst>
            <c:ext xmlns:c16="http://schemas.microsoft.com/office/drawing/2014/chart" uri="{C3380CC4-5D6E-409C-BE32-E72D297353CC}">
              <c16:uniqueId val="{00000001-20B8-469E-BB4C-D853424C39EE}"/>
            </c:ext>
          </c:extLst>
        </c:ser>
        <c:ser>
          <c:idx val="2"/>
          <c:order val="2"/>
          <c:tx>
            <c:strRef>
              <c:f>q20_q30_q41_Fig!$A$7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q20_q30_q41_Fig!$B$7:$L$7</c:f>
              <c:numCache>
                <c:formatCode>#,##0</c:formatCode>
                <c:ptCount val="11"/>
                <c:pt idx="0">
                  <c:v>97694</c:v>
                </c:pt>
                <c:pt idx="1">
                  <c:v>97038</c:v>
                </c:pt>
                <c:pt idx="2">
                  <c:v>99532</c:v>
                </c:pt>
                <c:pt idx="3">
                  <c:v>101183</c:v>
                </c:pt>
                <c:pt idx="4">
                  <c:v>106693</c:v>
                </c:pt>
                <c:pt idx="5">
                  <c:v>109690</c:v>
                </c:pt>
                <c:pt idx="6">
                  <c:v>104297</c:v>
                </c:pt>
                <c:pt idx="7">
                  <c:v>118636</c:v>
                </c:pt>
                <c:pt idx="8">
                  <c:v>118983</c:v>
                </c:pt>
                <c:pt idx="9">
                  <c:v>122759</c:v>
                </c:pt>
                <c:pt idx="10">
                  <c:v>125278</c:v>
                </c:pt>
              </c:numCache>
            </c:numRef>
          </c:val>
          <c:smooth val="0"/>
          <c:extLst>
            <c:ext xmlns:c16="http://schemas.microsoft.com/office/drawing/2014/chart" uri="{C3380CC4-5D6E-409C-BE32-E72D297353CC}">
              <c16:uniqueId val="{00000002-20B8-469E-BB4C-D853424C39EE}"/>
            </c:ext>
          </c:extLst>
        </c:ser>
        <c:ser>
          <c:idx val="3"/>
          <c:order val="3"/>
          <c:tx>
            <c:strRef>
              <c:f>q20_q30_q41_Fig!$A$8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q20_q30_q41_Fig!$B$8:$L$8</c:f>
              <c:numCache>
                <c:formatCode>#,##0</c:formatCode>
                <c:ptCount val="11"/>
                <c:pt idx="0">
                  <c:v>194848</c:v>
                </c:pt>
                <c:pt idx="1">
                  <c:v>205896</c:v>
                </c:pt>
                <c:pt idx="2">
                  <c:v>212238</c:v>
                </c:pt>
                <c:pt idx="3">
                  <c:v>219677</c:v>
                </c:pt>
                <c:pt idx="4">
                  <c:v>226793</c:v>
                </c:pt>
                <c:pt idx="5">
                  <c:v>211503</c:v>
                </c:pt>
                <c:pt idx="6">
                  <c:v>219272</c:v>
                </c:pt>
                <c:pt idx="7">
                  <c:v>221568</c:v>
                </c:pt>
                <c:pt idx="8">
                  <c:v>214401</c:v>
                </c:pt>
                <c:pt idx="9">
                  <c:v>232081</c:v>
                </c:pt>
                <c:pt idx="10">
                  <c:v>241230</c:v>
                </c:pt>
              </c:numCache>
            </c:numRef>
          </c:val>
          <c:smooth val="0"/>
          <c:extLst>
            <c:ext xmlns:c16="http://schemas.microsoft.com/office/drawing/2014/chart" uri="{C3380CC4-5D6E-409C-BE32-E72D297353CC}">
              <c16:uniqueId val="{00000003-20B8-469E-BB4C-D853424C39EE}"/>
            </c:ext>
          </c:extLst>
        </c:ser>
        <c:ser>
          <c:idx val="4"/>
          <c:order val="4"/>
          <c:tx>
            <c:strRef>
              <c:f>q20_q30_q41_Fig!$A$9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q20_q30_q41_Fig!$B$9:$L$9</c:f>
              <c:numCache>
                <c:formatCode>#,##0</c:formatCode>
                <c:ptCount val="11"/>
                <c:pt idx="0">
                  <c:v>80074</c:v>
                </c:pt>
                <c:pt idx="1">
                  <c:v>80029</c:v>
                </c:pt>
                <c:pt idx="2">
                  <c:v>78163</c:v>
                </c:pt>
                <c:pt idx="3">
                  <c:v>79933</c:v>
                </c:pt>
                <c:pt idx="4">
                  <c:v>85752</c:v>
                </c:pt>
                <c:pt idx="5">
                  <c:v>86043</c:v>
                </c:pt>
                <c:pt idx="6">
                  <c:v>91984</c:v>
                </c:pt>
                <c:pt idx="7">
                  <c:v>90179</c:v>
                </c:pt>
                <c:pt idx="8">
                  <c:v>89882</c:v>
                </c:pt>
                <c:pt idx="9">
                  <c:v>92151</c:v>
                </c:pt>
                <c:pt idx="10">
                  <c:v>93763</c:v>
                </c:pt>
              </c:numCache>
            </c:numRef>
          </c:val>
          <c:smooth val="0"/>
          <c:extLst>
            <c:ext xmlns:c16="http://schemas.microsoft.com/office/drawing/2014/chart" uri="{C3380CC4-5D6E-409C-BE32-E72D297353CC}">
              <c16:uniqueId val="{00000004-20B8-469E-BB4C-D853424C39EE}"/>
            </c:ext>
          </c:extLst>
        </c:ser>
        <c:ser>
          <c:idx val="5"/>
          <c:order val="5"/>
          <c:tx>
            <c:strRef>
              <c:f>q20_q30_q41_Fig!$A$10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q20_q30_q41_Fig!$B$4:$L$4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q20_q30_q41_Fig!$B$10:$L$10</c:f>
              <c:numCache>
                <c:formatCode>#,##0</c:formatCode>
                <c:ptCount val="11"/>
                <c:pt idx="0">
                  <c:v>258857</c:v>
                </c:pt>
                <c:pt idx="1">
                  <c:v>273070</c:v>
                </c:pt>
                <c:pt idx="2">
                  <c:v>292517</c:v>
                </c:pt>
                <c:pt idx="3">
                  <c:v>329628</c:v>
                </c:pt>
                <c:pt idx="4">
                  <c:v>372396</c:v>
                </c:pt>
                <c:pt idx="5">
                  <c:v>396860</c:v>
                </c:pt>
                <c:pt idx="6">
                  <c:v>436464</c:v>
                </c:pt>
                <c:pt idx="7">
                  <c:v>458030</c:v>
                </c:pt>
                <c:pt idx="8">
                  <c:v>467655</c:v>
                </c:pt>
                <c:pt idx="9">
                  <c:v>526170</c:v>
                </c:pt>
                <c:pt idx="10">
                  <c:v>552037</c:v>
                </c:pt>
              </c:numCache>
            </c:numRef>
          </c:val>
          <c:smooth val="0"/>
          <c:extLst>
            <c:ext xmlns:c16="http://schemas.microsoft.com/office/drawing/2014/chart" uri="{C3380CC4-5D6E-409C-BE32-E72D297353CC}">
              <c16:uniqueId val="{00000005-20B8-469E-BB4C-D853424C39EE}"/>
            </c:ext>
          </c:extLst>
        </c:ser>
        <c:dLbls>
          <c:showLegendKey val="0"/>
          <c:showVal val="0"/>
          <c:showCatName val="0"/>
          <c:showSerName val="0"/>
          <c:showPercent val="0"/>
          <c:showBubbleSize val="0"/>
        </c:dLbls>
        <c:smooth val="0"/>
        <c:axId val="164075663"/>
        <c:axId val="442964127"/>
        <c:extLst/>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3500000"/>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13135065521442E-2"/>
          <c:y val="0.12367253030827709"/>
          <c:w val="0.88699439169412064"/>
          <c:h val="0.6110622271565731"/>
        </c:manualLayout>
      </c:layout>
      <c:barChart>
        <c:barDir val="col"/>
        <c:grouping val="clustered"/>
        <c:varyColors val="0"/>
        <c:ser>
          <c:idx val="0"/>
          <c:order val="0"/>
          <c:tx>
            <c:strRef>
              <c:f>q32_Fig!$A$72</c:f>
              <c:strCache>
                <c:ptCount val="1"/>
                <c:pt idx="0">
                  <c:v>Ganho mensal mediano (euros)</c:v>
                </c:pt>
              </c:strCache>
            </c:strRef>
          </c:tx>
          <c:spPr>
            <a:solidFill>
              <a:schemeClr val="accent1"/>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D6-490C-970F-2E9A29526B75}"/>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q32_Fig!$B$72:$L$72</c:f>
              <c:numCache>
                <c:formatCode>#,##0\ "€"</c:formatCode>
                <c:ptCount val="11"/>
                <c:pt idx="0">
                  <c:v>785.45</c:v>
                </c:pt>
                <c:pt idx="1">
                  <c:v>786.99</c:v>
                </c:pt>
                <c:pt idx="2">
                  <c:v>790.03</c:v>
                </c:pt>
                <c:pt idx="3">
                  <c:v>800</c:v>
                </c:pt>
                <c:pt idx="4">
                  <c:v>822.95</c:v>
                </c:pt>
                <c:pt idx="5">
                  <c:v>854.8</c:v>
                </c:pt>
                <c:pt idx="6">
                  <c:v>892.01</c:v>
                </c:pt>
                <c:pt idx="7">
                  <c:v>926.14</c:v>
                </c:pt>
                <c:pt idx="8">
                  <c:v>962.2</c:v>
                </c:pt>
                <c:pt idx="9">
                  <c:v>1017.5</c:v>
                </c:pt>
                <c:pt idx="10">
                  <c:v>1100.17</c:v>
                </c:pt>
              </c:numCache>
            </c:numRef>
          </c:val>
          <c:extLst>
            <c:ext xmlns:c16="http://schemas.microsoft.com/office/drawing/2014/chart" uri="{C3380CC4-5D6E-409C-BE32-E72D297353CC}">
              <c16:uniqueId val="{00000001-75D6-490C-970F-2E9A29526B75}"/>
            </c:ext>
          </c:extLst>
        </c:ser>
        <c:ser>
          <c:idx val="1"/>
          <c:order val="1"/>
          <c:tx>
            <c:strRef>
              <c:f>q32_Fig!$A$73</c:f>
              <c:strCache>
                <c:ptCount val="1"/>
                <c:pt idx="0">
                  <c:v>Limiar de baixos salários (euros)</c:v>
                </c:pt>
              </c:strCache>
            </c:strRef>
          </c:tx>
          <c:spPr>
            <a:solidFill>
              <a:schemeClr val="accent1">
                <a:lumMod val="20000"/>
                <a:lumOff val="80000"/>
              </a:schemeClr>
            </a:solidFill>
            <a:ln>
              <a:noFill/>
            </a:ln>
            <a:effectLst/>
          </c:spPr>
          <c:invertIfNegative val="0"/>
          <c:dLbls>
            <c:spPr>
              <a:noFill/>
              <a:ln>
                <a:noFill/>
              </a:ln>
              <a:effectLst/>
            </c:spPr>
            <c:txPr>
              <a:bodyPr rot="-5400000" spcFirstLastPara="1" vertOverflow="ellipsis"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q32_Fig!$B$73:$L$73</c:f>
              <c:numCache>
                <c:formatCode>#,##0\ "€"</c:formatCode>
                <c:ptCount val="11"/>
                <c:pt idx="0">
                  <c:v>523.63</c:v>
                </c:pt>
                <c:pt idx="1">
                  <c:v>524.66</c:v>
                </c:pt>
                <c:pt idx="2">
                  <c:v>526.69000000000005</c:v>
                </c:pt>
                <c:pt idx="3">
                  <c:v>533.33000000000004</c:v>
                </c:pt>
                <c:pt idx="4">
                  <c:v>548.63</c:v>
                </c:pt>
                <c:pt idx="5">
                  <c:v>569.87</c:v>
                </c:pt>
                <c:pt idx="6">
                  <c:v>594.66999999999996</c:v>
                </c:pt>
                <c:pt idx="7">
                  <c:v>617.42999999999995</c:v>
                </c:pt>
                <c:pt idx="8">
                  <c:v>641.47</c:v>
                </c:pt>
                <c:pt idx="9">
                  <c:v>678.33</c:v>
                </c:pt>
                <c:pt idx="10">
                  <c:v>733.45</c:v>
                </c:pt>
              </c:numCache>
            </c:numRef>
          </c:val>
          <c:extLst>
            <c:ext xmlns:c16="http://schemas.microsoft.com/office/drawing/2014/chart" uri="{C3380CC4-5D6E-409C-BE32-E72D297353CC}">
              <c16:uniqueId val="{00000002-75D6-490C-970F-2E9A29526B75}"/>
            </c:ext>
          </c:extLst>
        </c:ser>
        <c:ser>
          <c:idx val="2"/>
          <c:order val="2"/>
          <c:tx>
            <c:strRef>
              <c:f>q32_Fig!$A$74</c:f>
              <c:strCache>
                <c:ptCount val="1"/>
                <c:pt idx="0">
                  <c:v>Retribuição Mínima Mensal Garantida (RMMG)</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q32_Fig!$B$74:$L$74</c:f>
              <c:numCache>
                <c:formatCode>#,##0\ "€"</c:formatCode>
                <c:ptCount val="11"/>
                <c:pt idx="0">
                  <c:v>485</c:v>
                </c:pt>
                <c:pt idx="1">
                  <c:v>485</c:v>
                </c:pt>
                <c:pt idx="2">
                  <c:v>505</c:v>
                </c:pt>
                <c:pt idx="3">
                  <c:v>505</c:v>
                </c:pt>
                <c:pt idx="4">
                  <c:v>530</c:v>
                </c:pt>
                <c:pt idx="5">
                  <c:v>557</c:v>
                </c:pt>
                <c:pt idx="6">
                  <c:v>580</c:v>
                </c:pt>
                <c:pt idx="7">
                  <c:v>600</c:v>
                </c:pt>
                <c:pt idx="8">
                  <c:v>635</c:v>
                </c:pt>
                <c:pt idx="9">
                  <c:v>665</c:v>
                </c:pt>
                <c:pt idx="10">
                  <c:v>705</c:v>
                </c:pt>
              </c:numCache>
            </c:numRef>
          </c:val>
          <c:extLst>
            <c:ext xmlns:c16="http://schemas.microsoft.com/office/drawing/2014/chart" uri="{C3380CC4-5D6E-409C-BE32-E72D297353CC}">
              <c16:uniqueId val="{00000003-75D6-490C-970F-2E9A29526B75}"/>
            </c:ext>
          </c:extLst>
        </c:ser>
        <c:dLbls>
          <c:showLegendKey val="0"/>
          <c:showVal val="0"/>
          <c:showCatName val="0"/>
          <c:showSerName val="0"/>
          <c:showPercent val="0"/>
          <c:showBubbleSize val="0"/>
        </c:dLbls>
        <c:gapWidth val="150"/>
        <c:axId val="1417600943"/>
        <c:axId val="1841201583"/>
      </c:barChart>
      <c:lineChart>
        <c:grouping val="standard"/>
        <c:varyColors val="0"/>
        <c:ser>
          <c:idx val="3"/>
          <c:order val="3"/>
          <c:tx>
            <c:strRef>
              <c:f>q32_Fig!$A$75</c:f>
              <c:strCache>
                <c:ptCount val="1"/>
                <c:pt idx="0">
                  <c:v>Incidência de baixos salários (%) - Total</c:v>
                </c:pt>
              </c:strCache>
            </c:strRef>
          </c:tx>
          <c:spPr>
            <a:ln w="15875" cap="rnd">
              <a:solidFill>
                <a:srgbClr val="C27535"/>
              </a:solidFill>
              <a:round/>
            </a:ln>
            <a:effectLst/>
          </c:spPr>
          <c:marker>
            <c:symbol val="none"/>
          </c:marker>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q32_Fig!$B$75:$L$75</c:f>
              <c:numCache>
                <c:formatCode>0.00</c:formatCode>
                <c:ptCount val="11"/>
                <c:pt idx="0">
                  <c:v>7.59</c:v>
                </c:pt>
                <c:pt idx="1">
                  <c:v>6.78</c:v>
                </c:pt>
                <c:pt idx="2">
                  <c:v>6.7</c:v>
                </c:pt>
                <c:pt idx="3">
                  <c:v>5.86</c:v>
                </c:pt>
                <c:pt idx="4">
                  <c:v>0.19</c:v>
                </c:pt>
                <c:pt idx="5">
                  <c:v>0.16</c:v>
                </c:pt>
                <c:pt idx="6">
                  <c:v>0.18</c:v>
                </c:pt>
                <c:pt idx="7">
                  <c:v>0.14000000000000001</c:v>
                </c:pt>
                <c:pt idx="8">
                  <c:v>0.11</c:v>
                </c:pt>
                <c:pt idx="9">
                  <c:v>0.11</c:v>
                </c:pt>
                <c:pt idx="10">
                  <c:v>0.1</c:v>
                </c:pt>
              </c:numCache>
            </c:numRef>
          </c:val>
          <c:smooth val="0"/>
          <c:extLst>
            <c:ext xmlns:c16="http://schemas.microsoft.com/office/drawing/2014/chart" uri="{C3380CC4-5D6E-409C-BE32-E72D297353CC}">
              <c16:uniqueId val="{00000004-75D6-490C-970F-2E9A29526B75}"/>
            </c:ext>
          </c:extLst>
        </c:ser>
        <c:ser>
          <c:idx val="4"/>
          <c:order val="4"/>
          <c:tx>
            <c:strRef>
              <c:f>q32_Fig!$A$76</c:f>
              <c:strCache>
                <c:ptCount val="1"/>
                <c:pt idx="0">
                  <c:v>Incidência de baixos salários (%) - Homens</c:v>
                </c:pt>
              </c:strCache>
            </c:strRef>
          </c:tx>
          <c:spPr>
            <a:ln w="15875" cap="rnd">
              <a:solidFill>
                <a:srgbClr val="F8AA79"/>
              </a:solidFill>
              <a:round/>
            </a:ln>
            <a:effectLst/>
          </c:spPr>
          <c:marker>
            <c:symbol val="none"/>
          </c:marker>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q32_Fig!$B$76:$L$76</c:f>
              <c:numCache>
                <c:formatCode>0.00</c:formatCode>
                <c:ptCount val="11"/>
                <c:pt idx="0">
                  <c:v>5.46</c:v>
                </c:pt>
                <c:pt idx="1">
                  <c:v>5.01</c:v>
                </c:pt>
                <c:pt idx="2">
                  <c:v>4.99</c:v>
                </c:pt>
                <c:pt idx="3">
                  <c:v>4.38</c:v>
                </c:pt>
                <c:pt idx="4">
                  <c:v>0.1</c:v>
                </c:pt>
                <c:pt idx="5">
                  <c:v>0.08</c:v>
                </c:pt>
                <c:pt idx="6">
                  <c:v>0.09</c:v>
                </c:pt>
                <c:pt idx="7">
                  <c:v>7.0000000000000007E-2</c:v>
                </c:pt>
                <c:pt idx="8">
                  <c:v>7.0000000000000007E-2</c:v>
                </c:pt>
                <c:pt idx="9">
                  <c:v>0.08</c:v>
                </c:pt>
                <c:pt idx="10">
                  <c:v>0.08</c:v>
                </c:pt>
              </c:numCache>
            </c:numRef>
          </c:val>
          <c:smooth val="0"/>
          <c:extLst>
            <c:ext xmlns:c16="http://schemas.microsoft.com/office/drawing/2014/chart" uri="{C3380CC4-5D6E-409C-BE32-E72D297353CC}">
              <c16:uniqueId val="{00000005-75D6-490C-970F-2E9A29526B75}"/>
            </c:ext>
          </c:extLst>
        </c:ser>
        <c:ser>
          <c:idx val="5"/>
          <c:order val="5"/>
          <c:tx>
            <c:strRef>
              <c:f>q32_Fig!$A$77</c:f>
              <c:strCache>
                <c:ptCount val="1"/>
                <c:pt idx="0">
                  <c:v>Incidência de baixos salários (%) - Mulheres</c:v>
                </c:pt>
              </c:strCache>
            </c:strRef>
          </c:tx>
          <c:spPr>
            <a:ln w="15875" cap="rnd">
              <a:solidFill>
                <a:srgbClr val="FACBB4"/>
              </a:solidFill>
              <a:round/>
            </a:ln>
            <a:effectLst/>
          </c:spPr>
          <c:marker>
            <c:symbol val="none"/>
          </c:marker>
          <c:cat>
            <c:numRef>
              <c:f>q32_Fig!$B$71:$L$71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q32_Fig!$B$77:$L$77</c:f>
              <c:numCache>
                <c:formatCode>0.00</c:formatCode>
                <c:ptCount val="11"/>
                <c:pt idx="0">
                  <c:v>10.09</c:v>
                </c:pt>
                <c:pt idx="1">
                  <c:v>8.8699999999999992</c:v>
                </c:pt>
                <c:pt idx="2">
                  <c:v>8.6999999999999993</c:v>
                </c:pt>
                <c:pt idx="3">
                  <c:v>7.59</c:v>
                </c:pt>
                <c:pt idx="4">
                  <c:v>0.28999999999999998</c:v>
                </c:pt>
                <c:pt idx="5">
                  <c:v>0.24</c:v>
                </c:pt>
                <c:pt idx="6">
                  <c:v>0.28000000000000003</c:v>
                </c:pt>
                <c:pt idx="7">
                  <c:v>0.21</c:v>
                </c:pt>
                <c:pt idx="8">
                  <c:v>0.15</c:v>
                </c:pt>
                <c:pt idx="9">
                  <c:v>0.15</c:v>
                </c:pt>
                <c:pt idx="10">
                  <c:v>0.13</c:v>
                </c:pt>
              </c:numCache>
            </c:numRef>
          </c:val>
          <c:smooth val="0"/>
          <c:extLst>
            <c:ext xmlns:c16="http://schemas.microsoft.com/office/drawing/2014/chart" uri="{C3380CC4-5D6E-409C-BE32-E72D297353CC}">
              <c16:uniqueId val="{00000006-75D6-490C-970F-2E9A29526B75}"/>
            </c:ext>
          </c:extLst>
        </c:ser>
        <c:dLbls>
          <c:showLegendKey val="0"/>
          <c:showVal val="0"/>
          <c:showCatName val="0"/>
          <c:showSerName val="0"/>
          <c:showPercent val="0"/>
          <c:showBubbleSize val="0"/>
        </c:dLbls>
        <c:marker val="1"/>
        <c:smooth val="0"/>
        <c:axId val="1043261775"/>
        <c:axId val="636615199"/>
      </c:lineChart>
      <c:catAx>
        <c:axId val="14176009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841201583"/>
        <c:crosses val="autoZero"/>
        <c:auto val="1"/>
        <c:lblAlgn val="ctr"/>
        <c:lblOffset val="100"/>
        <c:noMultiLvlLbl val="0"/>
      </c:catAx>
      <c:valAx>
        <c:axId val="1841201583"/>
        <c:scaling>
          <c:orientation val="minMax"/>
          <c:max val="1200"/>
          <c:min val="0"/>
        </c:scaling>
        <c:delete val="0"/>
        <c:axPos val="l"/>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pt-PT" b="1"/>
                  <a:t>Euros</a:t>
                </a:r>
              </a:p>
            </c:rich>
          </c:tx>
          <c:layout>
            <c:manualLayout>
              <c:xMode val="edge"/>
              <c:yMode val="edge"/>
              <c:x val="8.6198295445675723E-3"/>
              <c:y val="1.9930596498683378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title>
        <c:numFmt formatCode="#,##0\ &quot;€&quot;"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17600943"/>
        <c:crosses val="autoZero"/>
        <c:crossBetween val="between"/>
        <c:majorUnit val="200"/>
      </c:valAx>
      <c:valAx>
        <c:axId val="636615199"/>
        <c:scaling>
          <c:orientation val="minMax"/>
          <c:max val="20"/>
        </c:scaling>
        <c:delete val="0"/>
        <c:axPos val="r"/>
        <c:title>
          <c:tx>
            <c:rich>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r>
                  <a:rPr lang="pt-PT" b="1"/>
                  <a:t>%</a:t>
                </a:r>
              </a:p>
            </c:rich>
          </c:tx>
          <c:layout>
            <c:manualLayout>
              <c:xMode val="edge"/>
              <c:yMode val="edge"/>
              <c:x val="0.95799269735280734"/>
              <c:y val="1.839825347767661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043261775"/>
        <c:crosses val="max"/>
        <c:crossBetween val="between"/>
        <c:majorUnit val="2"/>
      </c:valAx>
      <c:catAx>
        <c:axId val="1043261775"/>
        <c:scaling>
          <c:orientation val="minMax"/>
        </c:scaling>
        <c:delete val="1"/>
        <c:axPos val="b"/>
        <c:numFmt formatCode="General" sourceLinked="1"/>
        <c:majorTickMark val="out"/>
        <c:minorTickMark val="none"/>
        <c:tickLblPos val="nextTo"/>
        <c:crossAx val="636615199"/>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a:t>
            </a: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q1_q2_q5_q6_Fig!$R$7</c:f>
              <c:strCache>
                <c:ptCount val="1"/>
                <c:pt idx="0">
                  <c:v>A</c:v>
                </c:pt>
              </c:strCache>
            </c:strRef>
          </c:tx>
          <c:spPr>
            <a:solidFill>
              <a:schemeClr val="accent1"/>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q1_q2_q5_q6_Fig!$S$7:$AC$7</c:f>
              <c:numCache>
                <c:formatCode>General</c:formatCode>
                <c:ptCount val="11"/>
                <c:pt idx="0">
                  <c:v>13206</c:v>
                </c:pt>
                <c:pt idx="1">
                  <c:v>13885</c:v>
                </c:pt>
                <c:pt idx="2">
                  <c:v>14286</c:v>
                </c:pt>
                <c:pt idx="3">
                  <c:v>14632</c:v>
                </c:pt>
                <c:pt idx="4">
                  <c:v>14726</c:v>
                </c:pt>
                <c:pt idx="5">
                  <c:v>14824</c:v>
                </c:pt>
                <c:pt idx="6">
                  <c:v>14355</c:v>
                </c:pt>
                <c:pt idx="7">
                  <c:v>14520</c:v>
                </c:pt>
                <c:pt idx="8">
                  <c:v>14031</c:v>
                </c:pt>
                <c:pt idx="9">
                  <c:v>14449</c:v>
                </c:pt>
                <c:pt idx="10">
                  <c:v>14667</c:v>
                </c:pt>
              </c:numCache>
            </c:numRef>
          </c:val>
          <c:extLst xmlns:c15="http://schemas.microsoft.com/office/drawing/2012/chart">
            <c:ext xmlns:c16="http://schemas.microsoft.com/office/drawing/2014/chart" uri="{C3380CC4-5D6E-409C-BE32-E72D297353CC}">
              <c16:uniqueId val="{0000001F-37F2-45F6-A984-AC81FAFEB245}"/>
            </c:ext>
          </c:extLst>
        </c:ser>
        <c:ser>
          <c:idx val="1"/>
          <c:order val="1"/>
          <c:tx>
            <c:strRef>
              <c:f>q1_q2_q5_q6_Fig!$R$8</c:f>
              <c:strCache>
                <c:ptCount val="1"/>
                <c:pt idx="0">
                  <c:v>B</c:v>
                </c:pt>
              </c:strCache>
            </c:strRef>
          </c:tx>
          <c:spPr>
            <a:solidFill>
              <a:schemeClr val="accent3"/>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q1_q2_q5_q6_Fig!$S$8:$AC$8</c:f>
              <c:numCache>
                <c:formatCode>General</c:formatCode>
                <c:ptCount val="11"/>
                <c:pt idx="0">
                  <c:v>795</c:v>
                </c:pt>
                <c:pt idx="1">
                  <c:v>765</c:v>
                </c:pt>
                <c:pt idx="2">
                  <c:v>762</c:v>
                </c:pt>
                <c:pt idx="3">
                  <c:v>737</c:v>
                </c:pt>
                <c:pt idx="4">
                  <c:v>744</c:v>
                </c:pt>
                <c:pt idx="5">
                  <c:v>728</c:v>
                </c:pt>
                <c:pt idx="6">
                  <c:v>697</c:v>
                </c:pt>
                <c:pt idx="7">
                  <c:v>684</c:v>
                </c:pt>
                <c:pt idx="8">
                  <c:v>657</c:v>
                </c:pt>
                <c:pt idx="9">
                  <c:v>665</c:v>
                </c:pt>
                <c:pt idx="10">
                  <c:v>680</c:v>
                </c:pt>
              </c:numCache>
            </c:numRef>
          </c:val>
          <c:extLst>
            <c:ext xmlns:c16="http://schemas.microsoft.com/office/drawing/2014/chart" uri="{C3380CC4-5D6E-409C-BE32-E72D297353CC}">
              <c16:uniqueId val="{00000000-37F2-45F6-A984-AC81FAFEB245}"/>
            </c:ext>
          </c:extLst>
        </c:ser>
        <c:ser>
          <c:idx val="2"/>
          <c:order val="2"/>
          <c:tx>
            <c:strRef>
              <c:f>q1_q2_q5_q6_Fig!$R$9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q1_q2_q5_q6_Fig!$S$9:$AC$9</c:f>
              <c:numCache>
                <c:formatCode>General</c:formatCode>
                <c:ptCount val="11"/>
                <c:pt idx="0">
                  <c:v>36152</c:v>
                </c:pt>
                <c:pt idx="1">
                  <c:v>36167</c:v>
                </c:pt>
                <c:pt idx="2">
                  <c:v>36172</c:v>
                </c:pt>
                <c:pt idx="3">
                  <c:v>36485</c:v>
                </c:pt>
                <c:pt idx="4">
                  <c:v>36402</c:v>
                </c:pt>
                <c:pt idx="5">
                  <c:v>36243</c:v>
                </c:pt>
                <c:pt idx="6">
                  <c:v>34835</c:v>
                </c:pt>
                <c:pt idx="7">
                  <c:v>34676</c:v>
                </c:pt>
                <c:pt idx="8">
                  <c:v>33711</c:v>
                </c:pt>
                <c:pt idx="9">
                  <c:v>34690</c:v>
                </c:pt>
                <c:pt idx="10">
                  <c:v>34549</c:v>
                </c:pt>
              </c:numCache>
            </c:numRef>
          </c:val>
          <c:extLst>
            <c:ext xmlns:c16="http://schemas.microsoft.com/office/drawing/2014/chart" uri="{C3380CC4-5D6E-409C-BE32-E72D297353CC}">
              <c16:uniqueId val="{00000001-37F2-45F6-A984-AC81FAFEB245}"/>
            </c:ext>
          </c:extLst>
        </c:ser>
        <c:ser>
          <c:idx val="3"/>
          <c:order val="3"/>
          <c:tx>
            <c:strRef>
              <c:f>q1_q2_q5_q6_Fig!$R$10</c:f>
              <c:strCache>
                <c:ptCount val="1"/>
                <c:pt idx="0">
                  <c:v>D</c:v>
                </c:pt>
              </c:strCache>
            </c:strRef>
          </c:tx>
          <c:spPr>
            <a:solidFill>
              <a:schemeClr val="accent1">
                <a:lumMod val="6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q1_q2_q5_q6_Fig!$S$10:$AC$10</c:f>
              <c:numCache>
                <c:formatCode>General</c:formatCode>
                <c:ptCount val="11"/>
                <c:pt idx="0">
                  <c:v>394</c:v>
                </c:pt>
                <c:pt idx="1">
                  <c:v>409</c:v>
                </c:pt>
                <c:pt idx="2">
                  <c:v>429</c:v>
                </c:pt>
                <c:pt idx="3">
                  <c:v>412</c:v>
                </c:pt>
                <c:pt idx="4">
                  <c:v>403</c:v>
                </c:pt>
                <c:pt idx="5">
                  <c:v>388</c:v>
                </c:pt>
                <c:pt idx="6">
                  <c:v>385</c:v>
                </c:pt>
                <c:pt idx="7">
                  <c:v>391</c:v>
                </c:pt>
                <c:pt idx="8">
                  <c:v>387</c:v>
                </c:pt>
                <c:pt idx="9">
                  <c:v>394</c:v>
                </c:pt>
                <c:pt idx="10">
                  <c:v>418</c:v>
                </c:pt>
              </c:numCache>
            </c:numRef>
          </c:val>
          <c:extLst>
            <c:ext xmlns:c16="http://schemas.microsoft.com/office/drawing/2014/chart" uri="{C3380CC4-5D6E-409C-BE32-E72D297353CC}">
              <c16:uniqueId val="{00000003-37F2-45F6-A984-AC81FAFEB245}"/>
            </c:ext>
          </c:extLst>
        </c:ser>
        <c:ser>
          <c:idx val="4"/>
          <c:order val="4"/>
          <c:tx>
            <c:strRef>
              <c:f>q1_q2_q5_q6_Fig!$R$11</c:f>
              <c:strCache>
                <c:ptCount val="1"/>
                <c:pt idx="0">
                  <c:v>E</c:v>
                </c:pt>
              </c:strCache>
            </c:strRef>
          </c:tx>
          <c:spPr>
            <a:solidFill>
              <a:schemeClr val="accent3">
                <a:lumMod val="6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q1_q2_q5_q6_Fig!$S$11:$AC$11</c:f>
              <c:numCache>
                <c:formatCode>General</c:formatCode>
                <c:ptCount val="11"/>
                <c:pt idx="0">
                  <c:v>1177</c:v>
                </c:pt>
                <c:pt idx="1">
                  <c:v>1146</c:v>
                </c:pt>
                <c:pt idx="2">
                  <c:v>1088</c:v>
                </c:pt>
                <c:pt idx="3">
                  <c:v>1094</c:v>
                </c:pt>
                <c:pt idx="4">
                  <c:v>1101</c:v>
                </c:pt>
                <c:pt idx="5">
                  <c:v>1095</c:v>
                </c:pt>
                <c:pt idx="6">
                  <c:v>1141</c:v>
                </c:pt>
                <c:pt idx="7">
                  <c:v>1231</c:v>
                </c:pt>
                <c:pt idx="8">
                  <c:v>1253</c:v>
                </c:pt>
                <c:pt idx="9">
                  <c:v>1259</c:v>
                </c:pt>
                <c:pt idx="10">
                  <c:v>1262</c:v>
                </c:pt>
              </c:numCache>
            </c:numRef>
          </c:val>
          <c:extLst>
            <c:ext xmlns:c16="http://schemas.microsoft.com/office/drawing/2014/chart" uri="{C3380CC4-5D6E-409C-BE32-E72D297353CC}">
              <c16:uniqueId val="{00000004-37F2-45F6-A984-AC81FAFEB245}"/>
            </c:ext>
          </c:extLst>
        </c:ser>
        <c:ser>
          <c:idx val="5"/>
          <c:order val="5"/>
          <c:tx>
            <c:strRef>
              <c:f>q1_q2_q5_q6_Fig!$R$12</c:f>
              <c:strCache>
                <c:ptCount val="1"/>
                <c:pt idx="0">
                  <c:v>F</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q1_q2_q5_q6_Fig!$S$12:$AC$12</c:f>
              <c:numCache>
                <c:formatCode>General</c:formatCode>
                <c:ptCount val="11"/>
                <c:pt idx="0">
                  <c:v>28828</c:v>
                </c:pt>
                <c:pt idx="1">
                  <c:v>28421</c:v>
                </c:pt>
                <c:pt idx="2">
                  <c:v>28140</c:v>
                </c:pt>
                <c:pt idx="3">
                  <c:v>28678</c:v>
                </c:pt>
                <c:pt idx="4">
                  <c:v>29363</c:v>
                </c:pt>
                <c:pt idx="5">
                  <c:v>30329</c:v>
                </c:pt>
                <c:pt idx="6">
                  <c:v>30816</c:v>
                </c:pt>
                <c:pt idx="7">
                  <c:v>32069</c:v>
                </c:pt>
                <c:pt idx="8">
                  <c:v>32036</c:v>
                </c:pt>
                <c:pt idx="9">
                  <c:v>34322</c:v>
                </c:pt>
                <c:pt idx="10">
                  <c:v>35793</c:v>
                </c:pt>
              </c:numCache>
            </c:numRef>
          </c:val>
          <c:extLst>
            <c:ext xmlns:c16="http://schemas.microsoft.com/office/drawing/2014/chart" uri="{C3380CC4-5D6E-409C-BE32-E72D297353CC}">
              <c16:uniqueId val="{00000005-37F2-45F6-A984-AC81FAFEB245}"/>
            </c:ext>
          </c:extLst>
        </c:ser>
        <c:ser>
          <c:idx val="6"/>
          <c:order val="6"/>
          <c:tx>
            <c:strRef>
              <c:f>q1_q2_q5_q6_Fig!$R$13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q1_q2_q5_q6_Fig!$S$13:$AC$13</c:f>
              <c:numCache>
                <c:formatCode>General</c:formatCode>
                <c:ptCount val="11"/>
                <c:pt idx="0">
                  <c:v>94026</c:v>
                </c:pt>
                <c:pt idx="1">
                  <c:v>94440</c:v>
                </c:pt>
                <c:pt idx="2">
                  <c:v>94937</c:v>
                </c:pt>
                <c:pt idx="3">
                  <c:v>94933</c:v>
                </c:pt>
                <c:pt idx="4">
                  <c:v>94292</c:v>
                </c:pt>
                <c:pt idx="5">
                  <c:v>93805</c:v>
                </c:pt>
                <c:pt idx="6">
                  <c:v>90517</c:v>
                </c:pt>
                <c:pt idx="7">
                  <c:v>89750</c:v>
                </c:pt>
                <c:pt idx="8">
                  <c:v>87838</c:v>
                </c:pt>
                <c:pt idx="9">
                  <c:v>90136</c:v>
                </c:pt>
                <c:pt idx="10">
                  <c:v>90639</c:v>
                </c:pt>
              </c:numCache>
            </c:numRef>
          </c:val>
          <c:extLst>
            <c:ext xmlns:c16="http://schemas.microsoft.com/office/drawing/2014/chart" uri="{C3380CC4-5D6E-409C-BE32-E72D297353CC}">
              <c16:uniqueId val="{0000000F-37F2-45F6-A984-AC81FAFEB245}"/>
            </c:ext>
          </c:extLst>
        </c:ser>
        <c:ser>
          <c:idx val="7"/>
          <c:order val="7"/>
          <c:tx>
            <c:strRef>
              <c:f>q1_q2_q5_q6_Fig!$R$14</c:f>
              <c:strCache>
                <c:ptCount val="1"/>
                <c:pt idx="0">
                  <c:v>H</c:v>
                </c:pt>
              </c:strCache>
            </c:strRef>
          </c:tx>
          <c:spPr>
            <a:solidFill>
              <a:schemeClr val="accent3">
                <a:lumMod val="80000"/>
                <a:lumOff val="2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q1_q2_q5_q6_Fig!$S$14:$AC$14</c:f>
              <c:numCache>
                <c:formatCode>General</c:formatCode>
                <c:ptCount val="11"/>
                <c:pt idx="0">
                  <c:v>12579</c:v>
                </c:pt>
                <c:pt idx="1">
                  <c:v>12572</c:v>
                </c:pt>
                <c:pt idx="2">
                  <c:v>12496</c:v>
                </c:pt>
                <c:pt idx="3">
                  <c:v>12468</c:v>
                </c:pt>
                <c:pt idx="4">
                  <c:v>12539</c:v>
                </c:pt>
                <c:pt idx="5">
                  <c:v>12486</c:v>
                </c:pt>
                <c:pt idx="6">
                  <c:v>12253</c:v>
                </c:pt>
                <c:pt idx="7">
                  <c:v>12258</c:v>
                </c:pt>
                <c:pt idx="8">
                  <c:v>11760</c:v>
                </c:pt>
                <c:pt idx="9">
                  <c:v>12360</c:v>
                </c:pt>
                <c:pt idx="10">
                  <c:v>13020</c:v>
                </c:pt>
              </c:numCache>
            </c:numRef>
          </c:val>
          <c:extLst>
            <c:ext xmlns:c16="http://schemas.microsoft.com/office/drawing/2014/chart" uri="{C3380CC4-5D6E-409C-BE32-E72D297353CC}">
              <c16:uniqueId val="{00000010-37F2-45F6-A984-AC81FAFEB245}"/>
            </c:ext>
          </c:extLst>
        </c:ser>
        <c:ser>
          <c:idx val="8"/>
          <c:order val="8"/>
          <c:tx>
            <c:strRef>
              <c:f>q1_q2_q5_q6_Fig!$R$15</c:f>
              <c:strCache>
                <c:ptCount val="1"/>
                <c:pt idx="0">
                  <c:v>I</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q1_q2_q5_q6_Fig!$S$15:$AC$15</c:f>
              <c:numCache>
                <c:formatCode>General</c:formatCode>
                <c:ptCount val="11"/>
                <c:pt idx="0">
                  <c:v>33970</c:v>
                </c:pt>
                <c:pt idx="1">
                  <c:v>34983</c:v>
                </c:pt>
                <c:pt idx="2">
                  <c:v>36106</c:v>
                </c:pt>
                <c:pt idx="3">
                  <c:v>37220</c:v>
                </c:pt>
                <c:pt idx="4">
                  <c:v>38276</c:v>
                </c:pt>
                <c:pt idx="5">
                  <c:v>39308</c:v>
                </c:pt>
                <c:pt idx="6">
                  <c:v>38184</c:v>
                </c:pt>
                <c:pt idx="7">
                  <c:v>37633</c:v>
                </c:pt>
                <c:pt idx="8">
                  <c:v>36899</c:v>
                </c:pt>
                <c:pt idx="9">
                  <c:v>39006</c:v>
                </c:pt>
                <c:pt idx="10">
                  <c:v>40412</c:v>
                </c:pt>
              </c:numCache>
            </c:numRef>
          </c:val>
          <c:extLst>
            <c:ext xmlns:c16="http://schemas.microsoft.com/office/drawing/2014/chart" uri="{C3380CC4-5D6E-409C-BE32-E72D297353CC}">
              <c16:uniqueId val="{00000011-37F2-45F6-A984-AC81FAFEB245}"/>
            </c:ext>
          </c:extLst>
        </c:ser>
        <c:ser>
          <c:idx val="9"/>
          <c:order val="9"/>
          <c:tx>
            <c:strRef>
              <c:f>q1_q2_q5_q6_Fig!$R$16</c:f>
              <c:strCache>
                <c:ptCount val="1"/>
                <c:pt idx="0">
                  <c:v>J</c:v>
                </c:pt>
              </c:strCache>
            </c:strRef>
          </c:tx>
          <c:spPr>
            <a:solidFill>
              <a:schemeClr val="accent1">
                <a:lumMod val="8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q1_q2_q5_q6_Fig!$S$16:$AC$16</c:f>
              <c:numCache>
                <c:formatCode>General</c:formatCode>
                <c:ptCount val="11"/>
                <c:pt idx="0">
                  <c:v>5148</c:v>
                </c:pt>
                <c:pt idx="1">
                  <c:v>5434</c:v>
                </c:pt>
                <c:pt idx="2">
                  <c:v>5478</c:v>
                </c:pt>
                <c:pt idx="3">
                  <c:v>5601</c:v>
                </c:pt>
                <c:pt idx="4">
                  <c:v>5842</c:v>
                </c:pt>
                <c:pt idx="5">
                  <c:v>6025</c:v>
                </c:pt>
                <c:pt idx="6">
                  <c:v>6100</c:v>
                </c:pt>
                <c:pt idx="7">
                  <c:v>6379</c:v>
                </c:pt>
                <c:pt idx="8">
                  <c:v>6485</c:v>
                </c:pt>
                <c:pt idx="9">
                  <c:v>7163</c:v>
                </c:pt>
                <c:pt idx="10">
                  <c:v>7620</c:v>
                </c:pt>
              </c:numCache>
            </c:numRef>
          </c:val>
          <c:extLst>
            <c:ext xmlns:c16="http://schemas.microsoft.com/office/drawing/2014/chart" uri="{C3380CC4-5D6E-409C-BE32-E72D297353CC}">
              <c16:uniqueId val="{00000013-37F2-45F6-A984-AC81FAFEB245}"/>
            </c:ext>
          </c:extLst>
        </c:ser>
        <c:ser>
          <c:idx val="10"/>
          <c:order val="10"/>
          <c:tx>
            <c:strRef>
              <c:f>q1_q2_q5_q6_Fig!$R$17</c:f>
              <c:strCache>
                <c:ptCount val="1"/>
                <c:pt idx="0">
                  <c:v>K</c:v>
                </c:pt>
              </c:strCache>
            </c:strRef>
          </c:tx>
          <c:spPr>
            <a:solidFill>
              <a:schemeClr val="accent3">
                <a:lumMod val="8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q1_q2_q5_q6_Fig!$S$17:$AC$17</c:f>
              <c:numCache>
                <c:formatCode>General</c:formatCode>
                <c:ptCount val="11"/>
                <c:pt idx="0">
                  <c:v>10077</c:v>
                </c:pt>
                <c:pt idx="1">
                  <c:v>9931</c:v>
                </c:pt>
                <c:pt idx="2">
                  <c:v>9555</c:v>
                </c:pt>
                <c:pt idx="3">
                  <c:v>9207</c:v>
                </c:pt>
                <c:pt idx="4">
                  <c:v>8732</c:v>
                </c:pt>
                <c:pt idx="5">
                  <c:v>8475</c:v>
                </c:pt>
                <c:pt idx="6">
                  <c:v>7752</c:v>
                </c:pt>
                <c:pt idx="7">
                  <c:v>8108</c:v>
                </c:pt>
                <c:pt idx="8">
                  <c:v>7672</c:v>
                </c:pt>
                <c:pt idx="9">
                  <c:v>7674</c:v>
                </c:pt>
                <c:pt idx="10">
                  <c:v>7715</c:v>
                </c:pt>
              </c:numCache>
            </c:numRef>
          </c:val>
          <c:extLst>
            <c:ext xmlns:c16="http://schemas.microsoft.com/office/drawing/2014/chart" uri="{C3380CC4-5D6E-409C-BE32-E72D297353CC}">
              <c16:uniqueId val="{00000014-37F2-45F6-A984-AC81FAFEB245}"/>
            </c:ext>
          </c:extLst>
        </c:ser>
        <c:ser>
          <c:idx val="11"/>
          <c:order val="11"/>
          <c:tx>
            <c:strRef>
              <c:f>q1_q2_q5_q6_Fig!$R$18</c:f>
              <c:strCache>
                <c:ptCount val="1"/>
                <c:pt idx="0">
                  <c:v>L</c:v>
                </c:pt>
              </c:strCache>
            </c:strRef>
          </c:tx>
          <c:spPr>
            <a:solidFill>
              <a:schemeClr val="accent5">
                <a:lumMod val="8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q1_q2_q5_q6_Fig!$S$18:$AC$18</c:f>
              <c:numCache>
                <c:formatCode>General</c:formatCode>
                <c:ptCount val="11"/>
                <c:pt idx="0">
                  <c:v>6341</c:v>
                </c:pt>
                <c:pt idx="1">
                  <c:v>6647</c:v>
                </c:pt>
                <c:pt idx="2">
                  <c:v>6971</c:v>
                </c:pt>
                <c:pt idx="3">
                  <c:v>7401</c:v>
                </c:pt>
                <c:pt idx="4">
                  <c:v>8035</c:v>
                </c:pt>
                <c:pt idx="5">
                  <c:v>8846</c:v>
                </c:pt>
                <c:pt idx="6">
                  <c:v>9215</c:v>
                </c:pt>
                <c:pt idx="7">
                  <c:v>9861</c:v>
                </c:pt>
                <c:pt idx="8">
                  <c:v>10096</c:v>
                </c:pt>
                <c:pt idx="9">
                  <c:v>10812</c:v>
                </c:pt>
                <c:pt idx="10">
                  <c:v>11567</c:v>
                </c:pt>
              </c:numCache>
            </c:numRef>
          </c:val>
          <c:extLst>
            <c:ext xmlns:c16="http://schemas.microsoft.com/office/drawing/2014/chart" uri="{C3380CC4-5D6E-409C-BE32-E72D297353CC}">
              <c16:uniqueId val="{00000015-37F2-45F6-A984-AC81FAFEB245}"/>
            </c:ext>
          </c:extLst>
        </c:ser>
        <c:ser>
          <c:idx val="12"/>
          <c:order val="12"/>
          <c:tx>
            <c:strRef>
              <c:f>q1_q2_q5_q6_Fig!$R$19</c:f>
              <c:strCache>
                <c:ptCount val="1"/>
                <c:pt idx="0">
                  <c:v>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q1_q2_q5_q6_Fig!$S$19:$AC$19</c:f>
              <c:numCache>
                <c:formatCode>General</c:formatCode>
                <c:ptCount val="11"/>
                <c:pt idx="0">
                  <c:v>21901</c:v>
                </c:pt>
                <c:pt idx="1">
                  <c:v>22569</c:v>
                </c:pt>
                <c:pt idx="2">
                  <c:v>22865</c:v>
                </c:pt>
                <c:pt idx="3">
                  <c:v>23189</c:v>
                </c:pt>
                <c:pt idx="4">
                  <c:v>23749</c:v>
                </c:pt>
                <c:pt idx="5">
                  <c:v>24467</c:v>
                </c:pt>
                <c:pt idx="6">
                  <c:v>24250</c:v>
                </c:pt>
                <c:pt idx="7">
                  <c:v>24826</c:v>
                </c:pt>
                <c:pt idx="8">
                  <c:v>24675</c:v>
                </c:pt>
                <c:pt idx="9">
                  <c:v>25874</c:v>
                </c:pt>
                <c:pt idx="10">
                  <c:v>26684</c:v>
                </c:pt>
              </c:numCache>
            </c:numRef>
          </c:val>
          <c:extLst>
            <c:ext xmlns:c16="http://schemas.microsoft.com/office/drawing/2014/chart" uri="{C3380CC4-5D6E-409C-BE32-E72D297353CC}">
              <c16:uniqueId val="{00000016-37F2-45F6-A984-AC81FAFEB245}"/>
            </c:ext>
          </c:extLst>
        </c:ser>
        <c:ser>
          <c:idx val="13"/>
          <c:order val="13"/>
          <c:tx>
            <c:strRef>
              <c:f>q1_q2_q5_q6_Fig!$R$20</c:f>
              <c:strCache>
                <c:ptCount val="1"/>
                <c:pt idx="0">
                  <c:v>N</c:v>
                </c:pt>
              </c:strCache>
            </c:strRef>
          </c:tx>
          <c:spPr>
            <a:solidFill>
              <a:schemeClr val="accent3">
                <a:lumMod val="60000"/>
                <a:lumOff val="4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q1_q2_q5_q6_Fig!$S$20:$AC$20</c:f>
              <c:numCache>
                <c:formatCode>General</c:formatCode>
                <c:ptCount val="11"/>
                <c:pt idx="0">
                  <c:v>8739</c:v>
                </c:pt>
                <c:pt idx="1">
                  <c:v>8861</c:v>
                </c:pt>
                <c:pt idx="2">
                  <c:v>8995</c:v>
                </c:pt>
                <c:pt idx="3">
                  <c:v>9301</c:v>
                </c:pt>
                <c:pt idx="4">
                  <c:v>9347</c:v>
                </c:pt>
                <c:pt idx="5">
                  <c:v>9298</c:v>
                </c:pt>
                <c:pt idx="6">
                  <c:v>9391</c:v>
                </c:pt>
                <c:pt idx="7">
                  <c:v>9385</c:v>
                </c:pt>
                <c:pt idx="8">
                  <c:v>8843</c:v>
                </c:pt>
                <c:pt idx="9">
                  <c:v>9894</c:v>
                </c:pt>
                <c:pt idx="10">
                  <c:v>10333</c:v>
                </c:pt>
              </c:numCache>
            </c:numRef>
          </c:val>
          <c:extLst>
            <c:ext xmlns:c16="http://schemas.microsoft.com/office/drawing/2014/chart" uri="{C3380CC4-5D6E-409C-BE32-E72D297353CC}">
              <c16:uniqueId val="{00000017-37F2-45F6-A984-AC81FAFEB245}"/>
            </c:ext>
          </c:extLst>
        </c:ser>
        <c:ser>
          <c:idx val="14"/>
          <c:order val="14"/>
          <c:tx>
            <c:strRef>
              <c:f>q1_q2_q5_q6_Fig!$R$21</c:f>
              <c:strCache>
                <c:ptCount val="1"/>
                <c:pt idx="0">
                  <c:v>O</c:v>
                </c:pt>
              </c:strCache>
            </c:strRef>
          </c:tx>
          <c:spPr>
            <a:solidFill>
              <a:schemeClr val="accent5">
                <a:lumMod val="60000"/>
                <a:lumOff val="4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q1_q2_q5_q6_Fig!$S$21:$AC$21</c:f>
              <c:numCache>
                <c:formatCode>General</c:formatCode>
                <c:ptCount val="11"/>
                <c:pt idx="0">
                  <c:v>683</c:v>
                </c:pt>
                <c:pt idx="1">
                  <c:v>686</c:v>
                </c:pt>
                <c:pt idx="2">
                  <c:v>660</c:v>
                </c:pt>
                <c:pt idx="3">
                  <c:v>627</c:v>
                </c:pt>
                <c:pt idx="4">
                  <c:v>630</c:v>
                </c:pt>
                <c:pt idx="5">
                  <c:v>601</c:v>
                </c:pt>
                <c:pt idx="6">
                  <c:v>613</c:v>
                </c:pt>
                <c:pt idx="7">
                  <c:v>624</c:v>
                </c:pt>
                <c:pt idx="8">
                  <c:v>590</c:v>
                </c:pt>
                <c:pt idx="9">
                  <c:v>574</c:v>
                </c:pt>
                <c:pt idx="10">
                  <c:v>592</c:v>
                </c:pt>
              </c:numCache>
            </c:numRef>
          </c:val>
          <c:extLst>
            <c:ext xmlns:c16="http://schemas.microsoft.com/office/drawing/2014/chart" uri="{C3380CC4-5D6E-409C-BE32-E72D297353CC}">
              <c16:uniqueId val="{00000018-37F2-45F6-A984-AC81FAFEB245}"/>
            </c:ext>
          </c:extLst>
        </c:ser>
        <c:ser>
          <c:idx val="15"/>
          <c:order val="15"/>
          <c:tx>
            <c:strRef>
              <c:f>q1_q2_q5_q6_Fig!$R$22</c:f>
              <c:strCache>
                <c:ptCount val="1"/>
                <c:pt idx="0">
                  <c:v>P</c:v>
                </c:pt>
              </c:strCache>
            </c:strRef>
          </c:tx>
          <c:spPr>
            <a:solidFill>
              <a:schemeClr val="accent1">
                <a:lumMod val="5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q1_q2_q5_q6_Fig!$S$22:$AC$22</c:f>
              <c:numCache>
                <c:formatCode>General</c:formatCode>
                <c:ptCount val="11"/>
                <c:pt idx="0">
                  <c:v>4337</c:v>
                </c:pt>
                <c:pt idx="1">
                  <c:v>4573</c:v>
                </c:pt>
                <c:pt idx="2">
                  <c:v>4701</c:v>
                </c:pt>
                <c:pt idx="3">
                  <c:v>4675</c:v>
                </c:pt>
                <c:pt idx="4">
                  <c:v>4647</c:v>
                </c:pt>
                <c:pt idx="5">
                  <c:v>4681</c:v>
                </c:pt>
                <c:pt idx="6">
                  <c:v>4531</c:v>
                </c:pt>
                <c:pt idx="7">
                  <c:v>4576</c:v>
                </c:pt>
                <c:pt idx="8">
                  <c:v>4414</c:v>
                </c:pt>
                <c:pt idx="9">
                  <c:v>4635</c:v>
                </c:pt>
                <c:pt idx="10">
                  <c:v>4808</c:v>
                </c:pt>
              </c:numCache>
            </c:numRef>
          </c:val>
          <c:extLst>
            <c:ext xmlns:c16="http://schemas.microsoft.com/office/drawing/2014/chart" uri="{C3380CC4-5D6E-409C-BE32-E72D297353CC}">
              <c16:uniqueId val="{00000019-37F2-45F6-A984-AC81FAFEB245}"/>
            </c:ext>
          </c:extLst>
        </c:ser>
        <c:ser>
          <c:idx val="16"/>
          <c:order val="16"/>
          <c:tx>
            <c:strRef>
              <c:f>q1_q2_q5_q6_Fig!$R$23</c:f>
              <c:strCache>
                <c:ptCount val="1"/>
                <c:pt idx="0">
                  <c:v>Q</c:v>
                </c:pt>
              </c:strCache>
            </c:strRef>
          </c:tx>
          <c:spPr>
            <a:solidFill>
              <a:schemeClr val="accent3">
                <a:lumMod val="5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q1_q2_q5_q6_Fig!$S$23:$AC$23</c:f>
              <c:numCache>
                <c:formatCode>General</c:formatCode>
                <c:ptCount val="11"/>
                <c:pt idx="0">
                  <c:v>18120</c:v>
                </c:pt>
                <c:pt idx="1">
                  <c:v>18418</c:v>
                </c:pt>
                <c:pt idx="2">
                  <c:v>18727</c:v>
                </c:pt>
                <c:pt idx="3">
                  <c:v>19044</c:v>
                </c:pt>
                <c:pt idx="4">
                  <c:v>19162</c:v>
                </c:pt>
                <c:pt idx="5">
                  <c:v>19323</c:v>
                </c:pt>
                <c:pt idx="6">
                  <c:v>19089</c:v>
                </c:pt>
                <c:pt idx="7">
                  <c:v>19487</c:v>
                </c:pt>
                <c:pt idx="8">
                  <c:v>19087</c:v>
                </c:pt>
                <c:pt idx="9">
                  <c:v>20082</c:v>
                </c:pt>
                <c:pt idx="10">
                  <c:v>20724</c:v>
                </c:pt>
              </c:numCache>
            </c:numRef>
          </c:val>
          <c:extLst>
            <c:ext xmlns:c16="http://schemas.microsoft.com/office/drawing/2014/chart" uri="{C3380CC4-5D6E-409C-BE32-E72D297353CC}">
              <c16:uniqueId val="{0000001A-37F2-45F6-A984-AC81FAFEB245}"/>
            </c:ext>
          </c:extLst>
        </c:ser>
        <c:ser>
          <c:idx val="17"/>
          <c:order val="17"/>
          <c:tx>
            <c:strRef>
              <c:f>q1_q2_q5_q6_Fig!$R$24</c:f>
              <c:strCache>
                <c:ptCount val="1"/>
                <c:pt idx="0">
                  <c:v>R</c:v>
                </c:pt>
              </c:strCache>
            </c:strRef>
          </c:tx>
          <c:spPr>
            <a:solidFill>
              <a:schemeClr val="accent5">
                <a:lumMod val="5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q1_q2_q5_q6_Fig!$S$24:$AC$24</c:f>
              <c:numCache>
                <c:formatCode>General</c:formatCode>
                <c:ptCount val="11"/>
                <c:pt idx="0">
                  <c:v>3274</c:v>
                </c:pt>
                <c:pt idx="1">
                  <c:v>3448</c:v>
                </c:pt>
                <c:pt idx="2">
                  <c:v>3581</c:v>
                </c:pt>
                <c:pt idx="3">
                  <c:v>3745</c:v>
                </c:pt>
                <c:pt idx="4">
                  <c:v>3985</c:v>
                </c:pt>
                <c:pt idx="5">
                  <c:v>4371</c:v>
                </c:pt>
                <c:pt idx="6">
                  <c:v>4404</c:v>
                </c:pt>
                <c:pt idx="7">
                  <c:v>4397</c:v>
                </c:pt>
                <c:pt idx="8">
                  <c:v>4424</c:v>
                </c:pt>
                <c:pt idx="9">
                  <c:v>4761</c:v>
                </c:pt>
                <c:pt idx="10">
                  <c:v>5060</c:v>
                </c:pt>
              </c:numCache>
            </c:numRef>
          </c:val>
          <c:extLst>
            <c:ext xmlns:c16="http://schemas.microsoft.com/office/drawing/2014/chart" uri="{C3380CC4-5D6E-409C-BE32-E72D297353CC}">
              <c16:uniqueId val="{0000001B-37F2-45F6-A984-AC81FAFEB245}"/>
            </c:ext>
          </c:extLst>
        </c:ser>
        <c:ser>
          <c:idx val="18"/>
          <c:order val="18"/>
          <c:tx>
            <c:strRef>
              <c:f>q1_q2_q5_q6_Fig!$R$25</c:f>
              <c:strCache>
                <c:ptCount val="1"/>
                <c:pt idx="0">
                  <c:v>S</c:v>
                </c:pt>
              </c:strCache>
            </c:strRef>
          </c:tx>
          <c:spPr>
            <a:solidFill>
              <a:schemeClr val="accent1">
                <a:lumMod val="70000"/>
                <a:lumOff val="3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q1_q2_q5_q6_Fig!$S$25:$AC$25</c:f>
              <c:numCache>
                <c:formatCode>General</c:formatCode>
                <c:ptCount val="11"/>
                <c:pt idx="0">
                  <c:v>15353</c:v>
                </c:pt>
                <c:pt idx="1">
                  <c:v>15515</c:v>
                </c:pt>
                <c:pt idx="2">
                  <c:v>15537</c:v>
                </c:pt>
                <c:pt idx="3">
                  <c:v>15467</c:v>
                </c:pt>
                <c:pt idx="4">
                  <c:v>15306</c:v>
                </c:pt>
                <c:pt idx="5">
                  <c:v>15360</c:v>
                </c:pt>
                <c:pt idx="6">
                  <c:v>14434</c:v>
                </c:pt>
                <c:pt idx="7">
                  <c:v>14086</c:v>
                </c:pt>
                <c:pt idx="8">
                  <c:v>13379</c:v>
                </c:pt>
                <c:pt idx="9">
                  <c:v>13917</c:v>
                </c:pt>
                <c:pt idx="10">
                  <c:v>13804</c:v>
                </c:pt>
              </c:numCache>
            </c:numRef>
          </c:val>
          <c:extLst>
            <c:ext xmlns:c16="http://schemas.microsoft.com/office/drawing/2014/chart" uri="{C3380CC4-5D6E-409C-BE32-E72D297353CC}">
              <c16:uniqueId val="{0000001C-37F2-45F6-A984-AC81FAFEB245}"/>
            </c:ext>
          </c:extLst>
        </c:ser>
        <c:ser>
          <c:idx val="19"/>
          <c:order val="19"/>
          <c:tx>
            <c:strRef>
              <c:f>q1_q2_q5_q6_Fig!$R$26</c:f>
              <c:strCache>
                <c:ptCount val="1"/>
                <c:pt idx="0">
                  <c:v>U</c:v>
                </c:pt>
              </c:strCache>
            </c:strRef>
          </c:tx>
          <c:spPr>
            <a:solidFill>
              <a:schemeClr val="accent3">
                <a:lumMod val="70000"/>
                <a:lumOff val="30000"/>
              </a:schemeClr>
            </a:solidFill>
            <a:ln>
              <a:noFill/>
            </a:ln>
            <a:effectLst/>
          </c:spPr>
          <c:invertIfNegative val="0"/>
          <c:cat>
            <c:numRef>
              <c:f>q1_q2_q5_q6_Fig!$S$6:$AC$6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q1_q2_q5_q6_Fig!$S$26:$AC$26</c:f>
              <c:numCache>
                <c:formatCode>General</c:formatCode>
                <c:ptCount val="11"/>
                <c:pt idx="0">
                  <c:v>12</c:v>
                </c:pt>
                <c:pt idx="1">
                  <c:v>16</c:v>
                </c:pt>
                <c:pt idx="2">
                  <c:v>14</c:v>
                </c:pt>
                <c:pt idx="3">
                  <c:v>17</c:v>
                </c:pt>
                <c:pt idx="4">
                  <c:v>14</c:v>
                </c:pt>
                <c:pt idx="5">
                  <c:v>15</c:v>
                </c:pt>
                <c:pt idx="6">
                  <c:v>16</c:v>
                </c:pt>
                <c:pt idx="7">
                  <c:v>18</c:v>
                </c:pt>
                <c:pt idx="8">
                  <c:v>17</c:v>
                </c:pt>
                <c:pt idx="9">
                  <c:v>16</c:v>
                </c:pt>
                <c:pt idx="10">
                  <c:v>17</c:v>
                </c:pt>
              </c:numCache>
            </c:numRef>
          </c:val>
          <c:extLst>
            <c:ext xmlns:c16="http://schemas.microsoft.com/office/drawing/2014/chart" uri="{C3380CC4-5D6E-409C-BE32-E72D297353CC}">
              <c16:uniqueId val="{0000001D-37F2-45F6-A984-AC81FAFEB245}"/>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0.13543103448275862"/>
          <c:y val="0.82244956140350878"/>
          <c:w val="0.81429118773946374"/>
          <c:h val="0.14969956140350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solidFill>
      <a:schemeClr val="bg1"/>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a:t>
            </a:r>
          </a:p>
        </c:rich>
      </c:tx>
      <c:layout>
        <c:manualLayout>
          <c:xMode val="edge"/>
          <c:yMode val="edge"/>
          <c:x val="0.75006003767601337"/>
          <c:y val="3.40425379828947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lineChart>
        <c:grouping val="standard"/>
        <c:varyColors val="0"/>
        <c:ser>
          <c:idx val="0"/>
          <c:order val="0"/>
          <c:tx>
            <c:strRef>
              <c:f>q1_q2_q5_q6_Fig!$R$31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01-7831-476F-934F-887DEBFD77DA}"/>
                </c:ext>
              </c:extLst>
            </c:dLbl>
            <c:dLbl>
              <c:idx val="2"/>
              <c:delete val="1"/>
              <c:extLst>
                <c:ext xmlns:c15="http://schemas.microsoft.com/office/drawing/2012/chart" uri="{CE6537A1-D6FC-4f65-9D91-7224C49458BB}"/>
                <c:ext xmlns:c16="http://schemas.microsoft.com/office/drawing/2014/chart" uri="{C3380CC4-5D6E-409C-BE32-E72D297353CC}">
                  <c16:uniqueId val="{00000002-7831-476F-934F-887DEBFD77DA}"/>
                </c:ext>
              </c:extLst>
            </c:dLbl>
            <c:dLbl>
              <c:idx val="3"/>
              <c:layout>
                <c:manualLayout>
                  <c:x val="0.22531828099800777"/>
                  <c:y val="0.10212761394868422"/>
                </c:manualLayout>
              </c:layout>
              <c:tx>
                <c:rich>
                  <a:bodyPr/>
                  <a:lstStyle/>
                  <a:p>
                    <a:fld id="{9CE6EBA3-6B90-4494-A3EB-93CA4F92D163}"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04-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05-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06-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07-7831-476F-934F-887DEBFD77DA}"/>
                </c:ext>
              </c:extLst>
            </c:dLbl>
            <c:dLbl>
              <c:idx val="8"/>
              <c:delete val="1"/>
              <c:extLst>
                <c:ext xmlns:c15="http://schemas.microsoft.com/office/drawing/2012/chart" uri="{CE6537A1-D6FC-4f65-9D91-7224C49458BB}"/>
                <c:ext xmlns:c16="http://schemas.microsoft.com/office/drawing/2014/chart" uri="{C3380CC4-5D6E-409C-BE32-E72D297353CC}">
                  <c16:uniqueId val="{00000008-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09-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0A-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q1_q2_q5_q6_Fig!$S$30:$AC$30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q1_q2_q5_q6_Fig!$S$31:$AC$31</c:f>
              <c:numCache>
                <c:formatCode>General</c:formatCode>
                <c:ptCount val="11"/>
                <c:pt idx="0">
                  <c:v>268798</c:v>
                </c:pt>
                <c:pt idx="1">
                  <c:v>271147</c:v>
                </c:pt>
                <c:pt idx="2">
                  <c:v>272301</c:v>
                </c:pt>
                <c:pt idx="3">
                  <c:v>273993</c:v>
                </c:pt>
                <c:pt idx="4">
                  <c:v>274084</c:v>
                </c:pt>
                <c:pt idx="5">
                  <c:v>275129</c:v>
                </c:pt>
                <c:pt idx="6">
                  <c:v>266320</c:v>
                </c:pt>
                <c:pt idx="7">
                  <c:v>268913</c:v>
                </c:pt>
                <c:pt idx="8">
                  <c:v>262011</c:v>
                </c:pt>
                <c:pt idx="9">
                  <c:v>272062</c:v>
                </c:pt>
                <c:pt idx="10">
                  <c:v>276817</c:v>
                </c:pt>
              </c:numCache>
            </c:numRef>
          </c:val>
          <c:smooth val="0"/>
          <c:extLst>
            <c:ext xmlns:c16="http://schemas.microsoft.com/office/drawing/2014/chart" uri="{C3380CC4-5D6E-409C-BE32-E72D297353CC}">
              <c16:uniqueId val="{0000000B-7831-476F-934F-887DEBFD77DA}"/>
            </c:ext>
          </c:extLst>
        </c:ser>
        <c:ser>
          <c:idx val="1"/>
          <c:order val="1"/>
          <c:tx>
            <c:strRef>
              <c:f>q1_q2_q5_q6_Fig!$R$32</c:f>
              <c:strCache>
                <c:ptCount val="1"/>
                <c:pt idx="0">
                  <c:v>Pequenos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0D-7831-476F-934F-887DEBFD77DA}"/>
                </c:ext>
              </c:extLst>
            </c:dLbl>
            <c:dLbl>
              <c:idx val="2"/>
              <c:delete val="1"/>
              <c:extLst>
                <c:ext xmlns:c15="http://schemas.microsoft.com/office/drawing/2012/chart" uri="{CE6537A1-D6FC-4f65-9D91-7224C49458BB}"/>
                <c:ext xmlns:c16="http://schemas.microsoft.com/office/drawing/2014/chart" uri="{C3380CC4-5D6E-409C-BE32-E72D297353CC}">
                  <c16:uniqueId val="{0000000E-7831-476F-934F-887DEBFD77DA}"/>
                </c:ext>
              </c:extLst>
            </c:dLbl>
            <c:dLbl>
              <c:idx val="3"/>
              <c:layout>
                <c:manualLayout>
                  <c:x val="5.0748505834361066E-2"/>
                  <c:y val="-0.17021268991447372"/>
                </c:manualLayout>
              </c:layout>
              <c:tx>
                <c:rich>
                  <a:bodyPr/>
                  <a:lstStyle/>
                  <a:p>
                    <a:fld id="{14240C8F-AF37-4B43-AB3A-8831BB2E3D41}"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10-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11-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12-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13-7831-476F-934F-887DEBFD77DA}"/>
                </c:ext>
              </c:extLst>
            </c:dLbl>
            <c:dLbl>
              <c:idx val="8"/>
              <c:delete val="1"/>
              <c:extLst>
                <c:ext xmlns:c15="http://schemas.microsoft.com/office/drawing/2012/chart" uri="{CE6537A1-D6FC-4f65-9D91-7224C49458BB}"/>
                <c:ext xmlns:c16="http://schemas.microsoft.com/office/drawing/2014/chart" uri="{C3380CC4-5D6E-409C-BE32-E72D297353CC}">
                  <c16:uniqueId val="{00000014-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15-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16-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q1_q2_q5_q6_Fig!$S$30:$AC$30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q1_q2_q5_q6_Fig!$S$32:$AC$32</c:f>
              <c:numCache>
                <c:formatCode>General</c:formatCode>
                <c:ptCount val="11"/>
                <c:pt idx="0">
                  <c:v>38063</c:v>
                </c:pt>
                <c:pt idx="1">
                  <c:v>39365</c:v>
                </c:pt>
                <c:pt idx="2">
                  <c:v>40661</c:v>
                </c:pt>
                <c:pt idx="3">
                  <c:v>42031</c:v>
                </c:pt>
                <c:pt idx="4">
                  <c:v>43973</c:v>
                </c:pt>
                <c:pt idx="5">
                  <c:v>45897</c:v>
                </c:pt>
                <c:pt idx="6">
                  <c:v>46757</c:v>
                </c:pt>
                <c:pt idx="7">
                  <c:v>45757</c:v>
                </c:pt>
                <c:pt idx="8">
                  <c:v>46152</c:v>
                </c:pt>
                <c:pt idx="9">
                  <c:v>49721</c:v>
                </c:pt>
                <c:pt idx="10">
                  <c:v>52145</c:v>
                </c:pt>
              </c:numCache>
            </c:numRef>
          </c:val>
          <c:smooth val="0"/>
          <c:extLst>
            <c:ext xmlns:c16="http://schemas.microsoft.com/office/drawing/2014/chart" uri="{C3380CC4-5D6E-409C-BE32-E72D297353CC}">
              <c16:uniqueId val="{00000017-7831-476F-934F-887DEBFD77DA}"/>
            </c:ext>
          </c:extLst>
        </c:ser>
        <c:ser>
          <c:idx val="2"/>
          <c:order val="2"/>
          <c:tx>
            <c:strRef>
              <c:f>q1_q2_q5_q6_Fig!$R$33</c:f>
              <c:strCache>
                <c:ptCount val="1"/>
                <c:pt idx="0">
                  <c:v>Médios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19-7831-476F-934F-887DEBFD77DA}"/>
                </c:ext>
              </c:extLst>
            </c:dLbl>
            <c:dLbl>
              <c:idx val="2"/>
              <c:layout>
                <c:manualLayout>
                  <c:x val="-0.18290891349424698"/>
                  <c:y val="-0.20992898422785092"/>
                </c:manualLayout>
              </c:layout>
              <c:tx>
                <c:rich>
                  <a:bodyPr/>
                  <a:lstStyle/>
                  <a:p>
                    <a:fld id="{C6AEB162-9E37-4A50-B5DB-382998C59862}"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7831-476F-934F-887DEBFD77DA}"/>
                </c:ext>
              </c:extLst>
            </c:dLbl>
            <c:dLbl>
              <c:idx val="3"/>
              <c:delete val="1"/>
              <c:extLst>
                <c:ext xmlns:c15="http://schemas.microsoft.com/office/drawing/2012/chart" uri="{CE6537A1-D6FC-4f65-9D91-7224C49458BB}"/>
                <c:ext xmlns:c16="http://schemas.microsoft.com/office/drawing/2014/chart" uri="{C3380CC4-5D6E-409C-BE32-E72D297353CC}">
                  <c16:uniqueId val="{0000001B-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1C-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1D-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1E-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1F-7831-476F-934F-887DEBFD77DA}"/>
                </c:ext>
              </c:extLst>
            </c:dLbl>
            <c:dLbl>
              <c:idx val="8"/>
              <c:delete val="1"/>
              <c:extLst>
                <c:ext xmlns:c15="http://schemas.microsoft.com/office/drawing/2012/chart" uri="{CE6537A1-D6FC-4f65-9D91-7224C49458BB}"/>
                <c:ext xmlns:c16="http://schemas.microsoft.com/office/drawing/2014/chart" uri="{C3380CC4-5D6E-409C-BE32-E72D297353CC}">
                  <c16:uniqueId val="{00000020-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21-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22-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q1_q2_q5_q6_Fig!$S$30:$AC$30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q1_q2_q5_q6_Fig!$S$33:$AC$33</c:f>
              <c:numCache>
                <c:formatCode>General</c:formatCode>
                <c:ptCount val="11"/>
                <c:pt idx="0">
                  <c:v>5864</c:v>
                </c:pt>
                <c:pt idx="1">
                  <c:v>6032</c:v>
                </c:pt>
                <c:pt idx="2">
                  <c:v>6244</c:v>
                </c:pt>
                <c:pt idx="3">
                  <c:v>6541</c:v>
                </c:pt>
                <c:pt idx="4">
                  <c:v>6822</c:v>
                </c:pt>
                <c:pt idx="5">
                  <c:v>7206</c:v>
                </c:pt>
                <c:pt idx="6">
                  <c:v>7384</c:v>
                </c:pt>
                <c:pt idx="7">
                  <c:v>7265</c:v>
                </c:pt>
                <c:pt idx="8">
                  <c:v>7437</c:v>
                </c:pt>
                <c:pt idx="9">
                  <c:v>8143</c:v>
                </c:pt>
                <c:pt idx="10">
                  <c:v>8569</c:v>
                </c:pt>
              </c:numCache>
            </c:numRef>
          </c:val>
          <c:smooth val="0"/>
          <c:extLst>
            <c:ext xmlns:c16="http://schemas.microsoft.com/office/drawing/2014/chart" uri="{C3380CC4-5D6E-409C-BE32-E72D297353CC}">
              <c16:uniqueId val="{00000023-7831-476F-934F-887DEBFD77DA}"/>
            </c:ext>
          </c:extLst>
        </c:ser>
        <c:ser>
          <c:idx val="3"/>
          <c:order val="3"/>
          <c:tx>
            <c:strRef>
              <c:f>q1_q2_q5_q6_Fig!$R$34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25-7831-476F-934F-887DEBFD77DA}"/>
                </c:ext>
              </c:extLst>
            </c:dLbl>
            <c:dLbl>
              <c:idx val="2"/>
              <c:delete val="1"/>
              <c:extLst>
                <c:ext xmlns:c15="http://schemas.microsoft.com/office/drawing/2012/chart" uri="{CE6537A1-D6FC-4f65-9D91-7224C49458BB}"/>
                <c:ext xmlns:c16="http://schemas.microsoft.com/office/drawing/2014/chart" uri="{C3380CC4-5D6E-409C-BE32-E72D297353CC}">
                  <c16:uniqueId val="{00000026-7831-476F-934F-887DEBFD77DA}"/>
                </c:ext>
              </c:extLst>
            </c:dLbl>
            <c:dLbl>
              <c:idx val="3"/>
              <c:delete val="1"/>
              <c:extLst>
                <c:ext xmlns:c15="http://schemas.microsoft.com/office/drawing/2012/chart" uri="{CE6537A1-D6FC-4f65-9D91-7224C49458BB}"/>
                <c:ext xmlns:c16="http://schemas.microsoft.com/office/drawing/2014/chart" uri="{C3380CC4-5D6E-409C-BE32-E72D297353CC}">
                  <c16:uniqueId val="{00000027-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28-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29-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2A-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2B-7831-476F-934F-887DEBFD77DA}"/>
                </c:ext>
              </c:extLst>
            </c:dLbl>
            <c:dLbl>
              <c:idx val="8"/>
              <c:layout>
                <c:manualLayout>
                  <c:x val="-1.1325301204819277E-2"/>
                  <c:y val="-0.19858147156688605"/>
                </c:manualLayout>
              </c:layout>
              <c:tx>
                <c:rich>
                  <a:bodyPr/>
                  <a:lstStyle/>
                  <a:p>
                    <a:fld id="{9A72A3DB-84FE-459E-8AE0-97A949F82F8A}"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2D-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2E-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B6C3FF"/>
                      </a:solidFill>
                    </a:ln>
                    <a:effectLst/>
                  </c:spPr>
                </c15:leaderLines>
              </c:ext>
            </c:extLst>
          </c:dLbls>
          <c:cat>
            <c:numRef>
              <c:f>q1_q2_q5_q6_Fig!$S$30:$AC$30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q1_q2_q5_q6_Fig!$S$34:$AC$34</c:f>
              <c:numCache>
                <c:formatCode>General</c:formatCode>
                <c:ptCount val="11"/>
                <c:pt idx="0">
                  <c:v>714</c:v>
                </c:pt>
                <c:pt idx="1">
                  <c:v>722</c:v>
                </c:pt>
                <c:pt idx="2">
                  <c:v>759</c:v>
                </c:pt>
                <c:pt idx="3">
                  <c:v>804</c:v>
                </c:pt>
                <c:pt idx="4">
                  <c:v>855</c:v>
                </c:pt>
                <c:pt idx="5">
                  <c:v>904</c:v>
                </c:pt>
                <c:pt idx="6">
                  <c:v>940</c:v>
                </c:pt>
                <c:pt idx="7">
                  <c:v>922</c:v>
                </c:pt>
                <c:pt idx="8">
                  <c:v>937</c:v>
                </c:pt>
                <c:pt idx="9">
                  <c:v>1017</c:v>
                </c:pt>
                <c:pt idx="10">
                  <c:v>1103</c:v>
                </c:pt>
              </c:numCache>
            </c:numRef>
          </c:val>
          <c:smooth val="0"/>
          <c:extLst>
            <c:ext xmlns:c16="http://schemas.microsoft.com/office/drawing/2014/chart" uri="{C3380CC4-5D6E-409C-BE32-E72D297353CC}">
              <c16:uniqueId val="{0000002F-7831-476F-934F-887DEBFD77DA}"/>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30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q1_q2_q5_q6_Fig!$AS$4</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4299842519685028E-2"/>
                  <c:y val="1.955919428440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EA-4849-B71D-96754438CC87}"/>
                </c:ext>
              </c:extLst>
            </c:dLbl>
            <c:dLbl>
              <c:idx val="10"/>
              <c:layout>
                <c:manualLayout>
                  <c:x val="8.9841469816271981E-3"/>
                  <c:y val="1.4669395713302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EA-4849-B71D-96754438CC87}"/>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EA-4849-B71D-96754438CC8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q1_q2_q5_q6_Fig!$AT$3:$BD$3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q1_q2_q5_q6_Fig!$AT$4:$BD$4</c:f>
              <c:numCache>
                <c:formatCode>#\ ###\ ##0</c:formatCode>
                <c:ptCount val="11"/>
                <c:pt idx="0">
                  <c:v>265860</c:v>
                </c:pt>
                <c:pt idx="1">
                  <c:v>270181</c:v>
                </c:pt>
                <c:pt idx="2">
                  <c:v>273060</c:v>
                </c:pt>
                <c:pt idx="3">
                  <c:v>276332</c:v>
                </c:pt>
                <c:pt idx="4">
                  <c:v>279191</c:v>
                </c:pt>
                <c:pt idx="5">
                  <c:v>282236</c:v>
                </c:pt>
                <c:pt idx="6">
                  <c:v>275751</c:v>
                </c:pt>
                <c:pt idx="7">
                  <c:v>277641</c:v>
                </c:pt>
                <c:pt idx="8">
                  <c:v>271806</c:v>
                </c:pt>
                <c:pt idx="9">
                  <c:v>284860</c:v>
                </c:pt>
                <c:pt idx="10">
                  <c:v>291252</c:v>
                </c:pt>
              </c:numCache>
            </c:numRef>
          </c:val>
          <c:extLst>
            <c:ext xmlns:c16="http://schemas.microsoft.com/office/drawing/2014/chart" uri="{C3380CC4-5D6E-409C-BE32-E72D297353CC}">
              <c16:uniqueId val="{00000003-20EA-4849-B71D-96754438CC8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q1_q2_q5_q6_Fig!$AS$5</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20EA-4849-B71D-96754438CC8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20EA-4849-B71D-96754438CC87}"/>
              </c:ext>
            </c:extLst>
          </c:dPt>
          <c:dLbls>
            <c:dLbl>
              <c:idx val="0"/>
              <c:layout>
                <c:manualLayout>
                  <c:x val="2.9545616797900239E-2"/>
                  <c:y val="-6.2709164021555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EA-4849-B71D-96754438CC87}"/>
                </c:ext>
              </c:extLst>
            </c:dLbl>
            <c:dLbl>
              <c:idx val="10"/>
              <c:layout>
                <c:manualLayout>
                  <c:x val="-4.3894173228346454E-2"/>
                  <c:y val="-8.3126575708712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EA-4849-B71D-96754438CC87}"/>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EA-4849-B71D-96754438CC87}"/>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q1_q2_q5_q6_Fig!$AT$3:$BD$3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q1_q2_q5_q6_Fig!$AT$5:$BD$5</c:f>
              <c:numCache>
                <c:formatCode>#\ ###\ ##0</c:formatCode>
                <c:ptCount val="11"/>
                <c:pt idx="0">
                  <c:v>315112</c:v>
                </c:pt>
                <c:pt idx="1">
                  <c:v>318886</c:v>
                </c:pt>
                <c:pt idx="2">
                  <c:v>321500</c:v>
                </c:pt>
                <c:pt idx="3">
                  <c:v>324933</c:v>
                </c:pt>
                <c:pt idx="4">
                  <c:v>327295</c:v>
                </c:pt>
                <c:pt idx="5">
                  <c:v>330668</c:v>
                </c:pt>
                <c:pt idx="6">
                  <c:v>322978</c:v>
                </c:pt>
                <c:pt idx="7">
                  <c:v>324959</c:v>
                </c:pt>
                <c:pt idx="8">
                  <c:v>318254</c:v>
                </c:pt>
                <c:pt idx="9">
                  <c:v>332683</c:v>
                </c:pt>
                <c:pt idx="10">
                  <c:v>340364</c:v>
                </c:pt>
              </c:numCache>
            </c:numRef>
          </c:val>
          <c:smooth val="0"/>
          <c:extLst>
            <c:ext xmlns:c16="http://schemas.microsoft.com/office/drawing/2014/chart" uri="{C3380CC4-5D6E-409C-BE32-E72D297353CC}">
              <c16:uniqueId val="{00000007-20EA-4849-B71D-96754438CC8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2.4221308218089335E-2"/>
          <c:y val="0.886956194263678"/>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 do</a:t>
            </a:r>
            <a:r>
              <a:rPr lang="pt-PT" sz="900" b="1" baseline="0">
                <a:solidFill>
                  <a:schemeClr val="tx2">
                    <a:lumMod val="75000"/>
                  </a:schemeClr>
                </a:solidFill>
              </a:rPr>
              <a:t> estabelecimento</a:t>
            </a:r>
            <a:endParaRPr lang="pt-PT" sz="900" b="1">
              <a:solidFill>
                <a:schemeClr val="tx2">
                  <a:lumMod val="75000"/>
                </a:schemeClr>
              </a:solidFill>
            </a:endParaRP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q11_q13_q15_q17_Fig!$R$7</c:f>
              <c:strCache>
                <c:ptCount val="1"/>
                <c:pt idx="0">
                  <c:v>A</c:v>
                </c:pt>
              </c:strCache>
            </c:strRef>
          </c:tx>
          <c:spPr>
            <a:solidFill>
              <a:schemeClr val="accent1"/>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q11_q13_q15_q17_Fig!$S$7:$AC$7</c:f>
              <c:numCache>
                <c:formatCode>General</c:formatCode>
                <c:ptCount val="11"/>
                <c:pt idx="0">
                  <c:v>57477</c:v>
                </c:pt>
                <c:pt idx="1">
                  <c:v>59974</c:v>
                </c:pt>
                <c:pt idx="2">
                  <c:v>62767</c:v>
                </c:pt>
                <c:pt idx="3">
                  <c:v>66231</c:v>
                </c:pt>
                <c:pt idx="4">
                  <c:v>67785</c:v>
                </c:pt>
                <c:pt idx="5">
                  <c:v>71264</c:v>
                </c:pt>
                <c:pt idx="6">
                  <c:v>72158</c:v>
                </c:pt>
                <c:pt idx="7">
                  <c:v>76190</c:v>
                </c:pt>
                <c:pt idx="8">
                  <c:v>74598</c:v>
                </c:pt>
                <c:pt idx="9">
                  <c:v>80596</c:v>
                </c:pt>
                <c:pt idx="10">
                  <c:v>84693</c:v>
                </c:pt>
              </c:numCache>
            </c:numRef>
          </c:val>
          <c:extLst xmlns:c15="http://schemas.microsoft.com/office/drawing/2012/chart">
            <c:ext xmlns:c16="http://schemas.microsoft.com/office/drawing/2014/chart" uri="{C3380CC4-5D6E-409C-BE32-E72D297353CC}">
              <c16:uniqueId val="{00000000-68C7-4D1C-AF9C-5392E67CF5C4}"/>
            </c:ext>
          </c:extLst>
        </c:ser>
        <c:ser>
          <c:idx val="1"/>
          <c:order val="1"/>
          <c:tx>
            <c:strRef>
              <c:f>q11_q13_q15_q17_Fig!$R$8</c:f>
              <c:strCache>
                <c:ptCount val="1"/>
                <c:pt idx="0">
                  <c:v>B</c:v>
                </c:pt>
              </c:strCache>
            </c:strRef>
          </c:tx>
          <c:spPr>
            <a:solidFill>
              <a:schemeClr val="accent3"/>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q11_q13_q15_q17_Fig!$S$8:$AC$8</c:f>
              <c:numCache>
                <c:formatCode>General</c:formatCode>
                <c:ptCount val="11"/>
                <c:pt idx="0">
                  <c:v>8685</c:v>
                </c:pt>
                <c:pt idx="1">
                  <c:v>8514</c:v>
                </c:pt>
                <c:pt idx="2">
                  <c:v>8479</c:v>
                </c:pt>
                <c:pt idx="3">
                  <c:v>8384</c:v>
                </c:pt>
                <c:pt idx="4">
                  <c:v>8723</c:v>
                </c:pt>
                <c:pt idx="5">
                  <c:v>8644</c:v>
                </c:pt>
                <c:pt idx="6">
                  <c:v>8455</c:v>
                </c:pt>
                <c:pt idx="7">
                  <c:v>8318</c:v>
                </c:pt>
                <c:pt idx="8">
                  <c:v>8437</c:v>
                </c:pt>
                <c:pt idx="9">
                  <c:v>8822</c:v>
                </c:pt>
                <c:pt idx="10">
                  <c:v>9420</c:v>
                </c:pt>
              </c:numCache>
            </c:numRef>
          </c:val>
          <c:extLst>
            <c:ext xmlns:c16="http://schemas.microsoft.com/office/drawing/2014/chart" uri="{C3380CC4-5D6E-409C-BE32-E72D297353CC}">
              <c16:uniqueId val="{00000001-68C7-4D1C-AF9C-5392E67CF5C4}"/>
            </c:ext>
          </c:extLst>
        </c:ser>
        <c:ser>
          <c:idx val="2"/>
          <c:order val="2"/>
          <c:tx>
            <c:strRef>
              <c:f>q11_q13_q15_q17_Fig!$R$9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q11_q13_q15_q17_Fig!$S$9:$AC$9</c:f>
              <c:numCache>
                <c:formatCode>General</c:formatCode>
                <c:ptCount val="11"/>
                <c:pt idx="0">
                  <c:v>566564</c:v>
                </c:pt>
                <c:pt idx="1">
                  <c:v>583685</c:v>
                </c:pt>
                <c:pt idx="2">
                  <c:v>598482</c:v>
                </c:pt>
                <c:pt idx="3">
                  <c:v>615556</c:v>
                </c:pt>
                <c:pt idx="4">
                  <c:v>639429</c:v>
                </c:pt>
                <c:pt idx="5">
                  <c:v>659459</c:v>
                </c:pt>
                <c:pt idx="6">
                  <c:v>650638</c:v>
                </c:pt>
                <c:pt idx="7">
                  <c:v>639517</c:v>
                </c:pt>
                <c:pt idx="8">
                  <c:v>636329</c:v>
                </c:pt>
                <c:pt idx="9">
                  <c:v>667361</c:v>
                </c:pt>
                <c:pt idx="10">
                  <c:v>675754</c:v>
                </c:pt>
              </c:numCache>
            </c:numRef>
          </c:val>
          <c:extLst>
            <c:ext xmlns:c16="http://schemas.microsoft.com/office/drawing/2014/chart" uri="{C3380CC4-5D6E-409C-BE32-E72D297353CC}">
              <c16:uniqueId val="{00000002-68C7-4D1C-AF9C-5392E67CF5C4}"/>
            </c:ext>
          </c:extLst>
        </c:ser>
        <c:ser>
          <c:idx val="3"/>
          <c:order val="3"/>
          <c:tx>
            <c:strRef>
              <c:f>q11_q13_q15_q17_Fig!$R$10</c:f>
              <c:strCache>
                <c:ptCount val="1"/>
                <c:pt idx="0">
                  <c:v>D</c:v>
                </c:pt>
              </c:strCache>
            </c:strRef>
          </c:tx>
          <c:spPr>
            <a:solidFill>
              <a:schemeClr val="accent1">
                <a:lumMod val="6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q11_q13_q15_q17_Fig!$S$10:$AC$10</c:f>
              <c:numCache>
                <c:formatCode>General</c:formatCode>
                <c:ptCount val="11"/>
                <c:pt idx="0">
                  <c:v>6642</c:v>
                </c:pt>
                <c:pt idx="1">
                  <c:v>6369</c:v>
                </c:pt>
                <c:pt idx="2">
                  <c:v>6704</c:v>
                </c:pt>
                <c:pt idx="3">
                  <c:v>6470</c:v>
                </c:pt>
                <c:pt idx="4">
                  <c:v>6573</c:v>
                </c:pt>
                <c:pt idx="5">
                  <c:v>6821</c:v>
                </c:pt>
                <c:pt idx="6">
                  <c:v>6807</c:v>
                </c:pt>
                <c:pt idx="7">
                  <c:v>6753</c:v>
                </c:pt>
                <c:pt idx="8">
                  <c:v>6643</c:v>
                </c:pt>
                <c:pt idx="9">
                  <c:v>6615</c:v>
                </c:pt>
                <c:pt idx="10">
                  <c:v>7038</c:v>
                </c:pt>
              </c:numCache>
            </c:numRef>
          </c:val>
          <c:extLst>
            <c:ext xmlns:c16="http://schemas.microsoft.com/office/drawing/2014/chart" uri="{C3380CC4-5D6E-409C-BE32-E72D297353CC}">
              <c16:uniqueId val="{00000003-68C7-4D1C-AF9C-5392E67CF5C4}"/>
            </c:ext>
          </c:extLst>
        </c:ser>
        <c:ser>
          <c:idx val="4"/>
          <c:order val="4"/>
          <c:tx>
            <c:strRef>
              <c:f>q11_q13_q15_q17_Fig!$R$11</c:f>
              <c:strCache>
                <c:ptCount val="1"/>
                <c:pt idx="0">
                  <c:v>E</c:v>
                </c:pt>
              </c:strCache>
            </c:strRef>
          </c:tx>
          <c:spPr>
            <a:solidFill>
              <a:schemeClr val="accent3">
                <a:lumMod val="6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q11_q13_q15_q17_Fig!$S$11:$AC$11</c:f>
              <c:numCache>
                <c:formatCode>General</c:formatCode>
                <c:ptCount val="11"/>
                <c:pt idx="0">
                  <c:v>20721</c:v>
                </c:pt>
                <c:pt idx="1">
                  <c:v>20728</c:v>
                </c:pt>
                <c:pt idx="2">
                  <c:v>21233</c:v>
                </c:pt>
                <c:pt idx="3">
                  <c:v>22585</c:v>
                </c:pt>
                <c:pt idx="4">
                  <c:v>23439</c:v>
                </c:pt>
                <c:pt idx="5">
                  <c:v>23927</c:v>
                </c:pt>
                <c:pt idx="6">
                  <c:v>25301</c:v>
                </c:pt>
                <c:pt idx="7">
                  <c:v>26123</c:v>
                </c:pt>
                <c:pt idx="8">
                  <c:v>27869</c:v>
                </c:pt>
                <c:pt idx="9">
                  <c:v>29036</c:v>
                </c:pt>
                <c:pt idx="10">
                  <c:v>29674</c:v>
                </c:pt>
              </c:numCache>
            </c:numRef>
          </c:val>
          <c:extLst>
            <c:ext xmlns:c16="http://schemas.microsoft.com/office/drawing/2014/chart" uri="{C3380CC4-5D6E-409C-BE32-E72D297353CC}">
              <c16:uniqueId val="{00000004-68C7-4D1C-AF9C-5392E67CF5C4}"/>
            </c:ext>
          </c:extLst>
        </c:ser>
        <c:ser>
          <c:idx val="5"/>
          <c:order val="5"/>
          <c:tx>
            <c:strRef>
              <c:f>q11_q13_q15_q17_Fig!$R$12</c:f>
              <c:strCache>
                <c:ptCount val="1"/>
                <c:pt idx="0">
                  <c:v>F</c:v>
                </c:pt>
              </c:strCache>
            </c:strRef>
          </c:tx>
          <c:spPr>
            <a:solidFill>
              <a:schemeClr val="accent5">
                <a:lumMod val="60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68C7-4D1C-AF9C-5392E67CF5C4}"/>
                </c:ext>
              </c:extLst>
            </c:dLbl>
            <c:dLbl>
              <c:idx val="5"/>
              <c:delete val="1"/>
              <c:extLst>
                <c:ext xmlns:c15="http://schemas.microsoft.com/office/drawing/2012/chart" uri="{CE6537A1-D6FC-4f65-9D91-7224C49458BB}"/>
                <c:ext xmlns:c16="http://schemas.microsoft.com/office/drawing/2014/chart" uri="{C3380CC4-5D6E-409C-BE32-E72D297353CC}">
                  <c16:uniqueId val="{00000006-68C7-4D1C-AF9C-5392E67CF5C4}"/>
                </c:ext>
              </c:extLst>
            </c:dLbl>
            <c:dLbl>
              <c:idx val="6"/>
              <c:delete val="1"/>
              <c:extLst>
                <c:ext xmlns:c15="http://schemas.microsoft.com/office/drawing/2012/chart" uri="{CE6537A1-D6FC-4f65-9D91-7224C49458BB}"/>
                <c:ext xmlns:c16="http://schemas.microsoft.com/office/drawing/2014/chart" uri="{C3380CC4-5D6E-409C-BE32-E72D297353CC}">
                  <c16:uniqueId val="{00000007-68C7-4D1C-AF9C-5392E67CF5C4}"/>
                </c:ext>
              </c:extLst>
            </c:dLbl>
            <c:dLbl>
              <c:idx val="7"/>
              <c:delete val="1"/>
              <c:extLst>
                <c:ext xmlns:c15="http://schemas.microsoft.com/office/drawing/2012/chart" uri="{CE6537A1-D6FC-4f65-9D91-7224C49458BB}"/>
                <c:ext xmlns:c16="http://schemas.microsoft.com/office/drawing/2014/chart" uri="{C3380CC4-5D6E-409C-BE32-E72D297353CC}">
                  <c16:uniqueId val="{00000008-68C7-4D1C-AF9C-5392E67CF5C4}"/>
                </c:ext>
              </c:extLst>
            </c:dLbl>
            <c:dLbl>
              <c:idx val="8"/>
              <c:delete val="1"/>
              <c:extLst>
                <c:ext xmlns:c15="http://schemas.microsoft.com/office/drawing/2012/chart" uri="{CE6537A1-D6FC-4f65-9D91-7224C49458BB}"/>
                <c:ext xmlns:c16="http://schemas.microsoft.com/office/drawing/2014/chart" uri="{C3380CC4-5D6E-409C-BE32-E72D297353CC}">
                  <c16:uniqueId val="{00000009-68C7-4D1C-AF9C-5392E67CF5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q11_q13_q15_q17_Fig!$S$12:$AC$12</c:f>
              <c:numCache>
                <c:formatCode>General</c:formatCode>
                <c:ptCount val="11"/>
                <c:pt idx="0">
                  <c:v>197944</c:v>
                </c:pt>
                <c:pt idx="1">
                  <c:v>197951</c:v>
                </c:pt>
                <c:pt idx="2">
                  <c:v>198073</c:v>
                </c:pt>
                <c:pt idx="3">
                  <c:v>203068</c:v>
                </c:pt>
                <c:pt idx="4">
                  <c:v>215365</c:v>
                </c:pt>
                <c:pt idx="5">
                  <c:v>227394</c:v>
                </c:pt>
                <c:pt idx="6">
                  <c:v>241160</c:v>
                </c:pt>
                <c:pt idx="7">
                  <c:v>254572</c:v>
                </c:pt>
                <c:pt idx="8">
                  <c:v>256768</c:v>
                </c:pt>
                <c:pt idx="9">
                  <c:v>277485</c:v>
                </c:pt>
                <c:pt idx="10">
                  <c:v>300958</c:v>
                </c:pt>
              </c:numCache>
            </c:numRef>
          </c:val>
          <c:extLst>
            <c:ext xmlns:c16="http://schemas.microsoft.com/office/drawing/2014/chart" uri="{C3380CC4-5D6E-409C-BE32-E72D297353CC}">
              <c16:uniqueId val="{0000000A-68C7-4D1C-AF9C-5392E67CF5C4}"/>
            </c:ext>
          </c:extLst>
        </c:ser>
        <c:ser>
          <c:idx val="6"/>
          <c:order val="6"/>
          <c:tx>
            <c:strRef>
              <c:f>q11_q13_q15_q17_Fig!$R$13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q11_q13_q15_q17_Fig!$S$13:$AC$13</c:f>
              <c:numCache>
                <c:formatCode>General</c:formatCode>
                <c:ptCount val="11"/>
                <c:pt idx="0">
                  <c:v>501601</c:v>
                </c:pt>
                <c:pt idx="1">
                  <c:v>513639</c:v>
                </c:pt>
                <c:pt idx="2">
                  <c:v>528110</c:v>
                </c:pt>
                <c:pt idx="3">
                  <c:v>541723</c:v>
                </c:pt>
                <c:pt idx="4">
                  <c:v>556229</c:v>
                </c:pt>
                <c:pt idx="5">
                  <c:v>571387</c:v>
                </c:pt>
                <c:pt idx="6">
                  <c:v>585267</c:v>
                </c:pt>
                <c:pt idx="7">
                  <c:v>572866</c:v>
                </c:pt>
                <c:pt idx="8">
                  <c:v>579715</c:v>
                </c:pt>
                <c:pt idx="9">
                  <c:v>606424</c:v>
                </c:pt>
                <c:pt idx="10">
                  <c:v>624971</c:v>
                </c:pt>
              </c:numCache>
            </c:numRef>
          </c:val>
          <c:extLst>
            <c:ext xmlns:c16="http://schemas.microsoft.com/office/drawing/2014/chart" uri="{C3380CC4-5D6E-409C-BE32-E72D297353CC}">
              <c16:uniqueId val="{0000000B-68C7-4D1C-AF9C-5392E67CF5C4}"/>
            </c:ext>
          </c:extLst>
        </c:ser>
        <c:ser>
          <c:idx val="7"/>
          <c:order val="7"/>
          <c:tx>
            <c:strRef>
              <c:f>q11_q13_q15_q17_Fig!$R$14</c:f>
              <c:strCache>
                <c:ptCount val="1"/>
                <c:pt idx="0">
                  <c:v>H</c:v>
                </c:pt>
              </c:strCache>
            </c:strRef>
          </c:tx>
          <c:spPr>
            <a:solidFill>
              <a:schemeClr val="accent3">
                <a:lumMod val="80000"/>
                <a:lumOff val="2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q11_q13_q15_q17_Fig!$S$14:$AC$14</c:f>
              <c:numCache>
                <c:formatCode>General</c:formatCode>
                <c:ptCount val="11"/>
                <c:pt idx="0">
                  <c:v>124544</c:v>
                </c:pt>
                <c:pt idx="1">
                  <c:v>130835</c:v>
                </c:pt>
                <c:pt idx="2">
                  <c:v>134827</c:v>
                </c:pt>
                <c:pt idx="3">
                  <c:v>140298</c:v>
                </c:pt>
                <c:pt idx="4">
                  <c:v>147627</c:v>
                </c:pt>
                <c:pt idx="5">
                  <c:v>153184</c:v>
                </c:pt>
                <c:pt idx="6">
                  <c:v>154795</c:v>
                </c:pt>
                <c:pt idx="7">
                  <c:v>153703</c:v>
                </c:pt>
                <c:pt idx="8">
                  <c:v>150030</c:v>
                </c:pt>
                <c:pt idx="9">
                  <c:v>157420</c:v>
                </c:pt>
                <c:pt idx="10">
                  <c:v>167296</c:v>
                </c:pt>
              </c:numCache>
            </c:numRef>
          </c:val>
          <c:extLst>
            <c:ext xmlns:c16="http://schemas.microsoft.com/office/drawing/2014/chart" uri="{C3380CC4-5D6E-409C-BE32-E72D297353CC}">
              <c16:uniqueId val="{0000000C-68C7-4D1C-AF9C-5392E67CF5C4}"/>
            </c:ext>
          </c:extLst>
        </c:ser>
        <c:ser>
          <c:idx val="8"/>
          <c:order val="8"/>
          <c:tx>
            <c:strRef>
              <c:f>q11_q13_q15_q17_Fig!$R$15</c:f>
              <c:strCache>
                <c:ptCount val="1"/>
                <c:pt idx="0">
                  <c:v>I</c:v>
                </c:pt>
              </c:strCache>
            </c:strRef>
          </c:tx>
          <c:spPr>
            <a:solidFill>
              <a:schemeClr val="accent5">
                <a:lumMod val="80000"/>
                <a:lumOff val="2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8C7-4D1C-AF9C-5392E67CF5C4}"/>
                </c:ext>
              </c:extLst>
            </c:dLbl>
            <c:dLbl>
              <c:idx val="1"/>
              <c:delete val="1"/>
              <c:extLst>
                <c:ext xmlns:c15="http://schemas.microsoft.com/office/drawing/2012/chart" uri="{CE6537A1-D6FC-4f65-9D91-7224C49458BB}"/>
                <c:ext xmlns:c16="http://schemas.microsoft.com/office/drawing/2014/chart" uri="{C3380CC4-5D6E-409C-BE32-E72D297353CC}">
                  <c16:uniqueId val="{0000000E-68C7-4D1C-AF9C-5392E67CF5C4}"/>
                </c:ext>
              </c:extLst>
            </c:dLbl>
            <c:dLbl>
              <c:idx val="2"/>
              <c:delete val="1"/>
              <c:extLst>
                <c:ext xmlns:c15="http://schemas.microsoft.com/office/drawing/2012/chart" uri="{CE6537A1-D6FC-4f65-9D91-7224C49458BB}"/>
                <c:ext xmlns:c16="http://schemas.microsoft.com/office/drawing/2014/chart" uri="{C3380CC4-5D6E-409C-BE32-E72D297353CC}">
                  <c16:uniqueId val="{0000000F-68C7-4D1C-AF9C-5392E67CF5C4}"/>
                </c:ext>
              </c:extLst>
            </c:dLbl>
            <c:dLbl>
              <c:idx val="3"/>
              <c:delete val="1"/>
              <c:extLst>
                <c:ext xmlns:c15="http://schemas.microsoft.com/office/drawing/2012/chart" uri="{CE6537A1-D6FC-4f65-9D91-7224C49458BB}"/>
                <c:ext xmlns:c16="http://schemas.microsoft.com/office/drawing/2014/chart" uri="{C3380CC4-5D6E-409C-BE32-E72D297353CC}">
                  <c16:uniqueId val="{00000010-68C7-4D1C-AF9C-5392E67CF5C4}"/>
                </c:ext>
              </c:extLst>
            </c:dLbl>
            <c:dLbl>
              <c:idx val="9"/>
              <c:delete val="1"/>
              <c:extLst>
                <c:ext xmlns:c15="http://schemas.microsoft.com/office/drawing/2012/chart" uri="{CE6537A1-D6FC-4f65-9D91-7224C49458BB}"/>
                <c:ext xmlns:c16="http://schemas.microsoft.com/office/drawing/2014/chart" uri="{C3380CC4-5D6E-409C-BE32-E72D297353CC}">
                  <c16:uniqueId val="{00000011-68C7-4D1C-AF9C-5392E67CF5C4}"/>
                </c:ext>
              </c:extLst>
            </c:dLbl>
            <c:dLbl>
              <c:idx val="10"/>
              <c:delete val="1"/>
              <c:extLst>
                <c:ext xmlns:c15="http://schemas.microsoft.com/office/drawing/2012/chart" uri="{CE6537A1-D6FC-4f65-9D91-7224C49458BB}"/>
                <c:ext xmlns:c16="http://schemas.microsoft.com/office/drawing/2014/chart" uri="{C3380CC4-5D6E-409C-BE32-E72D297353CC}">
                  <c16:uniqueId val="{00000012-68C7-4D1C-AF9C-5392E67CF5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q11_q13_q15_q17_Fig!$S$15:$AC$15</c:f>
              <c:numCache>
                <c:formatCode>General</c:formatCode>
                <c:ptCount val="11"/>
                <c:pt idx="0">
                  <c:v>184439</c:v>
                </c:pt>
                <c:pt idx="1">
                  <c:v>193103</c:v>
                </c:pt>
                <c:pt idx="2">
                  <c:v>207980</c:v>
                </c:pt>
                <c:pt idx="3">
                  <c:v>223137</c:v>
                </c:pt>
                <c:pt idx="4">
                  <c:v>243205</c:v>
                </c:pt>
                <c:pt idx="5">
                  <c:v>261730</c:v>
                </c:pt>
                <c:pt idx="6">
                  <c:v>270796</c:v>
                </c:pt>
                <c:pt idx="7">
                  <c:v>233699</c:v>
                </c:pt>
                <c:pt idx="8">
                  <c:v>239745</c:v>
                </c:pt>
                <c:pt idx="9">
                  <c:v>279781</c:v>
                </c:pt>
                <c:pt idx="10">
                  <c:v>307448</c:v>
                </c:pt>
              </c:numCache>
            </c:numRef>
          </c:val>
          <c:extLst>
            <c:ext xmlns:c16="http://schemas.microsoft.com/office/drawing/2014/chart" uri="{C3380CC4-5D6E-409C-BE32-E72D297353CC}">
              <c16:uniqueId val="{00000013-68C7-4D1C-AF9C-5392E67CF5C4}"/>
            </c:ext>
          </c:extLst>
        </c:ser>
        <c:ser>
          <c:idx val="9"/>
          <c:order val="9"/>
          <c:tx>
            <c:strRef>
              <c:f>q11_q13_q15_q17_Fig!$R$16</c:f>
              <c:strCache>
                <c:ptCount val="1"/>
                <c:pt idx="0">
                  <c:v>J</c:v>
                </c:pt>
              </c:strCache>
            </c:strRef>
          </c:tx>
          <c:spPr>
            <a:solidFill>
              <a:schemeClr val="accent1">
                <a:lumMod val="8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q11_q13_q15_q17_Fig!$S$16:$AC$16</c:f>
              <c:numCache>
                <c:formatCode>General</c:formatCode>
                <c:ptCount val="11"/>
                <c:pt idx="0">
                  <c:v>68157</c:v>
                </c:pt>
                <c:pt idx="1">
                  <c:v>71993</c:v>
                </c:pt>
                <c:pt idx="2">
                  <c:v>72956</c:v>
                </c:pt>
                <c:pt idx="3">
                  <c:v>77039</c:v>
                </c:pt>
                <c:pt idx="4">
                  <c:v>83632</c:v>
                </c:pt>
                <c:pt idx="5">
                  <c:v>91709</c:v>
                </c:pt>
                <c:pt idx="6">
                  <c:v>99727</c:v>
                </c:pt>
                <c:pt idx="7">
                  <c:v>107652</c:v>
                </c:pt>
                <c:pt idx="8">
                  <c:v>114093</c:v>
                </c:pt>
                <c:pt idx="9">
                  <c:v>132730</c:v>
                </c:pt>
                <c:pt idx="10">
                  <c:v>136036</c:v>
                </c:pt>
              </c:numCache>
            </c:numRef>
          </c:val>
          <c:extLst>
            <c:ext xmlns:c16="http://schemas.microsoft.com/office/drawing/2014/chart" uri="{C3380CC4-5D6E-409C-BE32-E72D297353CC}">
              <c16:uniqueId val="{00000014-68C7-4D1C-AF9C-5392E67CF5C4}"/>
            </c:ext>
          </c:extLst>
        </c:ser>
        <c:ser>
          <c:idx val="10"/>
          <c:order val="10"/>
          <c:tx>
            <c:strRef>
              <c:f>q11_q13_q15_q17_Fig!$R$17</c:f>
              <c:strCache>
                <c:ptCount val="1"/>
                <c:pt idx="0">
                  <c:v>K</c:v>
                </c:pt>
              </c:strCache>
            </c:strRef>
          </c:tx>
          <c:spPr>
            <a:solidFill>
              <a:schemeClr val="accent3">
                <a:lumMod val="8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q11_q13_q15_q17_Fig!$S$17:$AC$17</c:f>
              <c:numCache>
                <c:formatCode>General</c:formatCode>
                <c:ptCount val="11"/>
                <c:pt idx="0">
                  <c:v>83701</c:v>
                </c:pt>
                <c:pt idx="1">
                  <c:v>82983</c:v>
                </c:pt>
                <c:pt idx="2">
                  <c:v>81189</c:v>
                </c:pt>
                <c:pt idx="3">
                  <c:v>79408</c:v>
                </c:pt>
                <c:pt idx="4">
                  <c:v>78025</c:v>
                </c:pt>
                <c:pt idx="5">
                  <c:v>78807</c:v>
                </c:pt>
                <c:pt idx="6">
                  <c:v>72314</c:v>
                </c:pt>
                <c:pt idx="7">
                  <c:v>78746</c:v>
                </c:pt>
                <c:pt idx="8">
                  <c:v>77632</c:v>
                </c:pt>
                <c:pt idx="9">
                  <c:v>80352</c:v>
                </c:pt>
                <c:pt idx="10">
                  <c:v>83710</c:v>
                </c:pt>
              </c:numCache>
            </c:numRef>
          </c:val>
          <c:extLst>
            <c:ext xmlns:c16="http://schemas.microsoft.com/office/drawing/2014/chart" uri="{C3380CC4-5D6E-409C-BE32-E72D297353CC}">
              <c16:uniqueId val="{00000015-68C7-4D1C-AF9C-5392E67CF5C4}"/>
            </c:ext>
          </c:extLst>
        </c:ser>
        <c:ser>
          <c:idx val="11"/>
          <c:order val="11"/>
          <c:tx>
            <c:strRef>
              <c:f>q11_q13_q15_q17_Fig!$R$18</c:f>
              <c:strCache>
                <c:ptCount val="1"/>
                <c:pt idx="0">
                  <c:v>L</c:v>
                </c:pt>
              </c:strCache>
            </c:strRef>
          </c:tx>
          <c:spPr>
            <a:solidFill>
              <a:schemeClr val="accent5">
                <a:lumMod val="8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q11_q13_q15_q17_Fig!$S$18:$AC$18</c:f>
              <c:numCache>
                <c:formatCode>General</c:formatCode>
                <c:ptCount val="11"/>
                <c:pt idx="0">
                  <c:v>18455</c:v>
                </c:pt>
                <c:pt idx="1">
                  <c:v>19960</c:v>
                </c:pt>
                <c:pt idx="2">
                  <c:v>21488</c:v>
                </c:pt>
                <c:pt idx="3">
                  <c:v>22728</c:v>
                </c:pt>
                <c:pt idx="4">
                  <c:v>25240</c:v>
                </c:pt>
                <c:pt idx="5">
                  <c:v>28146</c:v>
                </c:pt>
                <c:pt idx="6">
                  <c:v>29700</c:v>
                </c:pt>
                <c:pt idx="7">
                  <c:v>30554</c:v>
                </c:pt>
                <c:pt idx="8">
                  <c:v>32205</c:v>
                </c:pt>
                <c:pt idx="9">
                  <c:v>35036</c:v>
                </c:pt>
                <c:pt idx="10">
                  <c:v>37963</c:v>
                </c:pt>
              </c:numCache>
            </c:numRef>
          </c:val>
          <c:extLst>
            <c:ext xmlns:c16="http://schemas.microsoft.com/office/drawing/2014/chart" uri="{C3380CC4-5D6E-409C-BE32-E72D297353CC}">
              <c16:uniqueId val="{00000016-68C7-4D1C-AF9C-5392E67CF5C4}"/>
            </c:ext>
          </c:extLst>
        </c:ser>
        <c:ser>
          <c:idx val="12"/>
          <c:order val="12"/>
          <c:tx>
            <c:strRef>
              <c:f>q11_q13_q15_q17_Fig!$R$19</c:f>
              <c:strCache>
                <c:ptCount val="1"/>
                <c:pt idx="0">
                  <c:v>M</c:v>
                </c:pt>
              </c:strCache>
            </c:strRef>
          </c:tx>
          <c:spPr>
            <a:solidFill>
              <a:schemeClr val="accent1">
                <a:lumMod val="60000"/>
                <a:lumOff val="4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q11_q13_q15_q17_Fig!$S$19:$AC$19</c:f>
              <c:numCache>
                <c:formatCode>General</c:formatCode>
                <c:ptCount val="11"/>
                <c:pt idx="0">
                  <c:v>111886</c:v>
                </c:pt>
                <c:pt idx="1">
                  <c:v>120671</c:v>
                </c:pt>
                <c:pt idx="2">
                  <c:v>125288</c:v>
                </c:pt>
                <c:pt idx="3">
                  <c:v>127354</c:v>
                </c:pt>
                <c:pt idx="4">
                  <c:v>128982</c:v>
                </c:pt>
                <c:pt idx="5">
                  <c:v>139971</c:v>
                </c:pt>
                <c:pt idx="6">
                  <c:v>148924</c:v>
                </c:pt>
                <c:pt idx="7">
                  <c:v>150763</c:v>
                </c:pt>
                <c:pt idx="8">
                  <c:v>156464</c:v>
                </c:pt>
                <c:pt idx="9">
                  <c:v>177058</c:v>
                </c:pt>
                <c:pt idx="10">
                  <c:v>191467</c:v>
                </c:pt>
              </c:numCache>
            </c:numRef>
          </c:val>
          <c:extLst>
            <c:ext xmlns:c16="http://schemas.microsoft.com/office/drawing/2014/chart" uri="{C3380CC4-5D6E-409C-BE32-E72D297353CC}">
              <c16:uniqueId val="{00000017-68C7-4D1C-AF9C-5392E67CF5C4}"/>
            </c:ext>
          </c:extLst>
        </c:ser>
        <c:ser>
          <c:idx val="13"/>
          <c:order val="13"/>
          <c:tx>
            <c:strRef>
              <c:f>q11_q13_q15_q17_Fig!$R$20</c:f>
              <c:strCache>
                <c:ptCount val="1"/>
                <c:pt idx="0">
                  <c:v>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q11_q13_q15_q17_Fig!$S$20:$AC$20</c:f>
              <c:numCache>
                <c:formatCode>General</c:formatCode>
                <c:ptCount val="11"/>
                <c:pt idx="0">
                  <c:v>230370</c:v>
                </c:pt>
                <c:pt idx="1">
                  <c:v>243964</c:v>
                </c:pt>
                <c:pt idx="2">
                  <c:v>251590</c:v>
                </c:pt>
                <c:pt idx="3">
                  <c:v>273459</c:v>
                </c:pt>
                <c:pt idx="4">
                  <c:v>299479</c:v>
                </c:pt>
                <c:pt idx="5">
                  <c:v>298771</c:v>
                </c:pt>
                <c:pt idx="6">
                  <c:v>299376</c:v>
                </c:pt>
                <c:pt idx="7">
                  <c:v>291316</c:v>
                </c:pt>
                <c:pt idx="8">
                  <c:v>280916</c:v>
                </c:pt>
                <c:pt idx="9">
                  <c:v>313802</c:v>
                </c:pt>
                <c:pt idx="10">
                  <c:v>329658</c:v>
                </c:pt>
              </c:numCache>
            </c:numRef>
          </c:val>
          <c:extLst>
            <c:ext xmlns:c16="http://schemas.microsoft.com/office/drawing/2014/chart" uri="{C3380CC4-5D6E-409C-BE32-E72D297353CC}">
              <c16:uniqueId val="{00000018-68C7-4D1C-AF9C-5392E67CF5C4}"/>
            </c:ext>
          </c:extLst>
        </c:ser>
        <c:ser>
          <c:idx val="14"/>
          <c:order val="14"/>
          <c:tx>
            <c:strRef>
              <c:f>q11_q13_q15_q17_Fig!$R$21</c:f>
              <c:strCache>
                <c:ptCount val="1"/>
                <c:pt idx="0">
                  <c:v>O</c:v>
                </c:pt>
              </c:strCache>
            </c:strRef>
          </c:tx>
          <c:spPr>
            <a:solidFill>
              <a:schemeClr val="accent5">
                <a:lumMod val="60000"/>
                <a:lumOff val="4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q11_q13_q15_q17_Fig!$S$21:$AC$21</c:f>
              <c:numCache>
                <c:formatCode>General</c:formatCode>
                <c:ptCount val="11"/>
                <c:pt idx="0">
                  <c:v>10265</c:v>
                </c:pt>
                <c:pt idx="1">
                  <c:v>10823</c:v>
                </c:pt>
                <c:pt idx="2">
                  <c:v>10646</c:v>
                </c:pt>
                <c:pt idx="3">
                  <c:v>10719</c:v>
                </c:pt>
                <c:pt idx="4">
                  <c:v>11285</c:v>
                </c:pt>
                <c:pt idx="5">
                  <c:v>11658</c:v>
                </c:pt>
                <c:pt idx="6">
                  <c:v>11877</c:v>
                </c:pt>
                <c:pt idx="7">
                  <c:v>12408</c:v>
                </c:pt>
                <c:pt idx="8">
                  <c:v>12061</c:v>
                </c:pt>
                <c:pt idx="9">
                  <c:v>13207</c:v>
                </c:pt>
                <c:pt idx="10">
                  <c:v>14299</c:v>
                </c:pt>
              </c:numCache>
            </c:numRef>
          </c:val>
          <c:extLst>
            <c:ext xmlns:c16="http://schemas.microsoft.com/office/drawing/2014/chart" uri="{C3380CC4-5D6E-409C-BE32-E72D297353CC}">
              <c16:uniqueId val="{00000019-68C7-4D1C-AF9C-5392E67CF5C4}"/>
            </c:ext>
          </c:extLst>
        </c:ser>
        <c:ser>
          <c:idx val="15"/>
          <c:order val="15"/>
          <c:tx>
            <c:strRef>
              <c:f>q11_q13_q15_q17_Fig!$R$22</c:f>
              <c:strCache>
                <c:ptCount val="1"/>
                <c:pt idx="0">
                  <c:v>P</c:v>
                </c:pt>
              </c:strCache>
            </c:strRef>
          </c:tx>
          <c:spPr>
            <a:solidFill>
              <a:schemeClr val="accent1">
                <a:lumMod val="5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q11_q13_q15_q17_Fig!$S$22:$AC$22</c:f>
              <c:numCache>
                <c:formatCode>General</c:formatCode>
                <c:ptCount val="11"/>
                <c:pt idx="0">
                  <c:v>53165</c:v>
                </c:pt>
                <c:pt idx="1">
                  <c:v>53776</c:v>
                </c:pt>
                <c:pt idx="2">
                  <c:v>56603</c:v>
                </c:pt>
                <c:pt idx="3">
                  <c:v>56595</c:v>
                </c:pt>
                <c:pt idx="4">
                  <c:v>56216</c:v>
                </c:pt>
                <c:pt idx="5">
                  <c:v>60367</c:v>
                </c:pt>
                <c:pt idx="6">
                  <c:v>60849</c:v>
                </c:pt>
                <c:pt idx="7">
                  <c:v>62433</c:v>
                </c:pt>
                <c:pt idx="8">
                  <c:v>61474</c:v>
                </c:pt>
                <c:pt idx="9">
                  <c:v>64779</c:v>
                </c:pt>
                <c:pt idx="10">
                  <c:v>69358</c:v>
                </c:pt>
              </c:numCache>
            </c:numRef>
          </c:val>
          <c:extLst>
            <c:ext xmlns:c16="http://schemas.microsoft.com/office/drawing/2014/chart" uri="{C3380CC4-5D6E-409C-BE32-E72D297353CC}">
              <c16:uniqueId val="{0000001A-68C7-4D1C-AF9C-5392E67CF5C4}"/>
            </c:ext>
          </c:extLst>
        </c:ser>
        <c:ser>
          <c:idx val="16"/>
          <c:order val="16"/>
          <c:tx>
            <c:strRef>
              <c:f>q11_q13_q15_q17_Fig!$R$23</c:f>
              <c:strCache>
                <c:ptCount val="1"/>
                <c:pt idx="0">
                  <c:v>Q</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q11_q13_q15_q17_Fig!$S$23:$AC$23</c:f>
              <c:numCache>
                <c:formatCode>General</c:formatCode>
                <c:ptCount val="11"/>
                <c:pt idx="0">
                  <c:v>222574</c:v>
                </c:pt>
                <c:pt idx="1">
                  <c:v>229330</c:v>
                </c:pt>
                <c:pt idx="2">
                  <c:v>241051</c:v>
                </c:pt>
                <c:pt idx="3">
                  <c:v>254988</c:v>
                </c:pt>
                <c:pt idx="4">
                  <c:v>265423</c:v>
                </c:pt>
                <c:pt idx="5">
                  <c:v>271575</c:v>
                </c:pt>
                <c:pt idx="6">
                  <c:v>278424</c:v>
                </c:pt>
                <c:pt idx="7">
                  <c:v>289188</c:v>
                </c:pt>
                <c:pt idx="8">
                  <c:v>295748</c:v>
                </c:pt>
                <c:pt idx="9">
                  <c:v>309107</c:v>
                </c:pt>
                <c:pt idx="10">
                  <c:v>319140</c:v>
                </c:pt>
              </c:numCache>
            </c:numRef>
          </c:val>
          <c:extLst>
            <c:ext xmlns:c16="http://schemas.microsoft.com/office/drawing/2014/chart" uri="{C3380CC4-5D6E-409C-BE32-E72D297353CC}">
              <c16:uniqueId val="{0000001B-68C7-4D1C-AF9C-5392E67CF5C4}"/>
            </c:ext>
          </c:extLst>
        </c:ser>
        <c:ser>
          <c:idx val="17"/>
          <c:order val="17"/>
          <c:tx>
            <c:strRef>
              <c:f>q11_q13_q15_q17_Fig!$R$24</c:f>
              <c:strCache>
                <c:ptCount val="1"/>
                <c:pt idx="0">
                  <c:v>R</c:v>
                </c:pt>
              </c:strCache>
            </c:strRef>
          </c:tx>
          <c:spPr>
            <a:solidFill>
              <a:schemeClr val="accent5">
                <a:lumMod val="5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q11_q13_q15_q17_Fig!$S$24:$AC$24</c:f>
              <c:numCache>
                <c:formatCode>General</c:formatCode>
                <c:ptCount val="11"/>
                <c:pt idx="0">
                  <c:v>21362</c:v>
                </c:pt>
                <c:pt idx="1">
                  <c:v>20524</c:v>
                </c:pt>
                <c:pt idx="2">
                  <c:v>22785</c:v>
                </c:pt>
                <c:pt idx="3">
                  <c:v>23892</c:v>
                </c:pt>
                <c:pt idx="4">
                  <c:v>26109</c:v>
                </c:pt>
                <c:pt idx="5">
                  <c:v>28777</c:v>
                </c:pt>
                <c:pt idx="6">
                  <c:v>30427</c:v>
                </c:pt>
                <c:pt idx="7">
                  <c:v>28691</c:v>
                </c:pt>
                <c:pt idx="8">
                  <c:v>31034</c:v>
                </c:pt>
                <c:pt idx="9">
                  <c:v>33359</c:v>
                </c:pt>
                <c:pt idx="10">
                  <c:v>36709</c:v>
                </c:pt>
              </c:numCache>
            </c:numRef>
          </c:val>
          <c:extLst>
            <c:ext xmlns:c16="http://schemas.microsoft.com/office/drawing/2014/chart" uri="{C3380CC4-5D6E-409C-BE32-E72D297353CC}">
              <c16:uniqueId val="{0000001C-68C7-4D1C-AF9C-5392E67CF5C4}"/>
            </c:ext>
          </c:extLst>
        </c:ser>
        <c:ser>
          <c:idx val="18"/>
          <c:order val="18"/>
          <c:tx>
            <c:strRef>
              <c:f>q11_q13_q15_q17_Fig!$R$25</c:f>
              <c:strCache>
                <c:ptCount val="1"/>
                <c:pt idx="0">
                  <c:v>S</c:v>
                </c:pt>
              </c:strCache>
            </c:strRef>
          </c:tx>
          <c:spPr>
            <a:solidFill>
              <a:schemeClr val="accent1">
                <a:lumMod val="70000"/>
                <a:lumOff val="3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q11_q13_q15_q17_Fig!$S$25:$AC$25</c:f>
              <c:numCache>
                <c:formatCode>General</c:formatCode>
                <c:ptCount val="11"/>
                <c:pt idx="0">
                  <c:v>67041</c:v>
                </c:pt>
                <c:pt idx="1">
                  <c:v>67966</c:v>
                </c:pt>
                <c:pt idx="2">
                  <c:v>65669</c:v>
                </c:pt>
                <c:pt idx="3">
                  <c:v>66238</c:v>
                </c:pt>
                <c:pt idx="4">
                  <c:v>64042</c:v>
                </c:pt>
                <c:pt idx="5">
                  <c:v>66801</c:v>
                </c:pt>
                <c:pt idx="6">
                  <c:v>63852</c:v>
                </c:pt>
                <c:pt idx="7">
                  <c:v>61955</c:v>
                </c:pt>
                <c:pt idx="8">
                  <c:v>60477</c:v>
                </c:pt>
                <c:pt idx="9">
                  <c:v>63987</c:v>
                </c:pt>
                <c:pt idx="10">
                  <c:v>63846</c:v>
                </c:pt>
              </c:numCache>
            </c:numRef>
          </c:val>
          <c:extLst>
            <c:ext xmlns:c16="http://schemas.microsoft.com/office/drawing/2014/chart" uri="{C3380CC4-5D6E-409C-BE32-E72D297353CC}">
              <c16:uniqueId val="{0000001D-68C7-4D1C-AF9C-5392E67CF5C4}"/>
            </c:ext>
          </c:extLst>
        </c:ser>
        <c:ser>
          <c:idx val="19"/>
          <c:order val="19"/>
          <c:tx>
            <c:strRef>
              <c:f>q11_q13_q15_q17_Fig!$R$26</c:f>
              <c:strCache>
                <c:ptCount val="1"/>
                <c:pt idx="0">
                  <c:v>U</c:v>
                </c:pt>
              </c:strCache>
            </c:strRef>
          </c:tx>
          <c:spPr>
            <a:solidFill>
              <a:schemeClr val="accent3">
                <a:lumMod val="70000"/>
                <a:lumOff val="30000"/>
              </a:schemeClr>
            </a:solidFill>
            <a:ln>
              <a:noFill/>
            </a:ln>
            <a:effectLst/>
          </c:spPr>
          <c:invertIfNegative val="0"/>
          <c:cat>
            <c:numRef>
              <c:f>q11_q13_q15_q17_Fig!$S$6:$AC$6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q11_q13_q15_q17_Fig!$S$26:$AC$26</c:f>
              <c:numCache>
                <c:formatCode>General</c:formatCode>
                <c:ptCount val="11"/>
                <c:pt idx="0">
                  <c:v>83</c:v>
                </c:pt>
                <c:pt idx="1">
                  <c:v>93</c:v>
                </c:pt>
                <c:pt idx="2">
                  <c:v>91</c:v>
                </c:pt>
                <c:pt idx="3">
                  <c:v>106</c:v>
                </c:pt>
                <c:pt idx="4">
                  <c:v>95</c:v>
                </c:pt>
                <c:pt idx="5">
                  <c:v>97</c:v>
                </c:pt>
                <c:pt idx="6">
                  <c:v>102</c:v>
                </c:pt>
                <c:pt idx="7">
                  <c:v>119</c:v>
                </c:pt>
                <c:pt idx="8">
                  <c:v>107</c:v>
                </c:pt>
                <c:pt idx="9">
                  <c:v>125</c:v>
                </c:pt>
                <c:pt idx="10">
                  <c:v>145</c:v>
                </c:pt>
              </c:numCache>
            </c:numRef>
          </c:val>
          <c:extLst>
            <c:ext xmlns:c16="http://schemas.microsoft.com/office/drawing/2014/chart" uri="{C3380CC4-5D6E-409C-BE32-E72D297353CC}">
              <c16:uniqueId val="{0000001E-68C7-4D1C-AF9C-5392E67CF5C4}"/>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3.7437102506546943E-2"/>
          <c:y val="0.89261540822590557"/>
          <c:w val="0.94198021885521888"/>
          <c:h val="7.95337630448127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 do estabelecimento</a:t>
            </a:r>
          </a:p>
        </c:rich>
      </c:tx>
      <c:layout>
        <c:manualLayout>
          <c:xMode val="edge"/>
          <c:yMode val="edge"/>
          <c:x val="0.75006003767601337"/>
          <c:y val="3.40425379828947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lineChart>
        <c:grouping val="standard"/>
        <c:varyColors val="0"/>
        <c:ser>
          <c:idx val="0"/>
          <c:order val="0"/>
          <c:tx>
            <c:strRef>
              <c:f>q11_q13_q15_q17_Fig!$R$31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01-E35B-4366-8AB9-607A1685C114}"/>
                </c:ext>
              </c:extLst>
            </c:dLbl>
            <c:dLbl>
              <c:idx val="2"/>
              <c:delete val="1"/>
              <c:extLst>
                <c:ext xmlns:c15="http://schemas.microsoft.com/office/drawing/2012/chart" uri="{CE6537A1-D6FC-4f65-9D91-7224C49458BB}"/>
                <c:ext xmlns:c16="http://schemas.microsoft.com/office/drawing/2014/chart" uri="{C3380CC4-5D6E-409C-BE32-E72D297353CC}">
                  <c16:uniqueId val="{00000002-E35B-4366-8AB9-607A1685C114}"/>
                </c:ext>
              </c:extLst>
            </c:dLbl>
            <c:dLbl>
              <c:idx val="3"/>
              <c:layout>
                <c:manualLayout>
                  <c:x val="5.2322336290242126E-2"/>
                  <c:y val="8.1294291338582722E-2"/>
                </c:manualLayout>
              </c:layout>
              <c:tx>
                <c:rich>
                  <a:bodyPr/>
                  <a:lstStyle/>
                  <a:p>
                    <a:fld id="{A8C9B93E-BD4A-47C8-81CF-FD69EB3EB9F8}"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04-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05-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06-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07-E35B-4366-8AB9-607A1685C114}"/>
                </c:ext>
              </c:extLst>
            </c:dLbl>
            <c:dLbl>
              <c:idx val="8"/>
              <c:delete val="1"/>
              <c:extLst>
                <c:ext xmlns:c15="http://schemas.microsoft.com/office/drawing/2012/chart" uri="{CE6537A1-D6FC-4f65-9D91-7224C49458BB}"/>
                <c:ext xmlns:c16="http://schemas.microsoft.com/office/drawing/2014/chart" uri="{C3380CC4-5D6E-409C-BE32-E72D297353CC}">
                  <c16:uniqueId val="{00000008-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09-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0A-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q11_q13_q15_q17_Fig!$S$30:$AC$30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q11_q13_q15_q17_Fig!$S$31:$AC$31</c:f>
              <c:numCache>
                <c:formatCode>General</c:formatCode>
                <c:ptCount val="11"/>
                <c:pt idx="0">
                  <c:v>807035</c:v>
                </c:pt>
                <c:pt idx="1">
                  <c:v>817718</c:v>
                </c:pt>
                <c:pt idx="2">
                  <c:v>828965</c:v>
                </c:pt>
                <c:pt idx="3">
                  <c:v>840792</c:v>
                </c:pt>
                <c:pt idx="4">
                  <c:v>849655</c:v>
                </c:pt>
                <c:pt idx="5">
                  <c:v>861111</c:v>
                </c:pt>
                <c:pt idx="6">
                  <c:v>845876</c:v>
                </c:pt>
                <c:pt idx="7">
                  <c:v>853076</c:v>
                </c:pt>
                <c:pt idx="8">
                  <c:v>837669</c:v>
                </c:pt>
                <c:pt idx="9">
                  <c:v>873069</c:v>
                </c:pt>
                <c:pt idx="10">
                  <c:v>893226</c:v>
                </c:pt>
              </c:numCache>
            </c:numRef>
          </c:val>
          <c:smooth val="0"/>
          <c:extLst>
            <c:ext xmlns:c16="http://schemas.microsoft.com/office/drawing/2014/chart" uri="{C3380CC4-5D6E-409C-BE32-E72D297353CC}">
              <c16:uniqueId val="{0000000B-E35B-4366-8AB9-607A1685C114}"/>
            </c:ext>
          </c:extLst>
        </c:ser>
        <c:ser>
          <c:idx val="1"/>
          <c:order val="1"/>
          <c:tx>
            <c:strRef>
              <c:f>q11_q13_q15_q17_Fig!$R$32</c:f>
              <c:strCache>
                <c:ptCount val="1"/>
                <c:pt idx="0">
                  <c:v>Pequenos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0D-E35B-4366-8AB9-607A1685C114}"/>
                </c:ext>
              </c:extLst>
            </c:dLbl>
            <c:dLbl>
              <c:idx val="2"/>
              <c:delete val="1"/>
              <c:extLst>
                <c:ext xmlns:c15="http://schemas.microsoft.com/office/drawing/2012/chart" uri="{CE6537A1-D6FC-4f65-9D91-7224C49458BB}"/>
                <c:ext xmlns:c16="http://schemas.microsoft.com/office/drawing/2014/chart" uri="{C3380CC4-5D6E-409C-BE32-E72D297353CC}">
                  <c16:uniqueId val="{0000000E-E35B-4366-8AB9-607A1685C114}"/>
                </c:ext>
              </c:extLst>
            </c:dLbl>
            <c:dLbl>
              <c:idx val="3"/>
              <c:layout>
                <c:manualLayout>
                  <c:x val="-7.5833748629522579E-2"/>
                  <c:y val="-0.19104617782152231"/>
                </c:manualLayout>
              </c:layout>
              <c:tx>
                <c:rich>
                  <a:bodyPr/>
                  <a:lstStyle/>
                  <a:p>
                    <a:fld id="{BE7735F4-BAB8-4FFE-9997-93C135EB11A4}"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10-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11-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12-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13-E35B-4366-8AB9-607A1685C114}"/>
                </c:ext>
              </c:extLst>
            </c:dLbl>
            <c:dLbl>
              <c:idx val="8"/>
              <c:delete val="1"/>
              <c:extLst>
                <c:ext xmlns:c15="http://schemas.microsoft.com/office/drawing/2012/chart" uri="{CE6537A1-D6FC-4f65-9D91-7224C49458BB}"/>
                <c:ext xmlns:c16="http://schemas.microsoft.com/office/drawing/2014/chart" uri="{C3380CC4-5D6E-409C-BE32-E72D297353CC}">
                  <c16:uniqueId val="{00000014-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15-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16-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q11_q13_q15_q17_Fig!$S$30:$AC$30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q11_q13_q15_q17_Fig!$S$32:$AC$32</c:f>
              <c:numCache>
                <c:formatCode>General</c:formatCode>
                <c:ptCount val="11"/>
                <c:pt idx="0">
                  <c:v>754503</c:v>
                </c:pt>
                <c:pt idx="1">
                  <c:v>781002</c:v>
                </c:pt>
                <c:pt idx="2">
                  <c:v>809264</c:v>
                </c:pt>
                <c:pt idx="3">
                  <c:v>838406</c:v>
                </c:pt>
                <c:pt idx="4">
                  <c:v>880167</c:v>
                </c:pt>
                <c:pt idx="5">
                  <c:v>916605</c:v>
                </c:pt>
                <c:pt idx="6">
                  <c:v>936633</c:v>
                </c:pt>
                <c:pt idx="7">
                  <c:v>923119</c:v>
                </c:pt>
                <c:pt idx="8">
                  <c:v>932577</c:v>
                </c:pt>
                <c:pt idx="9">
                  <c:v>1004253</c:v>
                </c:pt>
                <c:pt idx="10">
                  <c:v>1056104</c:v>
                </c:pt>
              </c:numCache>
            </c:numRef>
          </c:val>
          <c:smooth val="0"/>
          <c:extLst>
            <c:ext xmlns:c16="http://schemas.microsoft.com/office/drawing/2014/chart" uri="{C3380CC4-5D6E-409C-BE32-E72D297353CC}">
              <c16:uniqueId val="{00000017-E35B-4366-8AB9-607A1685C114}"/>
            </c:ext>
          </c:extLst>
        </c:ser>
        <c:ser>
          <c:idx val="2"/>
          <c:order val="2"/>
          <c:tx>
            <c:strRef>
              <c:f>q11_q13_q15_q17_Fig!$R$33</c:f>
              <c:strCache>
                <c:ptCount val="1"/>
                <c:pt idx="0">
                  <c:v>Médios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19-E35B-4366-8AB9-607A1685C114}"/>
                </c:ext>
              </c:extLst>
            </c:dLbl>
            <c:dLbl>
              <c:idx val="2"/>
              <c:layout>
                <c:manualLayout>
                  <c:x val="-2.2571514003787579E-2"/>
                  <c:y val="0.13382094816272966"/>
                </c:manualLayout>
              </c:layout>
              <c:tx>
                <c:rich>
                  <a:bodyPr/>
                  <a:lstStyle/>
                  <a:p>
                    <a:fld id="{66688D69-0E74-4700-B821-CD6491C19966}"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E35B-4366-8AB9-607A1685C114}"/>
                </c:ext>
              </c:extLst>
            </c:dLbl>
            <c:dLbl>
              <c:idx val="3"/>
              <c:delete val="1"/>
              <c:extLst>
                <c:ext xmlns:c15="http://schemas.microsoft.com/office/drawing/2012/chart" uri="{CE6537A1-D6FC-4f65-9D91-7224C49458BB}"/>
                <c:ext xmlns:c16="http://schemas.microsoft.com/office/drawing/2014/chart" uri="{C3380CC4-5D6E-409C-BE32-E72D297353CC}">
                  <c16:uniqueId val="{0000001B-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1C-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1D-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1E-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1F-E35B-4366-8AB9-607A1685C114}"/>
                </c:ext>
              </c:extLst>
            </c:dLbl>
            <c:dLbl>
              <c:idx val="8"/>
              <c:delete val="1"/>
              <c:extLst>
                <c:ext xmlns:c15="http://schemas.microsoft.com/office/drawing/2012/chart" uri="{CE6537A1-D6FC-4f65-9D91-7224C49458BB}"/>
                <c:ext xmlns:c16="http://schemas.microsoft.com/office/drawing/2014/chart" uri="{C3380CC4-5D6E-409C-BE32-E72D297353CC}">
                  <c16:uniqueId val="{00000020-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21-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22-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q11_q13_q15_q17_Fig!$S$30:$AC$30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q11_q13_q15_q17_Fig!$S$33:$AC$33</c:f>
              <c:numCache>
                <c:formatCode>General</c:formatCode>
                <c:ptCount val="11"/>
                <c:pt idx="0">
                  <c:v>567809</c:v>
                </c:pt>
                <c:pt idx="1">
                  <c:v>586678</c:v>
                </c:pt>
                <c:pt idx="2">
                  <c:v>606103</c:v>
                </c:pt>
                <c:pt idx="3">
                  <c:v>632612</c:v>
                </c:pt>
                <c:pt idx="4">
                  <c:v>664431</c:v>
                </c:pt>
                <c:pt idx="5">
                  <c:v>700099</c:v>
                </c:pt>
                <c:pt idx="6">
                  <c:v>716788</c:v>
                </c:pt>
                <c:pt idx="7">
                  <c:v>705873</c:v>
                </c:pt>
                <c:pt idx="8">
                  <c:v>724835</c:v>
                </c:pt>
                <c:pt idx="9">
                  <c:v>794196</c:v>
                </c:pt>
                <c:pt idx="10">
                  <c:v>832992</c:v>
                </c:pt>
              </c:numCache>
            </c:numRef>
          </c:val>
          <c:smooth val="0"/>
          <c:extLst>
            <c:ext xmlns:c16="http://schemas.microsoft.com/office/drawing/2014/chart" uri="{C3380CC4-5D6E-409C-BE32-E72D297353CC}">
              <c16:uniqueId val="{00000023-E35B-4366-8AB9-607A1685C114}"/>
            </c:ext>
          </c:extLst>
        </c:ser>
        <c:ser>
          <c:idx val="3"/>
          <c:order val="3"/>
          <c:tx>
            <c:strRef>
              <c:f>q11_q13_q15_q17_Fig!$R$34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25-E35B-4366-8AB9-607A1685C114}"/>
                </c:ext>
              </c:extLst>
            </c:dLbl>
            <c:dLbl>
              <c:idx val="2"/>
              <c:delete val="1"/>
              <c:extLst>
                <c:ext xmlns:c15="http://schemas.microsoft.com/office/drawing/2012/chart" uri="{CE6537A1-D6FC-4f65-9D91-7224C49458BB}"/>
                <c:ext xmlns:c16="http://schemas.microsoft.com/office/drawing/2014/chart" uri="{C3380CC4-5D6E-409C-BE32-E72D297353CC}">
                  <c16:uniqueId val="{00000026-E35B-4366-8AB9-607A1685C114}"/>
                </c:ext>
              </c:extLst>
            </c:dLbl>
            <c:dLbl>
              <c:idx val="3"/>
              <c:delete val="1"/>
              <c:extLst>
                <c:ext xmlns:c15="http://schemas.microsoft.com/office/drawing/2012/chart" uri="{CE6537A1-D6FC-4f65-9D91-7224C49458BB}"/>
                <c:ext xmlns:c16="http://schemas.microsoft.com/office/drawing/2014/chart" uri="{C3380CC4-5D6E-409C-BE32-E72D297353CC}">
                  <c16:uniqueId val="{00000027-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28-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29-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2A-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2B-E35B-4366-8AB9-607A1685C114}"/>
                </c:ext>
              </c:extLst>
            </c:dLbl>
            <c:dLbl>
              <c:idx val="8"/>
              <c:layout>
                <c:manualLayout>
                  <c:x val="-1.9764111764510449E-2"/>
                  <c:y val="0.18162688648293954"/>
                </c:manualLayout>
              </c:layout>
              <c:tx>
                <c:rich>
                  <a:bodyPr/>
                  <a:lstStyle/>
                  <a:p>
                    <a:fld id="{2774078E-33D2-4E65-92A4-30963C09B901}"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2D-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2E-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q11_q13_q15_q17_Fig!$S$30:$AC$30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q11_q13_q15_q17_Fig!$S$34:$AC$34</c:f>
              <c:numCache>
                <c:formatCode>General</c:formatCode>
                <c:ptCount val="11"/>
                <c:pt idx="0">
                  <c:v>424110</c:v>
                </c:pt>
                <c:pt idx="1">
                  <c:v>449091</c:v>
                </c:pt>
                <c:pt idx="2">
                  <c:v>469722</c:v>
                </c:pt>
                <c:pt idx="3">
                  <c:v>506174</c:v>
                </c:pt>
                <c:pt idx="4">
                  <c:v>550734</c:v>
                </c:pt>
                <c:pt idx="5">
                  <c:v>580834</c:v>
                </c:pt>
                <c:pt idx="6">
                  <c:v>609353</c:v>
                </c:pt>
                <c:pt idx="7">
                  <c:v>599925</c:v>
                </c:pt>
                <c:pt idx="8">
                  <c:v>604893</c:v>
                </c:pt>
                <c:pt idx="9">
                  <c:v>663306</c:v>
                </c:pt>
                <c:pt idx="10">
                  <c:v>704887</c:v>
                </c:pt>
              </c:numCache>
            </c:numRef>
          </c:val>
          <c:smooth val="0"/>
          <c:extLst>
            <c:ext xmlns:c16="http://schemas.microsoft.com/office/drawing/2014/chart" uri="{C3380CC4-5D6E-409C-BE32-E72D297353CC}">
              <c16:uniqueId val="{0000002F-E35B-4366-8AB9-607A1685C114}"/>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125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q22_q23_q33_q34_Fig!$AS$4</c:f>
              <c:strCache>
                <c:ptCount val="1"/>
                <c:pt idx="0">
                  <c:v>Remuneração 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0450466947445524E-2"/>
                  <c:y val="1.6252895592257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56-4B41-90AB-F1B52AB911CC}"/>
                </c:ext>
              </c:extLst>
            </c:dLbl>
            <c:dLbl>
              <c:idx val="10"/>
              <c:layout>
                <c:manualLayout>
                  <c:x val="6.5324697316061298E-3"/>
                  <c:y val="9.7795971422014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56-4B41-90AB-F1B52AB911CC}"/>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q22_q23_q33_q34_Fig!$AT$3:$BD$3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q22_q23_q33_q34_Fig!$AT$4:$BD$4</c:f>
              <c:numCache>
                <c:formatCode>.\ \ ##;0000000000000000000000000000000000000000000000000000000000000000000000000000000000000000000000000000000000000000000000000000000000000000000000000000000000000000000000000000</c:formatCode>
                <c:ptCount val="11"/>
                <c:pt idx="0">
                  <c:v>912.18</c:v>
                </c:pt>
                <c:pt idx="1">
                  <c:v>909.49</c:v>
                </c:pt>
                <c:pt idx="2">
                  <c:v>913.93</c:v>
                </c:pt>
                <c:pt idx="3">
                  <c:v>924.94</c:v>
                </c:pt>
                <c:pt idx="4">
                  <c:v>943</c:v>
                </c:pt>
                <c:pt idx="5">
                  <c:v>970.42</c:v>
                </c:pt>
                <c:pt idx="6">
                  <c:v>1005.09</c:v>
                </c:pt>
                <c:pt idx="7">
                  <c:v>1041.99</c:v>
                </c:pt>
                <c:pt idx="8">
                  <c:v>1082.77</c:v>
                </c:pt>
                <c:pt idx="9">
                  <c:v>1143.45</c:v>
                </c:pt>
                <c:pt idx="10">
                  <c:v>1219.8699999999999</c:v>
                </c:pt>
              </c:numCache>
            </c:numRef>
          </c:val>
          <c:extLst>
            <c:ext xmlns:c16="http://schemas.microsoft.com/office/drawing/2014/chart" uri="{C3380CC4-5D6E-409C-BE32-E72D297353CC}">
              <c16:uniqueId val="{00000002-B756-4B41-90AB-F1B52AB911CC}"/>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q22_q23_q33_q34_Fig!$AS$5</c:f>
              <c:strCache>
                <c:ptCount val="1"/>
                <c:pt idx="0">
                  <c:v>Remuneração 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3-B756-4B41-90AB-F1B52AB911CC}"/>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B756-4B41-90AB-F1B52AB911CC}"/>
              </c:ext>
            </c:extLst>
          </c:dPt>
          <c:dLbls>
            <c:dLbl>
              <c:idx val="0"/>
              <c:layout>
                <c:manualLayout>
                  <c:x val="2.1333290999915332E-2"/>
                  <c:y val="-8.8016374279813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56-4B41-90AB-F1B52AB911CC}"/>
                </c:ext>
              </c:extLst>
            </c:dLbl>
            <c:dLbl>
              <c:idx val="10"/>
              <c:layout>
                <c:manualLayout>
                  <c:x val="5.0125355442092786E-3"/>
                  <c:y val="-3.6456068735581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56-4B41-90AB-F1B52AB911CC}"/>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q22_q23_q33_q34_Fig!$AT$3:$BD$3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q22_q23_q33_q34_Fig!$AT$5:$BD$5</c:f>
              <c:numCache>
                <c:formatCode>.\ \ ##;0000000000000000000000000000000000000000000000000000000000000000000000000000000000000000000000000000000000000000000000000000000000000000000000000000000000000000000000000000000000000000000000000000000000000000000000000000000000000000000000000000</c:formatCode>
                <c:ptCount val="11"/>
                <c:pt idx="0">
                  <c:v>1093.82</c:v>
                </c:pt>
                <c:pt idx="1">
                  <c:v>1093.21</c:v>
                </c:pt>
                <c:pt idx="2">
                  <c:v>1096.6600000000001</c:v>
                </c:pt>
                <c:pt idx="3">
                  <c:v>1107.8599999999999</c:v>
                </c:pt>
                <c:pt idx="4">
                  <c:v>1133.3399999999999</c:v>
                </c:pt>
                <c:pt idx="5">
                  <c:v>1170.25</c:v>
                </c:pt>
                <c:pt idx="6">
                  <c:v>1209.94</c:v>
                </c:pt>
                <c:pt idx="7">
                  <c:v>1250.75</c:v>
                </c:pt>
                <c:pt idx="8">
                  <c:v>1294.1099999999999</c:v>
                </c:pt>
                <c:pt idx="9">
                  <c:v>1368</c:v>
                </c:pt>
                <c:pt idx="10">
                  <c:v>1466.66</c:v>
                </c:pt>
              </c:numCache>
            </c:numRef>
          </c:val>
          <c:smooth val="0"/>
          <c:extLst>
            <c:ext xmlns:c16="http://schemas.microsoft.com/office/drawing/2014/chart" uri="{C3380CC4-5D6E-409C-BE32-E72D297353CC}">
              <c16:uniqueId val="{00000006-B756-4B41-90AB-F1B52AB911CC}"/>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6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200"/>
      </c:valAx>
      <c:spPr>
        <a:noFill/>
        <a:ln>
          <a:noFill/>
        </a:ln>
        <a:effectLst/>
      </c:spPr>
    </c:plotArea>
    <c:legend>
      <c:legendPos val="b"/>
      <c:layout>
        <c:manualLayout>
          <c:xMode val="edge"/>
          <c:yMode val="edge"/>
          <c:x val="0"/>
          <c:y val="0.90565922955255651"/>
          <c:w val="0.64269409872153083"/>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q11_q13_q15_q17_Fig!$AS$4</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1633263966213881E-2"/>
                  <c:y val="-8.04259153830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B9-448C-8274-62D038DE3BE5}"/>
                </c:ext>
              </c:extLst>
            </c:dLbl>
            <c:dLbl>
              <c:idx val="10"/>
              <c:layout>
                <c:manualLayout>
                  <c:x val="5.5720542022900242E-2"/>
                  <c:y val="-8.0425915383071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B9-448C-8274-62D038DE3BE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q11_q13_q15_q17_Fig!$AT$3:$BD$3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q11_q13_q15_q17_Fig!$AT$4:$BD$4</c:f>
              <c:numCache>
                <c:formatCode>#\ ###\ ##0</c:formatCode>
                <c:ptCount val="11"/>
                <c:pt idx="0">
                  <c:v>2555676</c:v>
                </c:pt>
                <c:pt idx="1">
                  <c:v>2636881</c:v>
                </c:pt>
                <c:pt idx="2">
                  <c:v>2716011</c:v>
                </c:pt>
                <c:pt idx="3">
                  <c:v>2819978</c:v>
                </c:pt>
                <c:pt idx="4">
                  <c:v>2946903</c:v>
                </c:pt>
                <c:pt idx="5">
                  <c:v>3060489</c:v>
                </c:pt>
                <c:pt idx="6">
                  <c:v>3110949</c:v>
                </c:pt>
                <c:pt idx="7">
                  <c:v>3085566</c:v>
                </c:pt>
                <c:pt idx="8">
                  <c:v>3102345</c:v>
                </c:pt>
                <c:pt idx="9">
                  <c:v>3337082</c:v>
                </c:pt>
                <c:pt idx="10">
                  <c:v>3489583</c:v>
                </c:pt>
              </c:numCache>
            </c:numRef>
          </c:val>
          <c:extLst>
            <c:ext xmlns:c16="http://schemas.microsoft.com/office/drawing/2014/chart" uri="{C3380CC4-5D6E-409C-BE32-E72D297353CC}">
              <c16:uniqueId val="{00000002-CFB9-448C-8274-62D038DE3BE5}"/>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q11_q13_q15_q17_Fig!$AS$5</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CFB9-448C-8274-62D038DE3BE5}"/>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CFB9-448C-8274-62D038DE3BE5}"/>
              </c:ext>
            </c:extLst>
          </c:dPt>
          <c:dLbls>
            <c:dLbl>
              <c:idx val="0"/>
              <c:layout>
                <c:manualLayout>
                  <c:x val="4.5508842286244036E-2"/>
                  <c:y val="-5.029475196378843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C000"/>
                      </a:solidFill>
                      <a:latin typeface="+mn-lt"/>
                      <a:ea typeface="+mn-ea"/>
                      <a:cs typeface="+mn-cs"/>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15235967373628478"/>
                      <c:h val="5.2349626592401534E-2"/>
                    </c:manualLayout>
                  </c15:layout>
                </c:ext>
                <c:ext xmlns:c16="http://schemas.microsoft.com/office/drawing/2014/chart" uri="{C3380CC4-5D6E-409C-BE32-E72D297353CC}">
                  <c16:uniqueId val="{00000003-CFB9-448C-8274-62D038DE3BE5}"/>
                </c:ext>
              </c:extLst>
            </c:dLbl>
            <c:dLbl>
              <c:idx val="10"/>
              <c:layout>
                <c:manualLayout>
                  <c:x val="1.318458355744118E-2"/>
                  <c:y val="-1.0969271600849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B9-448C-8274-62D038DE3BE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q11_q13_q15_q17_Fig!$AT$3:$BD$3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q11_q13_q15_q17_Fig!$AT$5:$BD$5</c:f>
              <c:numCache>
                <c:formatCode>#\ ###\ ##0</c:formatCode>
                <c:ptCount val="11"/>
                <c:pt idx="0">
                  <c:v>2384121</c:v>
                </c:pt>
                <c:pt idx="1">
                  <c:v>2458163</c:v>
                </c:pt>
                <c:pt idx="2">
                  <c:v>2537653</c:v>
                </c:pt>
                <c:pt idx="3">
                  <c:v>2641919</c:v>
                </c:pt>
                <c:pt idx="4">
                  <c:v>2767521</c:v>
                </c:pt>
                <c:pt idx="5">
                  <c:v>2877918</c:v>
                </c:pt>
                <c:pt idx="6">
                  <c:v>2930482</c:v>
                </c:pt>
                <c:pt idx="7">
                  <c:v>2902825</c:v>
                </c:pt>
                <c:pt idx="8">
                  <c:v>2922343</c:v>
                </c:pt>
                <c:pt idx="9">
                  <c:v>3148147</c:v>
                </c:pt>
                <c:pt idx="10">
                  <c:v>3296134</c:v>
                </c:pt>
              </c:numCache>
            </c:numRef>
          </c:val>
          <c:smooth val="0"/>
          <c:extLst>
            <c:ext xmlns:c16="http://schemas.microsoft.com/office/drawing/2014/chart" uri="{C3380CC4-5D6E-409C-BE32-E72D297353CC}">
              <c16:uniqueId val="{00000006-CFB9-448C-8274-62D038DE3BE5}"/>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3600000"/>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400000"/>
      </c:valAx>
      <c:spPr>
        <a:noFill/>
        <a:ln>
          <a:noFill/>
        </a:ln>
        <a:effectLst/>
      </c:spPr>
    </c:plotArea>
    <c:legend>
      <c:legendPos val="b"/>
      <c:layout>
        <c:manualLayout>
          <c:xMode val="edge"/>
          <c:yMode val="edge"/>
          <c:x val="1.3975067550970277E-2"/>
          <c:y val="0.87446938131313134"/>
          <c:w val="0.56198825022516985"/>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015773028371451"/>
          <c:y val="0.22899703122140164"/>
          <c:w val="0.56635020622422194"/>
          <c:h val="0.77100296877859842"/>
        </c:manualLayout>
      </c:layout>
      <c:barChart>
        <c:barDir val="bar"/>
        <c:grouping val="clustered"/>
        <c:varyColors val="0"/>
        <c:ser>
          <c:idx val="0"/>
          <c:order val="0"/>
          <c:tx>
            <c:strRef>
              <c:f>q22_q23_q33_q34_Fig!$BM$20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q22_q23_q33_q34_Fig!$BL$21:$BL$24</c:f>
              <c:strCache>
                <c:ptCount val="4"/>
                <c:pt idx="0">
                  <c:v>Micro (1-9 pessoas)</c:v>
                </c:pt>
                <c:pt idx="1">
                  <c:v>Pequenos (10 - 49 pessoas)</c:v>
                </c:pt>
                <c:pt idx="2">
                  <c:v>Médios (50 - 249 pessoas)</c:v>
                </c:pt>
                <c:pt idx="3">
                  <c:v>Grandes (250 ou + pessoas)</c:v>
                </c:pt>
              </c:strCache>
            </c:strRef>
          </c:cat>
          <c:val>
            <c:numRef>
              <c:f>q22_q23_q33_q34_Fig!$BM$21:$BM$24</c:f>
              <c:numCache>
                <c:formatCode>#,##0.00\ "€"</c:formatCode>
                <c:ptCount val="4"/>
                <c:pt idx="0">
                  <c:v>-1048.4036983919893</c:v>
                </c:pt>
                <c:pt idx="1">
                  <c:v>-1203.2959203772139</c:v>
                </c:pt>
                <c:pt idx="2">
                  <c:v>-1420.8742406930719</c:v>
                </c:pt>
                <c:pt idx="3">
                  <c:v>-1560.0132030190657</c:v>
                </c:pt>
              </c:numCache>
            </c:numRef>
          </c:val>
          <c:extLst>
            <c:ext xmlns:c16="http://schemas.microsoft.com/office/drawing/2014/chart" uri="{C3380CC4-5D6E-409C-BE32-E72D297353CC}">
              <c16:uniqueId val="{00000000-B1D9-4032-B25D-A6BBC0F36310}"/>
            </c:ext>
          </c:extLst>
        </c:ser>
        <c:ser>
          <c:idx val="1"/>
          <c:order val="1"/>
          <c:tx>
            <c:strRef>
              <c:f>q22_q23_q33_q34_Fig!$BN$20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q22_q23_q33_q34_Fig!$BL$21:$BL$24</c:f>
              <c:strCache>
                <c:ptCount val="4"/>
                <c:pt idx="0">
                  <c:v>Micro (1-9 pessoas)</c:v>
                </c:pt>
                <c:pt idx="1">
                  <c:v>Pequenos (10 - 49 pessoas)</c:v>
                </c:pt>
                <c:pt idx="2">
                  <c:v>Médios (50 - 249 pessoas)</c:v>
                </c:pt>
                <c:pt idx="3">
                  <c:v>Grandes (250 ou + pessoas)</c:v>
                </c:pt>
              </c:strCache>
            </c:strRef>
          </c:cat>
          <c:val>
            <c:numRef>
              <c:f>q22_q23_q33_q34_Fig!$BN$21:$BN$24</c:f>
              <c:numCache>
                <c:formatCode>#,##0.00\ "€"</c:formatCode>
                <c:ptCount val="4"/>
                <c:pt idx="0">
                  <c:v>-1220.6117495025931</c:v>
                </c:pt>
                <c:pt idx="1">
                  <c:v>-1447.1910944802858</c:v>
                </c:pt>
                <c:pt idx="2">
                  <c:v>-1750.9927369332383</c:v>
                </c:pt>
                <c:pt idx="3">
                  <c:v>-1974.5494799041089</c:v>
                </c:pt>
              </c:numCache>
            </c:numRef>
          </c:val>
          <c:extLst>
            <c:ext xmlns:c16="http://schemas.microsoft.com/office/drawing/2014/chart" uri="{C3380CC4-5D6E-409C-BE32-E72D297353CC}">
              <c16:uniqueId val="{00000001-B1D9-4032-B25D-A6BBC0F36310}"/>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q22_q23_q33_q34_Fig!$BO$20</c:f>
              <c:strCache>
                <c:ptCount val="1"/>
                <c:pt idx="0">
                  <c:v>Base - M</c:v>
                </c:pt>
              </c:strCache>
            </c:strRef>
          </c:tx>
          <c:spPr>
            <a:solidFill>
              <a:srgbClr val="95B3D7"/>
            </a:solidFill>
          </c:spPr>
          <c:invertIfNegative val="0"/>
          <c:dLbls>
            <c:spPr>
              <a:noFill/>
              <a:ln>
                <a:noFill/>
              </a:ln>
              <a:effectLst/>
            </c:spPr>
            <c:txPr>
              <a:bodyPr wrap="squar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q22_q23_q33_q34_Fig!$BL$21:$BL$24</c:f>
              <c:strCache>
                <c:ptCount val="4"/>
                <c:pt idx="0">
                  <c:v>Micro (1-9 pessoas)</c:v>
                </c:pt>
                <c:pt idx="1">
                  <c:v>Pequenos (10 - 49 pessoas)</c:v>
                </c:pt>
                <c:pt idx="2">
                  <c:v>Médios (50 - 249 pessoas)</c:v>
                </c:pt>
                <c:pt idx="3">
                  <c:v>Grandes (250 ou + pessoas)</c:v>
                </c:pt>
              </c:strCache>
            </c:strRef>
          </c:cat>
          <c:val>
            <c:numRef>
              <c:f>q22_q23_q33_q34_Fig!$BO$21:$BO$24</c:f>
              <c:numCache>
                <c:formatCode>#,##0.00\ "€"</c:formatCode>
                <c:ptCount val="4"/>
                <c:pt idx="0">
                  <c:v>967.10662709454243</c:v>
                </c:pt>
                <c:pt idx="1">
                  <c:v>1066.3572698810815</c:v>
                </c:pt>
                <c:pt idx="2">
                  <c:v>1212.2071847863967</c:v>
                </c:pt>
                <c:pt idx="3">
                  <c:v>1331.3685229934149</c:v>
                </c:pt>
              </c:numCache>
            </c:numRef>
          </c:val>
          <c:extLst>
            <c:ext xmlns:c16="http://schemas.microsoft.com/office/drawing/2014/chart" uri="{C3380CC4-5D6E-409C-BE32-E72D297353CC}">
              <c16:uniqueId val="{00000002-B1D9-4032-B25D-A6BBC0F36310}"/>
            </c:ext>
          </c:extLst>
        </c:ser>
        <c:ser>
          <c:idx val="3"/>
          <c:order val="3"/>
          <c:tx>
            <c:strRef>
              <c:f>q22_q23_q33_q34_Fig!$BP$20</c:f>
              <c:strCache>
                <c:ptCount val="1"/>
                <c:pt idx="0">
                  <c:v>Ganho - M</c:v>
                </c:pt>
              </c:strCache>
            </c:strRef>
          </c:tx>
          <c:spPr>
            <a:solidFill>
              <a:srgbClr val="FFEF57"/>
            </a:solidFill>
          </c:spPr>
          <c:invertIfNegative val="0"/>
          <c:dLbls>
            <c:spPr>
              <a:noFill/>
              <a:ln>
                <a:noFill/>
              </a:ln>
              <a:effectLst/>
            </c:spPr>
            <c:txPr>
              <a:bodyPr wrap="squar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q22_q23_q33_q34_Fig!$BL$21:$BL$24</c:f>
              <c:strCache>
                <c:ptCount val="4"/>
                <c:pt idx="0">
                  <c:v>Micro (1-9 pessoas)</c:v>
                </c:pt>
                <c:pt idx="1">
                  <c:v>Pequenos (10 - 49 pessoas)</c:v>
                </c:pt>
                <c:pt idx="2">
                  <c:v>Médios (50 - 249 pessoas)</c:v>
                </c:pt>
                <c:pt idx="3">
                  <c:v>Grandes (250 ou + pessoas)</c:v>
                </c:pt>
              </c:strCache>
            </c:strRef>
          </c:cat>
          <c:val>
            <c:numRef>
              <c:f>q22_q23_q33_q34_Fig!$BP$21:$BP$24</c:f>
              <c:numCache>
                <c:formatCode>#,##0.00\ "€"</c:formatCode>
                <c:ptCount val="4"/>
                <c:pt idx="0">
                  <c:v>1117.7872750956135</c:v>
                </c:pt>
                <c:pt idx="1">
                  <c:v>1241.2143027982343</c:v>
                </c:pt>
                <c:pt idx="2">
                  <c:v>1432.6643783216682</c:v>
                </c:pt>
                <c:pt idx="3">
                  <c:v>1619.94035484345</c:v>
                </c:pt>
              </c:numCache>
            </c:numRef>
          </c:val>
          <c:extLst>
            <c:ext xmlns:c16="http://schemas.microsoft.com/office/drawing/2014/chart" uri="{C3380CC4-5D6E-409C-BE32-E72D297353CC}">
              <c16:uniqueId val="{00000003-B1D9-4032-B25D-A6BBC0F36310}"/>
            </c:ext>
          </c:extLst>
        </c:ser>
        <c:dLbls>
          <c:showLegendKey val="0"/>
          <c:showVal val="0"/>
          <c:showCatName val="0"/>
          <c:showSerName val="0"/>
          <c:showPercent val="0"/>
          <c:showBubbleSize val="0"/>
        </c:dLbls>
        <c:gapWidth val="42"/>
        <c:axId val="1450336576"/>
        <c:axId val="1128689328"/>
      </c:barChart>
      <c:catAx>
        <c:axId val="1261817855"/>
        <c:scaling>
          <c:orientation val="maxMin"/>
        </c:scaling>
        <c:delete val="0"/>
        <c:axPos val="l"/>
        <c:majorGridlines>
          <c:spPr>
            <a:ln>
              <a:solidFill>
                <a:srgbClr val="D9D9D9"/>
              </a:solidFill>
            </a:ln>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2000"/>
          <c:min val="-2000"/>
        </c:scaling>
        <c:delete val="1"/>
        <c:axPos val="t"/>
        <c:numFmt formatCode="#,##0;#,##0" sourceLinked="0"/>
        <c:majorTickMark val="out"/>
        <c:minorTickMark val="none"/>
        <c:tickLblPos val="nextTo"/>
        <c:crossAx val="1261817855"/>
        <c:crosses val="autoZero"/>
        <c:crossBetween val="between"/>
        <c:majorUnit val="200"/>
      </c:valAx>
      <c:valAx>
        <c:axId val="1128689328"/>
        <c:scaling>
          <c:orientation val="minMax"/>
        </c:scaling>
        <c:delete val="1"/>
        <c:axPos val="b"/>
        <c:numFmt formatCode="#,##0.00\ &quot;€&quot;" sourceLinked="1"/>
        <c:majorTickMark val="out"/>
        <c:minorTickMark val="none"/>
        <c:tickLblPos val="nextTo"/>
        <c:crossAx val="1450336576"/>
        <c:crosses val="max"/>
        <c:crossBetween val="between"/>
      </c:valAx>
      <c:catAx>
        <c:axId val="1450336576"/>
        <c:scaling>
          <c:orientation val="maxMin"/>
        </c:scaling>
        <c:delete val="1"/>
        <c:axPos val="r"/>
        <c:numFmt formatCode="General" sourceLinked="1"/>
        <c:majorTickMark val="out"/>
        <c:minorTickMark val="none"/>
        <c:tickLblPos val="nextTo"/>
        <c:crossAx val="1128689328"/>
        <c:crosses val="max"/>
        <c:auto val="1"/>
        <c:lblAlgn val="ctr"/>
        <c:lblOffset val="100"/>
        <c:noMultiLvlLbl val="0"/>
      </c:catAx>
      <c:spPr>
        <a:noFill/>
        <a:ln>
          <a:noFill/>
        </a:ln>
        <a:effectLst/>
      </c:spPr>
    </c:plotArea>
    <c:legend>
      <c:legendPos val="t"/>
      <c:layout>
        <c:manualLayout>
          <c:xMode val="edge"/>
          <c:yMode val="edge"/>
          <c:x val="6.0333417610469058E-2"/>
          <c:y val="1.385837479029243E-2"/>
          <c:w val="0.89849809005671954"/>
          <c:h val="9.06114483239666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q22_q23_q33_q34_Fig!$AS$4</c:f>
              <c:strCache>
                <c:ptCount val="1"/>
                <c:pt idx="0">
                  <c:v>Remuneração 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0450466947445524E-2"/>
                  <c:y val="1.6252895592257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29-4E51-B316-FA31BD9CA197}"/>
                </c:ext>
              </c:extLst>
            </c:dLbl>
            <c:dLbl>
              <c:idx val="10"/>
              <c:layout>
                <c:manualLayout>
                  <c:x val="6.5324697316061298E-3"/>
                  <c:y val="9.7795971422014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29-4E51-B316-FA31BD9CA19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q22_q23_q33_q34_Fig!$AT$3:$BD$3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q22_q23_q33_q34_Fig!$AT$4:$BD$4</c:f>
              <c:numCache>
                <c:formatCode>.\ \ ##;0000000000000000000000000000000000000000000000000000000000000000000000000000000000000000000000000000000000000000000000000000000000000000000000000000000000000000000000000000</c:formatCode>
                <c:ptCount val="11"/>
                <c:pt idx="0">
                  <c:v>912.18</c:v>
                </c:pt>
                <c:pt idx="1">
                  <c:v>909.49</c:v>
                </c:pt>
                <c:pt idx="2">
                  <c:v>913.93</c:v>
                </c:pt>
                <c:pt idx="3">
                  <c:v>924.94</c:v>
                </c:pt>
                <c:pt idx="4">
                  <c:v>943</c:v>
                </c:pt>
                <c:pt idx="5">
                  <c:v>970.42</c:v>
                </c:pt>
                <c:pt idx="6">
                  <c:v>1005.09</c:v>
                </c:pt>
                <c:pt idx="7">
                  <c:v>1041.99</c:v>
                </c:pt>
                <c:pt idx="8">
                  <c:v>1082.77</c:v>
                </c:pt>
                <c:pt idx="9">
                  <c:v>1143.45</c:v>
                </c:pt>
                <c:pt idx="10">
                  <c:v>1219.8699999999999</c:v>
                </c:pt>
              </c:numCache>
            </c:numRef>
          </c:val>
          <c:extLst>
            <c:ext xmlns:c16="http://schemas.microsoft.com/office/drawing/2014/chart" uri="{C3380CC4-5D6E-409C-BE32-E72D297353CC}">
              <c16:uniqueId val="{00000002-9B29-4E51-B316-FA31BD9CA19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q22_q23_q33_q34_Fig!$AS$5</c:f>
              <c:strCache>
                <c:ptCount val="1"/>
                <c:pt idx="0">
                  <c:v>Remuneração 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9B29-4E51-B316-FA31BD9CA19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9B29-4E51-B316-FA31BD9CA197}"/>
              </c:ext>
            </c:extLst>
          </c:dPt>
          <c:dLbls>
            <c:dLbl>
              <c:idx val="0"/>
              <c:layout>
                <c:manualLayout>
                  <c:x val="2.1333290999915332E-2"/>
                  <c:y val="-8.8016374279813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29-4E51-B316-FA31BD9CA197}"/>
                </c:ext>
              </c:extLst>
            </c:dLbl>
            <c:dLbl>
              <c:idx val="10"/>
              <c:layout>
                <c:manualLayout>
                  <c:x val="8.064516129032159E-3"/>
                  <c:y val="-5.8677582853209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29-4E51-B316-FA31BD9CA19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q22_q23_q33_q34_Fig!$AT$3:$BD$3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q22_q23_q33_q34_Fig!$AT$5:$BD$5</c:f>
              <c:numCache>
                <c:formatCode>.\ \ ##;0000000000000000000000000000000000000000000000000000000000000000000000000000000000000000000000000000000000000000000000000000000000000000000000000000000000000000000000000000000000000000000000000000000000000000000000000000000000000000000000000000</c:formatCode>
                <c:ptCount val="11"/>
                <c:pt idx="0">
                  <c:v>1093.82</c:v>
                </c:pt>
                <c:pt idx="1">
                  <c:v>1093.21</c:v>
                </c:pt>
                <c:pt idx="2">
                  <c:v>1096.6600000000001</c:v>
                </c:pt>
                <c:pt idx="3">
                  <c:v>1107.8599999999999</c:v>
                </c:pt>
                <c:pt idx="4">
                  <c:v>1133.3399999999999</c:v>
                </c:pt>
                <c:pt idx="5">
                  <c:v>1170.25</c:v>
                </c:pt>
                <c:pt idx="6">
                  <c:v>1209.94</c:v>
                </c:pt>
                <c:pt idx="7">
                  <c:v>1250.75</c:v>
                </c:pt>
                <c:pt idx="8">
                  <c:v>1294.1099999999999</c:v>
                </c:pt>
                <c:pt idx="9">
                  <c:v>1368</c:v>
                </c:pt>
                <c:pt idx="10">
                  <c:v>1466.66</c:v>
                </c:pt>
              </c:numCache>
            </c:numRef>
          </c:val>
          <c:smooth val="0"/>
          <c:extLst>
            <c:ext xmlns:c16="http://schemas.microsoft.com/office/drawing/2014/chart" uri="{C3380CC4-5D6E-409C-BE32-E72D297353CC}">
              <c16:uniqueId val="{00000006-9B29-4E51-B316-FA31BD9CA19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6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200"/>
      </c:valAx>
      <c:spPr>
        <a:noFill/>
        <a:ln>
          <a:noFill/>
        </a:ln>
        <a:effectLst/>
      </c:spPr>
    </c:plotArea>
    <c:legend>
      <c:legendPos val="b"/>
      <c:layout>
        <c:manualLayout>
          <c:xMode val="edge"/>
          <c:yMode val="edge"/>
          <c:x val="0"/>
          <c:y val="0.90565922955255651"/>
          <c:w val="0.64269409872153083"/>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02415867900997E-2"/>
          <c:y val="0.18472812943831005"/>
          <c:w val="0.80869505356964055"/>
          <c:h val="0.58657484618386491"/>
        </c:manualLayout>
      </c:layout>
      <c:lineChart>
        <c:grouping val="standard"/>
        <c:varyColors val="0"/>
        <c:ser>
          <c:idx val="0"/>
          <c:order val="0"/>
          <c:tx>
            <c:strRef>
              <c:f>q22_q23_q33_q34_Fig!$R$51</c:f>
              <c:strCache>
                <c:ptCount val="1"/>
                <c:pt idx="0">
                  <c:v>Micro (1-9 pessoas)</c:v>
                </c:pt>
              </c:strCache>
            </c:strRef>
          </c:tx>
          <c:spPr>
            <a:ln w="31750" cap="rnd">
              <a:solidFill>
                <a:srgbClr val="3C1692"/>
              </a:solidFill>
              <a:round/>
            </a:ln>
            <a:effectLst/>
          </c:spPr>
          <c:marker>
            <c:symbol val="circle"/>
            <c:size val="6"/>
            <c:spPr>
              <a:solidFill>
                <a:srgbClr val="3C1692"/>
              </a:solidFill>
              <a:ln w="9525">
                <a:noFill/>
              </a:ln>
              <a:effectLst/>
            </c:spPr>
          </c:marker>
          <c:cat>
            <c:numRef>
              <c:f>q22_q23_q33_q34_Fig!$S$50:$AC$50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q22_q23_q33_q34_Fig!$S$51:$AC$51</c:f>
              <c:numCache>
                <c:formatCode>0.00</c:formatCode>
                <c:ptCount val="11"/>
                <c:pt idx="0">
                  <c:v>740.80722276499034</c:v>
                </c:pt>
                <c:pt idx="1">
                  <c:v>743.19113619248822</c:v>
                </c:pt>
                <c:pt idx="2">
                  <c:v>741.71968305936059</c:v>
                </c:pt>
                <c:pt idx="3">
                  <c:v>755.98808308311857</c:v>
                </c:pt>
                <c:pt idx="4">
                  <c:v>774.551634099073</c:v>
                </c:pt>
                <c:pt idx="5">
                  <c:v>798.39258672727499</c:v>
                </c:pt>
                <c:pt idx="6">
                  <c:v>825.36077956196084</c:v>
                </c:pt>
                <c:pt idx="7">
                  <c:v>862.12957930096923</c:v>
                </c:pt>
                <c:pt idx="8">
                  <c:v>897.65930575521782</c:v>
                </c:pt>
                <c:pt idx="9">
                  <c:v>944.24536654484882</c:v>
                </c:pt>
                <c:pt idx="10">
                  <c:v>1009.8670580294119</c:v>
                </c:pt>
              </c:numCache>
            </c:numRef>
          </c:val>
          <c:smooth val="0"/>
          <c:extLst>
            <c:ext xmlns:c16="http://schemas.microsoft.com/office/drawing/2014/chart" uri="{C3380CC4-5D6E-409C-BE32-E72D297353CC}">
              <c16:uniqueId val="{00000000-3F95-4C7F-A2CA-9CCFAEEEFF24}"/>
            </c:ext>
          </c:extLst>
        </c:ser>
        <c:ser>
          <c:idx val="1"/>
          <c:order val="1"/>
          <c:tx>
            <c:strRef>
              <c:f>q22_q23_q33_q34_Fig!$R$52</c:f>
              <c:strCache>
                <c:ptCount val="1"/>
                <c:pt idx="0">
                  <c:v>Pequenos (10 - 49 pessoas)</c:v>
                </c:pt>
              </c:strCache>
            </c:strRef>
          </c:tx>
          <c:spPr>
            <a:ln w="31750" cap="rnd">
              <a:solidFill>
                <a:srgbClr val="1403EB"/>
              </a:solidFill>
              <a:round/>
            </a:ln>
            <a:effectLst/>
          </c:spPr>
          <c:marker>
            <c:symbol val="circle"/>
            <c:size val="6"/>
            <c:spPr>
              <a:solidFill>
                <a:srgbClr val="1403EB"/>
              </a:solidFill>
              <a:ln w="9525">
                <a:noFill/>
              </a:ln>
              <a:effectLst/>
            </c:spPr>
          </c:marker>
          <c:cat>
            <c:numRef>
              <c:f>q22_q23_q33_q34_Fig!$S$50:$AC$50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q22_q23_q33_q34_Fig!$S$52:$AC$52</c:f>
              <c:numCache>
                <c:formatCode>0.00</c:formatCode>
                <c:ptCount val="11"/>
                <c:pt idx="0">
                  <c:v>880.69786368326982</c:v>
                </c:pt>
                <c:pt idx="1">
                  <c:v>875.52959350590538</c:v>
                </c:pt>
                <c:pt idx="2">
                  <c:v>876.0788141175874</c:v>
                </c:pt>
                <c:pt idx="3">
                  <c:v>882.80315502771225</c:v>
                </c:pt>
                <c:pt idx="4">
                  <c:v>896.47188013348352</c:v>
                </c:pt>
                <c:pt idx="5">
                  <c:v>919.58377816170105</c:v>
                </c:pt>
                <c:pt idx="6">
                  <c:v>948.35723341606092</c:v>
                </c:pt>
                <c:pt idx="7">
                  <c:v>989.62583120930185</c:v>
                </c:pt>
                <c:pt idx="8">
                  <c:v>1024.3179987335309</c:v>
                </c:pt>
                <c:pt idx="9">
                  <c:v>1070.1140484709949</c:v>
                </c:pt>
                <c:pt idx="10">
                  <c:v>1142.8913276103731</c:v>
                </c:pt>
              </c:numCache>
            </c:numRef>
          </c:val>
          <c:smooth val="0"/>
          <c:extLst>
            <c:ext xmlns:c16="http://schemas.microsoft.com/office/drawing/2014/chart" uri="{C3380CC4-5D6E-409C-BE32-E72D297353CC}">
              <c16:uniqueId val="{00000001-3F95-4C7F-A2CA-9CCFAEEEFF24}"/>
            </c:ext>
          </c:extLst>
        </c:ser>
        <c:ser>
          <c:idx val="2"/>
          <c:order val="2"/>
          <c:tx>
            <c:strRef>
              <c:f>q22_q23_q33_q34_Fig!$R$53</c:f>
              <c:strCache>
                <c:ptCount val="1"/>
                <c:pt idx="0">
                  <c:v>Médios (50 - 249 pessoas)</c:v>
                </c:pt>
              </c:strCache>
            </c:strRef>
          </c:tx>
          <c:spPr>
            <a:ln w="31750" cap="rnd">
              <a:solidFill>
                <a:srgbClr val="558ED5"/>
              </a:solidFill>
              <a:round/>
            </a:ln>
            <a:effectLst/>
          </c:spPr>
          <c:marker>
            <c:symbol val="circle"/>
            <c:size val="6"/>
            <c:spPr>
              <a:solidFill>
                <a:srgbClr val="558ED5"/>
              </a:solidFill>
              <a:ln w="9525">
                <a:noFill/>
              </a:ln>
              <a:effectLst/>
            </c:spPr>
          </c:marker>
          <c:cat>
            <c:numRef>
              <c:f>q22_q23_q33_q34_Fig!$S$50:$AC$50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q22_q23_q33_q34_Fig!$S$53:$AC$53</c:f>
              <c:numCache>
                <c:formatCode>0.00</c:formatCode>
                <c:ptCount val="11"/>
                <c:pt idx="0">
                  <c:v>1042.7241302887844</c:v>
                </c:pt>
                <c:pt idx="1">
                  <c:v>1033.4461606501941</c:v>
                </c:pt>
                <c:pt idx="2">
                  <c:v>1043.9959921222624</c:v>
                </c:pt>
                <c:pt idx="3">
                  <c:v>1048.902928961483</c:v>
                </c:pt>
                <c:pt idx="4">
                  <c:v>1063.220773497256</c:v>
                </c:pt>
                <c:pt idx="5">
                  <c:v>1090.6268046005355</c:v>
                </c:pt>
                <c:pt idx="6">
                  <c:v>1118.9973528196042</c:v>
                </c:pt>
                <c:pt idx="7">
                  <c:v>1164.7330778705377</c:v>
                </c:pt>
                <c:pt idx="8">
                  <c:v>1194.2590116124848</c:v>
                </c:pt>
                <c:pt idx="9">
                  <c:v>1252.173361437704</c:v>
                </c:pt>
                <c:pt idx="10">
                  <c:v>1328.2894579954093</c:v>
                </c:pt>
              </c:numCache>
            </c:numRef>
          </c:val>
          <c:smooth val="0"/>
          <c:extLst>
            <c:ext xmlns:c16="http://schemas.microsoft.com/office/drawing/2014/chart" uri="{C3380CC4-5D6E-409C-BE32-E72D297353CC}">
              <c16:uniqueId val="{00000002-3F95-4C7F-A2CA-9CCFAEEEFF24}"/>
            </c:ext>
          </c:extLst>
        </c:ser>
        <c:ser>
          <c:idx val="3"/>
          <c:order val="3"/>
          <c:tx>
            <c:strRef>
              <c:f>q22_q23_q33_q34_Fig!$R$54</c:f>
              <c:strCache>
                <c:ptCount val="1"/>
                <c:pt idx="0">
                  <c:v>Grandes (250 ou + pessoas)</c:v>
                </c:pt>
              </c:strCache>
            </c:strRef>
          </c:tx>
          <c:spPr>
            <a:ln w="31750" cap="rnd">
              <a:solidFill>
                <a:srgbClr val="B6C3FF"/>
              </a:solidFill>
              <a:round/>
            </a:ln>
            <a:effectLst/>
          </c:spPr>
          <c:marker>
            <c:symbol val="circle"/>
            <c:size val="6"/>
            <c:spPr>
              <a:solidFill>
                <a:srgbClr val="B6C3FF"/>
              </a:solidFill>
              <a:ln w="9525">
                <a:noFill/>
              </a:ln>
              <a:effectLst/>
            </c:spPr>
          </c:marker>
          <c:cat>
            <c:numRef>
              <c:f>q22_q23_q33_q34_Fig!$S$50:$AC$50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q22_q23_q33_q34_Fig!$S$54:$AC$54</c:f>
              <c:numCache>
                <c:formatCode>0.00</c:formatCode>
                <c:ptCount val="11"/>
                <c:pt idx="0">
                  <c:v>1086.3871563092234</c:v>
                </c:pt>
                <c:pt idx="1">
                  <c:v>1085.2266428809949</c:v>
                </c:pt>
                <c:pt idx="2">
                  <c:v>1088.7344932691256</c:v>
                </c:pt>
                <c:pt idx="3">
                  <c:v>1103.365762629365</c:v>
                </c:pt>
                <c:pt idx="4">
                  <c:v>1117.6135336535251</c:v>
                </c:pt>
                <c:pt idx="5">
                  <c:v>1146.9307016617306</c:v>
                </c:pt>
                <c:pt idx="6">
                  <c:v>1193.809108737154</c:v>
                </c:pt>
                <c:pt idx="7">
                  <c:v>1207.2441633227234</c:v>
                </c:pt>
                <c:pt idx="8">
                  <c:v>1276.5676072351296</c:v>
                </c:pt>
                <c:pt idx="9">
                  <c:v>1366.1708059495056</c:v>
                </c:pt>
                <c:pt idx="10">
                  <c:v>1457.296790282385</c:v>
                </c:pt>
              </c:numCache>
            </c:numRef>
          </c:val>
          <c:smooth val="0"/>
          <c:extLst>
            <c:ext xmlns:c16="http://schemas.microsoft.com/office/drawing/2014/chart" uri="{C3380CC4-5D6E-409C-BE32-E72D297353CC}">
              <c16:uniqueId val="{00000003-3F95-4C7F-A2CA-9CCFAEEEFF24}"/>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20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crossAx val="903145471"/>
        <c:crosses val="autoZero"/>
        <c:crossBetween val="between"/>
        <c:majorUnit val="200"/>
      </c:valAx>
      <c:spPr>
        <a:noFill/>
        <a:ln>
          <a:noFill/>
        </a:ln>
        <a:effectLst/>
      </c:spPr>
    </c:plotArea>
    <c:legend>
      <c:legendPos val="b"/>
      <c:layout>
        <c:manualLayout>
          <c:xMode val="edge"/>
          <c:yMode val="edge"/>
          <c:x val="4.8193870222194721E-2"/>
          <c:y val="0.86939811246391219"/>
          <c:w val="0.88139020122484701"/>
          <c:h val="0.1200293485814264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39160909181934E-2"/>
          <c:y val="0.18472812943831005"/>
          <c:w val="0.9205216781816361"/>
          <c:h val="0.59150628175582409"/>
        </c:manualLayout>
      </c:layout>
      <c:lineChart>
        <c:grouping val="standard"/>
        <c:varyColors val="0"/>
        <c:ser>
          <c:idx val="0"/>
          <c:order val="0"/>
          <c:tx>
            <c:strRef>
              <c:f>q22_q23_q33_q34_Fig!$R$59</c:f>
              <c:strCache>
                <c:ptCount val="1"/>
                <c:pt idx="0">
                  <c:v>Micro (1-9 pessoas)</c:v>
                </c:pt>
              </c:strCache>
            </c:strRef>
          </c:tx>
          <c:spPr>
            <a:ln w="31750" cap="rnd">
              <a:solidFill>
                <a:srgbClr val="C27535"/>
              </a:solidFill>
              <a:round/>
            </a:ln>
            <a:effectLst/>
          </c:spPr>
          <c:marker>
            <c:symbol val="circle"/>
            <c:size val="6"/>
            <c:spPr>
              <a:solidFill>
                <a:srgbClr val="C27535"/>
              </a:solidFill>
              <a:ln w="9525">
                <a:noFill/>
              </a:ln>
              <a:effectLst/>
            </c:spPr>
          </c:marker>
          <c:cat>
            <c:numRef>
              <c:f>q22_q23_q33_q34_Fig!$S$58:$AC$58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q22_q23_q33_q34_Fig!$S$59:$AC$59</c:f>
              <c:numCache>
                <c:formatCode>0.00</c:formatCode>
                <c:ptCount val="11"/>
                <c:pt idx="0">
                  <c:v>871.09238924912688</c:v>
                </c:pt>
                <c:pt idx="1">
                  <c:v>874.37588256418803</c:v>
                </c:pt>
                <c:pt idx="2">
                  <c:v>869.15907046971392</c:v>
                </c:pt>
                <c:pt idx="3">
                  <c:v>881.40121825935603</c:v>
                </c:pt>
                <c:pt idx="4">
                  <c:v>903.88634111416957</c:v>
                </c:pt>
                <c:pt idx="5">
                  <c:v>932.6839251718136</c:v>
                </c:pt>
                <c:pt idx="6">
                  <c:v>964.75465634431691</c:v>
                </c:pt>
                <c:pt idx="7">
                  <c:v>1001.1701682722738</c:v>
                </c:pt>
                <c:pt idx="8">
                  <c:v>1037.9347066902783</c:v>
                </c:pt>
                <c:pt idx="9">
                  <c:v>1089.0285427605099</c:v>
                </c:pt>
                <c:pt idx="10">
                  <c:v>1171.8622875894353</c:v>
                </c:pt>
              </c:numCache>
            </c:numRef>
          </c:val>
          <c:smooth val="0"/>
          <c:extLst>
            <c:ext xmlns:c16="http://schemas.microsoft.com/office/drawing/2014/chart" uri="{C3380CC4-5D6E-409C-BE32-E72D297353CC}">
              <c16:uniqueId val="{00000000-DD4F-4A53-9159-594470C33E53}"/>
            </c:ext>
          </c:extLst>
        </c:ser>
        <c:ser>
          <c:idx val="1"/>
          <c:order val="1"/>
          <c:tx>
            <c:strRef>
              <c:f>q22_q23_q33_q34_Fig!$R$60</c:f>
              <c:strCache>
                <c:ptCount val="1"/>
                <c:pt idx="0">
                  <c:v>Pequenos (10 - 49 pessoas)</c:v>
                </c:pt>
              </c:strCache>
            </c:strRef>
          </c:tx>
          <c:spPr>
            <a:ln w="31750" cap="rnd">
              <a:solidFill>
                <a:srgbClr val="E78C41"/>
              </a:solidFill>
              <a:round/>
            </a:ln>
            <a:effectLst/>
          </c:spPr>
          <c:marker>
            <c:symbol val="circle"/>
            <c:size val="6"/>
            <c:spPr>
              <a:solidFill>
                <a:srgbClr val="E78C41"/>
              </a:solidFill>
              <a:ln w="9525">
                <a:noFill/>
              </a:ln>
              <a:effectLst/>
            </c:spPr>
          </c:marker>
          <c:cat>
            <c:numRef>
              <c:f>q22_q23_q33_q34_Fig!$S$58:$AC$58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q22_q23_q33_q34_Fig!$S$60:$AC$60</c:f>
              <c:numCache>
                <c:formatCode>0.00</c:formatCode>
                <c:ptCount val="11"/>
                <c:pt idx="0">
                  <c:v>1040.4919773141039</c:v>
                </c:pt>
                <c:pt idx="1">
                  <c:v>1038.4270654102304</c:v>
                </c:pt>
                <c:pt idx="2">
                  <c:v>1036.7339962248377</c:v>
                </c:pt>
                <c:pt idx="3">
                  <c:v>1041.9237340326474</c:v>
                </c:pt>
                <c:pt idx="4">
                  <c:v>1063.0824987860442</c:v>
                </c:pt>
                <c:pt idx="5">
                  <c:v>1093.0931805100001</c:v>
                </c:pt>
                <c:pt idx="6">
                  <c:v>1128.5544797223299</c:v>
                </c:pt>
                <c:pt idx="7">
                  <c:v>1173.3524315914058</c:v>
                </c:pt>
                <c:pt idx="8">
                  <c:v>1209.6497241751363</c:v>
                </c:pt>
                <c:pt idx="9">
                  <c:v>1263.2416738687946</c:v>
                </c:pt>
                <c:pt idx="10">
                  <c:v>1356.3278755179158</c:v>
                </c:pt>
              </c:numCache>
            </c:numRef>
          </c:val>
          <c:smooth val="0"/>
          <c:extLst>
            <c:ext xmlns:c16="http://schemas.microsoft.com/office/drawing/2014/chart" uri="{C3380CC4-5D6E-409C-BE32-E72D297353CC}">
              <c16:uniqueId val="{00000001-DD4F-4A53-9159-594470C33E53}"/>
            </c:ext>
          </c:extLst>
        </c:ser>
        <c:ser>
          <c:idx val="2"/>
          <c:order val="2"/>
          <c:tx>
            <c:strRef>
              <c:f>q22_q23_q33_q34_Fig!$R$61</c:f>
              <c:strCache>
                <c:ptCount val="1"/>
                <c:pt idx="0">
                  <c:v>Médios (50 - 249 pessoas)</c:v>
                </c:pt>
              </c:strCache>
            </c:strRef>
          </c:tx>
          <c:spPr>
            <a:ln w="31750" cap="rnd">
              <a:solidFill>
                <a:srgbClr val="F8AA79"/>
              </a:solidFill>
              <a:round/>
            </a:ln>
            <a:effectLst/>
          </c:spPr>
          <c:marker>
            <c:symbol val="circle"/>
            <c:size val="6"/>
            <c:spPr>
              <a:solidFill>
                <a:srgbClr val="F8AA79"/>
              </a:solidFill>
              <a:ln w="9525">
                <a:noFill/>
              </a:ln>
              <a:effectLst/>
            </c:spPr>
          </c:marker>
          <c:cat>
            <c:numRef>
              <c:f>q22_q23_q33_q34_Fig!$S$58:$AC$58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q22_q23_q33_q34_Fig!$S$61:$AC$61</c:f>
              <c:numCache>
                <c:formatCode>0.00</c:formatCode>
                <c:ptCount val="11"/>
                <c:pt idx="0">
                  <c:v>1260.6321703752462</c:v>
                </c:pt>
                <c:pt idx="1">
                  <c:v>1253.7788131448538</c:v>
                </c:pt>
                <c:pt idx="2">
                  <c:v>1264.2671080720547</c:v>
                </c:pt>
                <c:pt idx="3">
                  <c:v>1269.822569900183</c:v>
                </c:pt>
                <c:pt idx="4">
                  <c:v>1290.1457015340452</c:v>
                </c:pt>
                <c:pt idx="5">
                  <c:v>1326.6954282506647</c:v>
                </c:pt>
                <c:pt idx="6">
                  <c:v>1354.8188399394744</c:v>
                </c:pt>
                <c:pt idx="7">
                  <c:v>1408.3622125828385</c:v>
                </c:pt>
                <c:pt idx="8">
                  <c:v>1440.2827437442895</c:v>
                </c:pt>
                <c:pt idx="9">
                  <c:v>1512.8995745759912</c:v>
                </c:pt>
                <c:pt idx="10">
                  <c:v>1609.7489010590743</c:v>
                </c:pt>
              </c:numCache>
            </c:numRef>
          </c:val>
          <c:smooth val="0"/>
          <c:extLst>
            <c:ext xmlns:c16="http://schemas.microsoft.com/office/drawing/2014/chart" uri="{C3380CC4-5D6E-409C-BE32-E72D297353CC}">
              <c16:uniqueId val="{00000002-DD4F-4A53-9159-594470C33E53}"/>
            </c:ext>
          </c:extLst>
        </c:ser>
        <c:ser>
          <c:idx val="3"/>
          <c:order val="3"/>
          <c:tx>
            <c:strRef>
              <c:f>q22_q23_q33_q34_Fig!$R$62</c:f>
              <c:strCache>
                <c:ptCount val="1"/>
                <c:pt idx="0">
                  <c:v>Grandes (250 ou + pessoas)</c:v>
                </c:pt>
              </c:strCache>
            </c:strRef>
          </c:tx>
          <c:spPr>
            <a:ln w="31750" cap="rnd">
              <a:solidFill>
                <a:srgbClr val="FACBB4">
                  <a:alpha val="97647"/>
                </a:srgbClr>
              </a:solidFill>
              <a:round/>
            </a:ln>
            <a:effectLst/>
          </c:spPr>
          <c:marker>
            <c:symbol val="circle"/>
            <c:size val="6"/>
            <c:spPr>
              <a:solidFill>
                <a:srgbClr val="FACBB4"/>
              </a:solidFill>
              <a:ln w="9525">
                <a:noFill/>
              </a:ln>
              <a:effectLst/>
            </c:spPr>
          </c:marker>
          <c:cat>
            <c:numRef>
              <c:f>q22_q23_q33_q34_Fig!$S$58:$AC$58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q22_q23_q33_q34_Fig!$S$62:$AC$62</c:f>
              <c:numCache>
                <c:formatCode>0.00</c:formatCode>
                <c:ptCount val="11"/>
                <c:pt idx="0">
                  <c:v>1348.8007140291029</c:v>
                </c:pt>
                <c:pt idx="1">
                  <c:v>1348.2686782255737</c:v>
                </c:pt>
                <c:pt idx="2">
                  <c:v>1352.7649450038305</c:v>
                </c:pt>
                <c:pt idx="3">
                  <c:v>1370.8654934115223</c:v>
                </c:pt>
                <c:pt idx="4">
                  <c:v>1393.1676662386169</c:v>
                </c:pt>
                <c:pt idx="5">
                  <c:v>1439.2994718395275</c:v>
                </c:pt>
                <c:pt idx="6">
                  <c:v>1487.6136920863173</c:v>
                </c:pt>
                <c:pt idx="7">
                  <c:v>1503.5200436083589</c:v>
                </c:pt>
                <c:pt idx="8">
                  <c:v>1578.7352052686044</c:v>
                </c:pt>
                <c:pt idx="9">
                  <c:v>1692.5263123040952</c:v>
                </c:pt>
                <c:pt idx="10">
                  <c:v>1815.2460362099982</c:v>
                </c:pt>
              </c:numCache>
            </c:numRef>
          </c:val>
          <c:smooth val="0"/>
          <c:extLst>
            <c:ext xmlns:c16="http://schemas.microsoft.com/office/drawing/2014/chart" uri="{C3380CC4-5D6E-409C-BE32-E72D297353CC}">
              <c16:uniqueId val="{00000003-DD4F-4A53-9159-594470C33E53}"/>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2000"/>
          <c:min val="0"/>
        </c:scaling>
        <c:delete val="1"/>
        <c:axPos val="l"/>
        <c:majorGridlines>
          <c:spPr>
            <a:ln w="9525" cap="flat" cmpd="sng" algn="ctr">
              <a:noFill/>
              <a:round/>
            </a:ln>
            <a:effectLst/>
          </c:spPr>
        </c:majorGridlines>
        <c:numFmt formatCode="#,##0\ &quot;€&quot;" sourceLinked="0"/>
        <c:majorTickMark val="out"/>
        <c:minorTickMark val="none"/>
        <c:tickLblPos val="nextTo"/>
        <c:crossAx val="903145471"/>
        <c:crosses val="autoZero"/>
        <c:crossBetween val="between"/>
        <c:majorUnit val="200"/>
      </c:valAx>
      <c:spPr>
        <a:noFill/>
        <a:ln>
          <a:noFill/>
        </a:ln>
        <a:effectLst/>
      </c:spPr>
    </c:plotArea>
    <c:legend>
      <c:legendPos val="b"/>
      <c:layout>
        <c:manualLayout>
          <c:xMode val="edge"/>
          <c:yMode val="edge"/>
          <c:x val="1.3448542886017892E-2"/>
          <c:y val="0.86939811246391219"/>
          <c:w val="0.94643320407438769"/>
          <c:h val="0.1136295033871306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[Dashboard_seriesqp_2013_2023.xlsx]q23_q34_Fig!Tabela Dinâmica3</c:name>
    <c:fmtId val="0"/>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8165952940093"/>
          <c:y val="0.1568292505103529"/>
          <c:w val="0.87613077312704335"/>
          <c:h val="0.7443664333624963"/>
        </c:manualLayout>
      </c:layout>
      <c:barChart>
        <c:barDir val="col"/>
        <c:grouping val="clustered"/>
        <c:varyColors val="0"/>
        <c:ser>
          <c:idx val="0"/>
          <c:order val="0"/>
          <c:tx>
            <c:strRef>
              <c:f>q23_q34_Fig!$B$80:$B$82</c:f>
              <c:strCache>
                <c:ptCount val="1"/>
                <c:pt idx="0">
                  <c:v>Base - Homens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q23_q34_Fig!$A$83:$A$93</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q23_q34_Fig!$B$83:$B$93</c:f>
              <c:numCache>
                <c:formatCode>General</c:formatCode>
                <c:ptCount val="11"/>
                <c:pt idx="0">
                  <c:v>993.79</c:v>
                </c:pt>
                <c:pt idx="1">
                  <c:v>985.02</c:v>
                </c:pt>
                <c:pt idx="2">
                  <c:v>990.05</c:v>
                </c:pt>
                <c:pt idx="3">
                  <c:v>997.38</c:v>
                </c:pt>
                <c:pt idx="4">
                  <c:v>1012.25</c:v>
                </c:pt>
                <c:pt idx="5">
                  <c:v>1039.08</c:v>
                </c:pt>
                <c:pt idx="6">
                  <c:v>1073.82</c:v>
                </c:pt>
                <c:pt idx="7">
                  <c:v>1109.21</c:v>
                </c:pt>
                <c:pt idx="8">
                  <c:v>1152.24</c:v>
                </c:pt>
                <c:pt idx="9">
                  <c:v>1217.33</c:v>
                </c:pt>
                <c:pt idx="10">
                  <c:v>1294.03</c:v>
                </c:pt>
              </c:numCache>
            </c:numRef>
          </c:val>
          <c:extLst>
            <c:ext xmlns:c16="http://schemas.microsoft.com/office/drawing/2014/chart" uri="{C3380CC4-5D6E-409C-BE32-E72D297353CC}">
              <c16:uniqueId val="{00000009-8475-40D2-A1FF-8237C0B48A8C}"/>
            </c:ext>
          </c:extLst>
        </c:ser>
        <c:ser>
          <c:idx val="1"/>
          <c:order val="1"/>
          <c:tx>
            <c:strRef>
              <c:f>q23_q34_Fig!$C$80:$C$82</c:f>
              <c:strCache>
                <c:ptCount val="1"/>
                <c:pt idx="0">
                  <c:v>Ganho - Homens</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q23_q34_Fig!$A$83:$A$93</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q23_q34_Fig!$C$83:$C$93</c:f>
              <c:numCache>
                <c:formatCode>General</c:formatCode>
                <c:ptCount val="11"/>
                <c:pt idx="0">
                  <c:v>1209.21</c:v>
                </c:pt>
                <c:pt idx="1">
                  <c:v>1203.32</c:v>
                </c:pt>
                <c:pt idx="2">
                  <c:v>1207.76</c:v>
                </c:pt>
                <c:pt idx="3">
                  <c:v>1215.1099999999999</c:v>
                </c:pt>
                <c:pt idx="4">
                  <c:v>1236.8499999999999</c:v>
                </c:pt>
                <c:pt idx="5">
                  <c:v>1273.99</c:v>
                </c:pt>
                <c:pt idx="6">
                  <c:v>1312.43</c:v>
                </c:pt>
                <c:pt idx="7">
                  <c:v>1349.35</c:v>
                </c:pt>
                <c:pt idx="8">
                  <c:v>1395.7</c:v>
                </c:pt>
                <c:pt idx="9">
                  <c:v>1476.2</c:v>
                </c:pt>
                <c:pt idx="10">
                  <c:v>1577.33</c:v>
                </c:pt>
              </c:numCache>
            </c:numRef>
          </c:val>
          <c:extLst>
            <c:ext xmlns:c16="http://schemas.microsoft.com/office/drawing/2014/chart" uri="{C3380CC4-5D6E-409C-BE32-E72D297353CC}">
              <c16:uniqueId val="{00000000-B6AC-4F4E-8320-22BDE6D0E713}"/>
            </c:ext>
          </c:extLst>
        </c:ser>
        <c:dLbls>
          <c:dLblPos val="inEnd"/>
          <c:showLegendKey val="0"/>
          <c:showVal val="1"/>
          <c:showCatName val="0"/>
          <c:showSerName val="0"/>
          <c:showPercent val="0"/>
          <c:showBubbleSize val="0"/>
        </c:dLbls>
        <c:gapWidth val="41"/>
        <c:axId val="935681696"/>
        <c:axId val="883457568"/>
      </c:barChart>
      <c:catAx>
        <c:axId val="93568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883457568"/>
        <c:crosses val="autoZero"/>
        <c:auto val="1"/>
        <c:lblAlgn val="ctr"/>
        <c:lblOffset val="100"/>
        <c:noMultiLvlLbl val="0"/>
      </c:catAx>
      <c:valAx>
        <c:axId val="883457568"/>
        <c:scaling>
          <c:orientation val="minMax"/>
          <c:max val="16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PT"/>
          </a:p>
        </c:txPr>
        <c:crossAx val="935681696"/>
        <c:crosses val="autoZero"/>
        <c:crossBetween val="between"/>
      </c:valAx>
      <c:spPr>
        <a:noFill/>
        <a:ln>
          <a:noFill/>
        </a:ln>
        <a:effectLst/>
      </c:spPr>
    </c:plotArea>
    <c:legend>
      <c:legendPos val="t"/>
      <c:layout>
        <c:manualLayout>
          <c:xMode val="edge"/>
          <c:yMode val="edge"/>
          <c:x val="0.15743150527236729"/>
          <c:y val="6.9444444444444448E-2"/>
          <c:w val="0.26640811399903613"/>
          <c:h val="7.10531288852051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[Dashboard_seriesqp_2013_2023.xlsx]q22_q33_Fig!Tabela Dinâmica1</c:name>
    <c:fmtId val="10"/>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clip" horzOverflow="clip"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horzOverflow="clip" vert="horz" wrap="square" lIns="38100" tIns="36000" rIns="38100" bIns="3600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8"/>
      </c:pivotFmt>
      <c:pivotFmt>
        <c:idx val="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9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s>
    <c:plotArea>
      <c:layout>
        <c:manualLayout>
          <c:layoutTarget val="inner"/>
          <c:xMode val="edge"/>
          <c:yMode val="edge"/>
          <c:x val="4.160946204071217E-2"/>
          <c:y val="0.10694915712855482"/>
          <c:w val="0.9285441549297756"/>
          <c:h val="0.74702347773538613"/>
        </c:manualLayout>
      </c:layout>
      <c:barChart>
        <c:barDir val="col"/>
        <c:grouping val="clustered"/>
        <c:varyColors val="0"/>
        <c:ser>
          <c:idx val="0"/>
          <c:order val="0"/>
          <c:tx>
            <c:strRef>
              <c:f>q22_q33_Fig!$J$5:$J$7</c:f>
              <c:strCache>
                <c:ptCount val="1"/>
                <c:pt idx="0">
                  <c:v>G - Base</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q22_q33_Fig!$I$8:$I$19</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q22_q33_Fig!$J$8:$J$19</c:f>
              <c:numCache>
                <c:formatCode>#,##0.0\ "€"</c:formatCode>
                <c:ptCount val="11"/>
                <c:pt idx="0">
                  <c:v>861.47</c:v>
                </c:pt>
                <c:pt idx="1">
                  <c:v>862.67</c:v>
                </c:pt>
                <c:pt idx="2">
                  <c:v>867.89</c:v>
                </c:pt>
                <c:pt idx="3">
                  <c:v>881.9</c:v>
                </c:pt>
                <c:pt idx="4">
                  <c:v>900.4</c:v>
                </c:pt>
                <c:pt idx="5">
                  <c:v>924.91</c:v>
                </c:pt>
                <c:pt idx="6">
                  <c:v>959.33</c:v>
                </c:pt>
                <c:pt idx="7">
                  <c:v>989.91</c:v>
                </c:pt>
                <c:pt idx="8">
                  <c:v>1031.8499999999999</c:v>
                </c:pt>
                <c:pt idx="9">
                  <c:v>1075.5999999999999</c:v>
                </c:pt>
                <c:pt idx="10">
                  <c:v>1146.8499999999999</c:v>
                </c:pt>
              </c:numCache>
            </c:numRef>
          </c:val>
          <c:extLst>
            <c:ext xmlns:c16="http://schemas.microsoft.com/office/drawing/2014/chart" uri="{C3380CC4-5D6E-409C-BE32-E72D297353CC}">
              <c16:uniqueId val="{00000000-CE87-4924-A3E0-DE915F5E263E}"/>
            </c:ext>
          </c:extLst>
        </c:ser>
        <c:ser>
          <c:idx val="1"/>
          <c:order val="1"/>
          <c:tx>
            <c:strRef>
              <c:f>q22_q33_Fig!$K$5:$K$7</c:f>
              <c:strCache>
                <c:ptCount val="1"/>
                <c:pt idx="0">
                  <c:v>G - Ganho</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q22_q33_Fig!$I$8:$I$19</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q22_q33_Fig!$K$8:$K$19</c:f>
              <c:numCache>
                <c:formatCode>#,##0.0\ "€"</c:formatCode>
                <c:ptCount val="11"/>
                <c:pt idx="0">
                  <c:v>1013.46</c:v>
                </c:pt>
                <c:pt idx="1">
                  <c:v>1014.14</c:v>
                </c:pt>
                <c:pt idx="2">
                  <c:v>1022.01</c:v>
                </c:pt>
                <c:pt idx="3">
                  <c:v>1039.55</c:v>
                </c:pt>
                <c:pt idx="4">
                  <c:v>1066.6400000000001</c:v>
                </c:pt>
                <c:pt idx="5">
                  <c:v>1099.03</c:v>
                </c:pt>
                <c:pt idx="6">
                  <c:v>1140.32</c:v>
                </c:pt>
                <c:pt idx="7">
                  <c:v>1176.33</c:v>
                </c:pt>
                <c:pt idx="8">
                  <c:v>1224.17</c:v>
                </c:pt>
                <c:pt idx="9">
                  <c:v>1280.54</c:v>
                </c:pt>
                <c:pt idx="10">
                  <c:v>1373.91</c:v>
                </c:pt>
              </c:numCache>
            </c:numRef>
          </c:val>
          <c:extLst>
            <c:ext xmlns:c16="http://schemas.microsoft.com/office/drawing/2014/chart" uri="{C3380CC4-5D6E-409C-BE32-E72D297353CC}">
              <c16:uniqueId val="{00000029-D9C2-4202-8CD1-020F5C7C441B}"/>
            </c:ext>
          </c:extLst>
        </c:ser>
        <c:dLbls>
          <c:dLblPos val="inBase"/>
          <c:showLegendKey val="0"/>
          <c:showVal val="1"/>
          <c:showCatName val="0"/>
          <c:showSerName val="0"/>
          <c:showPercent val="0"/>
          <c:showBubbleSize val="0"/>
        </c:dLbls>
        <c:gapWidth val="91"/>
        <c:axId val="518723167"/>
        <c:axId val="384185983"/>
      </c:barChart>
      <c:catAx>
        <c:axId val="5187231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384185983"/>
        <c:crosses val="autoZero"/>
        <c:auto val="1"/>
        <c:lblAlgn val="ctr"/>
        <c:lblOffset val="100"/>
        <c:noMultiLvlLbl val="0"/>
      </c:catAx>
      <c:valAx>
        <c:axId val="384185983"/>
        <c:scaling>
          <c:orientation val="minMax"/>
          <c:max val="36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crossAx val="518723167"/>
        <c:crosses val="autoZero"/>
        <c:crossBetween val="between"/>
        <c:majorUnit val="300"/>
      </c:valAx>
      <c:spPr>
        <a:noFill/>
        <a:ln>
          <a:noFill/>
        </a:ln>
        <a:effectLst/>
      </c:spPr>
    </c:plotArea>
    <c:legend>
      <c:legendPos val="t"/>
      <c:layout>
        <c:manualLayout>
          <c:xMode val="edge"/>
          <c:yMode val="edge"/>
          <c:x val="9.1424355351236872E-2"/>
          <c:y val="2.4076554940779288E-2"/>
          <c:w val="0.16829744085264589"/>
          <c:h val="6.229553773282751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q3_q7_q11_q15_q24_q35_Fig!$S$22</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9.4642401217357536E-2"/>
                  <c:y val="-6.6113391531462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37-4024-A907-7A0529BAB478}"/>
                </c:ext>
              </c:extLst>
            </c:dLbl>
            <c:dLbl>
              <c:idx val="10"/>
              <c:layout>
                <c:manualLayout>
                  <c:x val="-8.9589141824198137E-2"/>
                  <c:y val="-6.13910064220719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37-4024-A907-7A0529BAB478}"/>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37-4024-A907-7A0529BAB4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q3_q7_q11_q15_q24_q35_Fig!$T$21:$AD$21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q3_q7_q11_q15_q24_q35_Fig!$T$22:$AD$22</c:f>
              <c:numCache>
                <c:formatCode>#\ ###\ ##0</c:formatCode>
                <c:ptCount val="11"/>
                <c:pt idx="0">
                  <c:v>59109</c:v>
                </c:pt>
                <c:pt idx="1">
                  <c:v>59911</c:v>
                </c:pt>
                <c:pt idx="2">
                  <c:v>60537</c:v>
                </c:pt>
                <c:pt idx="3">
                  <c:v>60939</c:v>
                </c:pt>
                <c:pt idx="4">
                  <c:v>61816</c:v>
                </c:pt>
                <c:pt idx="5">
                  <c:v>62991</c:v>
                </c:pt>
                <c:pt idx="6">
                  <c:v>61257</c:v>
                </c:pt>
                <c:pt idx="7">
                  <c:v>62466</c:v>
                </c:pt>
                <c:pt idx="8">
                  <c:v>60609</c:v>
                </c:pt>
                <c:pt idx="9">
                  <c:v>63924</c:v>
                </c:pt>
                <c:pt idx="10" formatCode="#,##0">
                  <c:v>65753</c:v>
                </c:pt>
              </c:numCache>
            </c:numRef>
          </c:val>
          <c:extLst>
            <c:ext xmlns:c16="http://schemas.microsoft.com/office/drawing/2014/chart" uri="{C3380CC4-5D6E-409C-BE32-E72D297353CC}">
              <c16:uniqueId val="{00000003-2337-4024-A907-7A0529BAB478}"/>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q3_q7_q11_q15_q24_q35_Fig!$S$23</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2337-4024-A907-7A0529BAB478}"/>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2337-4024-A907-7A0529BAB478}"/>
              </c:ext>
            </c:extLst>
          </c:dPt>
          <c:dLbls>
            <c:dLbl>
              <c:idx val="0"/>
              <c:layout>
                <c:manualLayout>
                  <c:x val="4.9644290572627835E-2"/>
                  <c:y val="-2.1414343185021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37-4024-A907-7A0529BAB478}"/>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37-4024-A907-7A0529BAB478}"/>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37-4024-A907-7A0529BAB478}"/>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q3_q7_q11_q15_q24_q35_Fig!$T$21:$AD$21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q3_q7_q11_q15_q24_q35_Fig!$T$23:$AD$23</c:f>
              <c:numCache>
                <c:formatCode>#\ ###\ ##0</c:formatCode>
                <c:ptCount val="11"/>
                <c:pt idx="0">
                  <c:v>70961</c:v>
                </c:pt>
                <c:pt idx="1">
                  <c:v>71690</c:v>
                </c:pt>
                <c:pt idx="2">
                  <c:v>72246</c:v>
                </c:pt>
                <c:pt idx="3">
                  <c:v>72756</c:v>
                </c:pt>
                <c:pt idx="4">
                  <c:v>73389</c:v>
                </c:pt>
                <c:pt idx="5">
                  <c:v>74689</c:v>
                </c:pt>
                <c:pt idx="6">
                  <c:v>72677</c:v>
                </c:pt>
                <c:pt idx="7">
                  <c:v>73809</c:v>
                </c:pt>
                <c:pt idx="8">
                  <c:v>71616</c:v>
                </c:pt>
                <c:pt idx="9">
                  <c:v>75266</c:v>
                </c:pt>
                <c:pt idx="10">
                  <c:v>77253</c:v>
                </c:pt>
              </c:numCache>
            </c:numRef>
          </c:val>
          <c:smooth val="0"/>
          <c:extLst>
            <c:ext xmlns:c16="http://schemas.microsoft.com/office/drawing/2014/chart" uri="{C3380CC4-5D6E-409C-BE32-E72D297353CC}">
              <c16:uniqueId val="{00000007-2337-4024-A907-7A0529BAB478}"/>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q3_q7_q11_q15_q24_q35_Fig!$S$62</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4266266327603992E-2"/>
                  <c:y val="-4.2501465984511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4B-45A9-9F9F-25990AA21E17}"/>
                </c:ext>
              </c:extLst>
            </c:dLbl>
            <c:dLbl>
              <c:idx val="10"/>
              <c:layout>
                <c:manualLayout>
                  <c:x val="-3.2520399930553431E-2"/>
                  <c:y val="-4.7223851093902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4B-45A9-9F9F-25990AA21E17}"/>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4B-45A9-9F9F-25990AA21E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q3_q7_q11_q15_q24_q35_Fig!$T$61:$AD$61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q3_q7_q11_q15_q24_q35_Fig!$T$62:$AD$62</c:f>
              <c:numCache>
                <c:formatCode>#\ ###\ ##0</c:formatCode>
                <c:ptCount val="11"/>
                <c:pt idx="0">
                  <c:v>739291</c:v>
                </c:pt>
                <c:pt idx="1">
                  <c:v>764524</c:v>
                </c:pt>
                <c:pt idx="2">
                  <c:v>780947</c:v>
                </c:pt>
                <c:pt idx="3">
                  <c:v>817508</c:v>
                </c:pt>
                <c:pt idx="4">
                  <c:v>847011</c:v>
                </c:pt>
                <c:pt idx="5">
                  <c:v>886123</c:v>
                </c:pt>
                <c:pt idx="6">
                  <c:v>905022</c:v>
                </c:pt>
                <c:pt idx="7">
                  <c:v>895425</c:v>
                </c:pt>
                <c:pt idx="8">
                  <c:v>900307</c:v>
                </c:pt>
                <c:pt idx="9">
                  <c:v>981424</c:v>
                </c:pt>
                <c:pt idx="10">
                  <c:v>1039751</c:v>
                </c:pt>
              </c:numCache>
            </c:numRef>
          </c:val>
          <c:extLst>
            <c:ext xmlns:c16="http://schemas.microsoft.com/office/drawing/2014/chart" uri="{C3380CC4-5D6E-409C-BE32-E72D297353CC}">
              <c16:uniqueId val="{00000003-884B-45A9-9F9F-25990AA21E1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q3_q7_q11_q15_q24_q35_Fig!$S$63</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884B-45A9-9F9F-25990AA21E1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884B-45A9-9F9F-25990AA21E17}"/>
              </c:ext>
            </c:extLst>
          </c:dPt>
          <c:dLbls>
            <c:dLbl>
              <c:idx val="0"/>
              <c:layout>
                <c:manualLayout>
                  <c:x val="2.370395334824392E-2"/>
                  <c:y val="-3.558149851319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4B-45A9-9F9F-25990AA21E17}"/>
                </c:ext>
              </c:extLst>
            </c:dLbl>
            <c:dLbl>
              <c:idx val="10"/>
              <c:layout>
                <c:manualLayout>
                  <c:x val="-0.13512117405557769"/>
                  <c:y val="-0.1297157384453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4B-45A9-9F9F-25990AA21E17}"/>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4B-45A9-9F9F-25990AA21E17}"/>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q3_q7_q11_q15_q24_q35_Fig!$T$61:$AD$61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q3_q7_q11_q15_q24_q35_Fig!$T$63:$AD$63</c:f>
              <c:numCache>
                <c:formatCode>#\ ###\ ##0</c:formatCode>
                <c:ptCount val="11"/>
                <c:pt idx="0">
                  <c:v>699433</c:v>
                </c:pt>
                <c:pt idx="1">
                  <c:v>722854</c:v>
                </c:pt>
                <c:pt idx="2">
                  <c:v>739126</c:v>
                </c:pt>
                <c:pt idx="3">
                  <c:v>776535</c:v>
                </c:pt>
                <c:pt idx="4">
                  <c:v>805619</c:v>
                </c:pt>
                <c:pt idx="5">
                  <c:v>843599</c:v>
                </c:pt>
                <c:pt idx="6">
                  <c:v>863493</c:v>
                </c:pt>
                <c:pt idx="7">
                  <c:v>853268</c:v>
                </c:pt>
                <c:pt idx="8">
                  <c:v>859051</c:v>
                </c:pt>
                <c:pt idx="9">
                  <c:v>937531</c:v>
                </c:pt>
                <c:pt idx="10">
                  <c:v>994831</c:v>
                </c:pt>
              </c:numCache>
            </c:numRef>
          </c:val>
          <c:smooth val="0"/>
          <c:extLst>
            <c:ext xmlns:c16="http://schemas.microsoft.com/office/drawing/2014/chart" uri="{C3380CC4-5D6E-409C-BE32-E72D297353CC}">
              <c16:uniqueId val="{00000007-884B-45A9-9F9F-25990AA21E1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q3_q7_q11_q15_q24_q35_Fig!$S$102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4.7924056306658441E-2"/>
                  <c:y val="-9.93165942042836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CC-4215-9802-00BDE431F5BF}"/>
                </c:ext>
              </c:extLst>
            </c:dLbl>
            <c:dLbl>
              <c:idx val="10"/>
              <c:layout>
                <c:manualLayout>
                  <c:x val="-7.402493948956769E-2"/>
                  <c:y val="-4.72238510939014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CC-4215-9802-00BDE431F5BF}"/>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CC-4215-9802-00BDE431F5B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q3_q7_q11_q15_q24_q35_Fig!$T$101:$AD$101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q3_q7_q11_q15_q24_q35_Fig!$T$102:$AD$102</c:f>
              <c:numCache>
                <c:formatCode>#,##0.00</c:formatCode>
                <c:ptCount val="11"/>
                <c:pt idx="0">
                  <c:v>1160.8699999999999</c:v>
                </c:pt>
                <c:pt idx="1">
                  <c:v>1150.47</c:v>
                </c:pt>
                <c:pt idx="2">
                  <c:v>1151.6400000000001</c:v>
                </c:pt>
                <c:pt idx="3">
                  <c:v>1155.93</c:v>
                </c:pt>
                <c:pt idx="4">
                  <c:v>1171.8800000000001</c:v>
                </c:pt>
                <c:pt idx="5">
                  <c:v>1194.22</c:v>
                </c:pt>
                <c:pt idx="6">
                  <c:v>1230.1300000000001</c:v>
                </c:pt>
                <c:pt idx="7">
                  <c:v>1266.69</c:v>
                </c:pt>
                <c:pt idx="8">
                  <c:v>1312.07</c:v>
                </c:pt>
                <c:pt idx="9">
                  <c:v>1388.37</c:v>
                </c:pt>
                <c:pt idx="10">
                  <c:v>1474.84</c:v>
                </c:pt>
              </c:numCache>
            </c:numRef>
          </c:val>
          <c:extLst>
            <c:ext xmlns:c16="http://schemas.microsoft.com/office/drawing/2014/chart" uri="{C3380CC4-5D6E-409C-BE32-E72D297353CC}">
              <c16:uniqueId val="{00000003-C6CC-4215-9802-00BDE431F5BF}"/>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q3_q7_q11_q15_q24_q35_Fig!$S$103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C6CC-4215-9802-00BDE431F5BF}"/>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C6CC-4215-9802-00BDE431F5BF}"/>
              </c:ext>
            </c:extLst>
          </c:dPt>
          <c:dLbls>
            <c:dLbl>
              <c:idx val="0"/>
              <c:layout>
                <c:manualLayout>
                  <c:x val="3.7413401141463549E-4"/>
                  <c:y val="-7.75958907432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CC-4215-9802-00BDE431F5BF}"/>
                </c:ext>
              </c:extLst>
            </c:dLbl>
            <c:dLbl>
              <c:idx val="10"/>
              <c:layout>
                <c:manualLayout>
                  <c:x val="-0.16101192942522166"/>
                  <c:y val="-4.0693742161344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CC-4215-9802-00BDE431F5BF}"/>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CC-4215-9802-00BDE431F5BF}"/>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8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q3_q7_q11_q15_q24_q35_Fig!$T$101:$AD$101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q3_q7_q11_q15_q24_q35_Fig!$T$103:$AD$103</c:f>
              <c:numCache>
                <c:formatCode>#,##0.00</c:formatCode>
                <c:ptCount val="11"/>
                <c:pt idx="0">
                  <c:v>1399.09</c:v>
                </c:pt>
                <c:pt idx="1">
                  <c:v>1392.42</c:v>
                </c:pt>
                <c:pt idx="2">
                  <c:v>1391.17</c:v>
                </c:pt>
                <c:pt idx="3">
                  <c:v>1395.75</c:v>
                </c:pt>
                <c:pt idx="4">
                  <c:v>1416.56</c:v>
                </c:pt>
                <c:pt idx="5">
                  <c:v>1449.43</c:v>
                </c:pt>
                <c:pt idx="6">
                  <c:v>1487.75</c:v>
                </c:pt>
                <c:pt idx="7">
                  <c:v>1526.77</c:v>
                </c:pt>
                <c:pt idx="8">
                  <c:v>1576.15</c:v>
                </c:pt>
                <c:pt idx="9">
                  <c:v>1668.92</c:v>
                </c:pt>
                <c:pt idx="10">
                  <c:v>1779.36</c:v>
                </c:pt>
              </c:numCache>
            </c:numRef>
          </c:val>
          <c:smooth val="0"/>
          <c:extLst>
            <c:ext xmlns:c16="http://schemas.microsoft.com/office/drawing/2014/chart" uri="{C3380CC4-5D6E-409C-BE32-E72D297353CC}">
              <c16:uniqueId val="{00000007-C6CC-4215-9802-00BDE431F5BF}"/>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6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[Dashboard_seriesqp_2013_2023.xlsx]q23_q34_Fig!Tabela Dinâmica3</c:name>
    <c:fmtId val="2"/>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7691875107930455E-2"/>
          <c:y val="6.1792516320075375E-2"/>
          <c:w val="0.9127264577058416"/>
          <c:h val="0.84700349956255483"/>
        </c:manualLayout>
      </c:layout>
      <c:barChart>
        <c:barDir val="col"/>
        <c:grouping val="clustered"/>
        <c:varyColors val="0"/>
        <c:ser>
          <c:idx val="0"/>
          <c:order val="0"/>
          <c:tx>
            <c:strRef>
              <c:f>q23_q34_Fig!$B$80:$B$82</c:f>
              <c:strCache>
                <c:ptCount val="1"/>
                <c:pt idx="0">
                  <c:v>Base - Homens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q23_q34_Fig!$A$83:$A$93</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q23_q34_Fig!$B$83:$B$93</c:f>
              <c:numCache>
                <c:formatCode>General</c:formatCode>
                <c:ptCount val="11"/>
                <c:pt idx="0">
                  <c:v>993.79</c:v>
                </c:pt>
                <c:pt idx="1">
                  <c:v>985.02</c:v>
                </c:pt>
                <c:pt idx="2">
                  <c:v>990.05</c:v>
                </c:pt>
                <c:pt idx="3">
                  <c:v>997.38</c:v>
                </c:pt>
                <c:pt idx="4">
                  <c:v>1012.25</c:v>
                </c:pt>
                <c:pt idx="5">
                  <c:v>1039.08</c:v>
                </c:pt>
                <c:pt idx="6">
                  <c:v>1073.82</c:v>
                </c:pt>
                <c:pt idx="7">
                  <c:v>1109.21</c:v>
                </c:pt>
                <c:pt idx="8">
                  <c:v>1152.24</c:v>
                </c:pt>
                <c:pt idx="9">
                  <c:v>1217.33</c:v>
                </c:pt>
                <c:pt idx="10">
                  <c:v>1294.03</c:v>
                </c:pt>
              </c:numCache>
            </c:numRef>
          </c:val>
          <c:extLst>
            <c:ext xmlns:c16="http://schemas.microsoft.com/office/drawing/2014/chart" uri="{C3380CC4-5D6E-409C-BE32-E72D297353CC}">
              <c16:uniqueId val="{00000009-7D82-4A5B-872E-D965A4F072AC}"/>
            </c:ext>
          </c:extLst>
        </c:ser>
        <c:ser>
          <c:idx val="1"/>
          <c:order val="1"/>
          <c:tx>
            <c:strRef>
              <c:f>q23_q34_Fig!$C$80:$C$82</c:f>
              <c:strCache>
                <c:ptCount val="1"/>
                <c:pt idx="0">
                  <c:v>Ganho - Homens</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q23_q34_Fig!$A$83:$A$93</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q23_q34_Fig!$C$83:$C$93</c:f>
              <c:numCache>
                <c:formatCode>General</c:formatCode>
                <c:ptCount val="11"/>
                <c:pt idx="0">
                  <c:v>1209.21</c:v>
                </c:pt>
                <c:pt idx="1">
                  <c:v>1203.32</c:v>
                </c:pt>
                <c:pt idx="2">
                  <c:v>1207.76</c:v>
                </c:pt>
                <c:pt idx="3">
                  <c:v>1215.1099999999999</c:v>
                </c:pt>
                <c:pt idx="4">
                  <c:v>1236.8499999999999</c:v>
                </c:pt>
                <c:pt idx="5">
                  <c:v>1273.99</c:v>
                </c:pt>
                <c:pt idx="6">
                  <c:v>1312.43</c:v>
                </c:pt>
                <c:pt idx="7">
                  <c:v>1349.35</c:v>
                </c:pt>
                <c:pt idx="8">
                  <c:v>1395.7</c:v>
                </c:pt>
                <c:pt idx="9">
                  <c:v>1476.2</c:v>
                </c:pt>
                <c:pt idx="10">
                  <c:v>1577.33</c:v>
                </c:pt>
              </c:numCache>
            </c:numRef>
          </c:val>
          <c:extLst>
            <c:ext xmlns:c16="http://schemas.microsoft.com/office/drawing/2014/chart" uri="{C3380CC4-5D6E-409C-BE32-E72D297353CC}">
              <c16:uniqueId val="{00000000-24F7-4C5E-8EA0-F78138BEA5F2}"/>
            </c:ext>
          </c:extLst>
        </c:ser>
        <c:dLbls>
          <c:dLblPos val="inEnd"/>
          <c:showLegendKey val="0"/>
          <c:showVal val="1"/>
          <c:showCatName val="0"/>
          <c:showSerName val="0"/>
          <c:showPercent val="0"/>
          <c:showBubbleSize val="0"/>
        </c:dLbls>
        <c:gapWidth val="41"/>
        <c:axId val="935681696"/>
        <c:axId val="883457568"/>
      </c:barChart>
      <c:catAx>
        <c:axId val="93568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883457568"/>
        <c:crosses val="autoZero"/>
        <c:auto val="1"/>
        <c:lblAlgn val="ctr"/>
        <c:lblOffset val="100"/>
        <c:noMultiLvlLbl val="0"/>
      </c:catAx>
      <c:valAx>
        <c:axId val="883457568"/>
        <c:scaling>
          <c:orientation val="minMax"/>
          <c:max val="16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crossAx val="935681696"/>
        <c:crosses val="autoZero"/>
        <c:crossBetween val="between"/>
      </c:valAx>
      <c:spPr>
        <a:noFill/>
        <a:ln>
          <a:noFill/>
        </a:ln>
        <a:effectLst/>
      </c:spPr>
    </c:plotArea>
    <c:legend>
      <c:legendPos val="t"/>
      <c:layout>
        <c:manualLayout>
          <c:xMode val="edge"/>
          <c:yMode val="edge"/>
          <c:x val="0.13511635313368259"/>
          <c:y val="6.9444582585071607E-2"/>
          <c:w val="0.18609593510695568"/>
          <c:h val="6.179251632007537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q3_q7_q11_q15_q24_q35_Fig!$AM$19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q3_q7_q11_q15_q24_q35_Fig!$AL$20:$AL$38</c15:sqref>
                  </c15:fullRef>
                </c:ext>
              </c:extLst>
              <c:f>q3_q7_q11_q15_q24_q35_Fig!$AL$20:$AL$37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q3_q7_q11_q15_q24_q35_Fig!$AM$20:$AM$38</c15:sqref>
                  </c15:fullRef>
                </c:ext>
              </c:extLst>
              <c:f>q3_q7_q11_q15_q24_q35_Fig!$AM$20:$AM$37</c:f>
              <c:numCache>
                <c:formatCode>#,##0</c:formatCode>
                <c:ptCount val="18"/>
                <c:pt idx="0">
                  <c:v>19949</c:v>
                </c:pt>
                <c:pt idx="1">
                  <c:v>4837</c:v>
                </c:pt>
                <c:pt idx="2">
                  <c:v>29169</c:v>
                </c:pt>
                <c:pt idx="3">
                  <c:v>3729</c:v>
                </c:pt>
                <c:pt idx="4">
                  <c:v>4717</c:v>
                </c:pt>
                <c:pt idx="5">
                  <c:v>10326</c:v>
                </c:pt>
                <c:pt idx="6">
                  <c:v>5107</c:v>
                </c:pt>
                <c:pt idx="7">
                  <c:v>18237</c:v>
                </c:pt>
                <c:pt idx="8">
                  <c:v>4169</c:v>
                </c:pt>
                <c:pt idx="9">
                  <c:v>16175</c:v>
                </c:pt>
                <c:pt idx="10">
                  <c:v>65753</c:v>
                </c:pt>
                <c:pt idx="11">
                  <c:v>2865</c:v>
                </c:pt>
                <c:pt idx="12">
                  <c:v>54733</c:v>
                </c:pt>
                <c:pt idx="13">
                  <c:v>11869</c:v>
                </c:pt>
                <c:pt idx="14">
                  <c:v>16783</c:v>
                </c:pt>
                <c:pt idx="15">
                  <c:v>7381</c:v>
                </c:pt>
                <c:pt idx="16">
                  <c:v>5186</c:v>
                </c:pt>
                <c:pt idx="17">
                  <c:v>10267</c:v>
                </c:pt>
              </c:numCache>
            </c:numRef>
          </c:val>
          <c:extLst>
            <c:ext xmlns:c16="http://schemas.microsoft.com/office/drawing/2014/chart" uri="{C3380CC4-5D6E-409C-BE32-E72D297353CC}">
              <c16:uniqueId val="{00000000-4781-4235-88FE-502D90D94F4D}"/>
            </c:ext>
          </c:extLst>
        </c:ser>
        <c:ser>
          <c:idx val="1"/>
          <c:order val="1"/>
          <c:tx>
            <c:strRef>
              <c:f>q3_q7_q11_q15_q24_q35_Fig!$AN$19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q3_q7_q11_q15_q24_q35_Fig!$AL$20:$AL$38</c15:sqref>
                  </c15:fullRef>
                </c:ext>
              </c:extLst>
              <c:f>q3_q7_q11_q15_q24_q35_Fig!$AL$20:$AL$37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q3_q7_q11_q15_q24_q35_Fig!$AN$20:$AN$38</c15:sqref>
                  </c15:fullRef>
                </c:ext>
              </c:extLst>
              <c:f>q3_q7_q11_q15_q24_q35_Fig!$AN$20:$AN$37</c:f>
              <c:numCache>
                <c:formatCode>#,##0</c:formatCode>
                <c:ptCount val="18"/>
                <c:pt idx="0">
                  <c:v>22840</c:v>
                </c:pt>
                <c:pt idx="1">
                  <c:v>5600</c:v>
                </c:pt>
                <c:pt idx="2">
                  <c:v>32582</c:v>
                </c:pt>
                <c:pt idx="3">
                  <c:v>4314</c:v>
                </c:pt>
                <c:pt idx="4">
                  <c:v>5606</c:v>
                </c:pt>
                <c:pt idx="5">
                  <c:v>12571</c:v>
                </c:pt>
                <c:pt idx="6">
                  <c:v>6137</c:v>
                </c:pt>
                <c:pt idx="7">
                  <c:v>22034</c:v>
                </c:pt>
                <c:pt idx="8">
                  <c:v>4814</c:v>
                </c:pt>
                <c:pt idx="9">
                  <c:v>18854</c:v>
                </c:pt>
                <c:pt idx="10">
                  <c:v>77253</c:v>
                </c:pt>
                <c:pt idx="11">
                  <c:v>3430</c:v>
                </c:pt>
                <c:pt idx="12">
                  <c:v>63252</c:v>
                </c:pt>
                <c:pt idx="13">
                  <c:v>14124</c:v>
                </c:pt>
                <c:pt idx="14">
                  <c:v>20429</c:v>
                </c:pt>
                <c:pt idx="15">
                  <c:v>8480</c:v>
                </c:pt>
                <c:pt idx="16">
                  <c:v>6133</c:v>
                </c:pt>
                <c:pt idx="17">
                  <c:v>11911</c:v>
                </c:pt>
              </c:numCache>
            </c:numRef>
          </c:val>
          <c:extLst>
            <c:ext xmlns:c16="http://schemas.microsoft.com/office/drawing/2014/chart" uri="{C3380CC4-5D6E-409C-BE32-E72D297353CC}">
              <c16:uniqueId val="{00000001-4781-4235-88FE-502D90D94F4D}"/>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q3_q7_q11_q15_q24_q35_Fig!$AT$19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q3_q7_q11_q15_q24_q35_Fig!$AT$20:$AT$37</c:f>
              <c:numCache>
                <c:formatCode>#,##0</c:formatCode>
                <c:ptCount val="18"/>
                <c:pt idx="0">
                  <c:v>255866</c:v>
                </c:pt>
                <c:pt idx="1">
                  <c:v>47376</c:v>
                </c:pt>
                <c:pt idx="2">
                  <c:v>312788</c:v>
                </c:pt>
                <c:pt idx="3">
                  <c:v>24160</c:v>
                </c:pt>
                <c:pt idx="4">
                  <c:v>45470</c:v>
                </c:pt>
                <c:pt idx="5">
                  <c:v>112151</c:v>
                </c:pt>
                <c:pt idx="6">
                  <c:v>45228</c:v>
                </c:pt>
                <c:pt idx="7">
                  <c:v>178434</c:v>
                </c:pt>
                <c:pt idx="8">
                  <c:v>32928</c:v>
                </c:pt>
                <c:pt idx="9">
                  <c:v>163957</c:v>
                </c:pt>
                <c:pt idx="10">
                  <c:v>1039751</c:v>
                </c:pt>
                <c:pt idx="11">
                  <c:v>24444</c:v>
                </c:pt>
                <c:pt idx="12">
                  <c:v>675046</c:v>
                </c:pt>
                <c:pt idx="13">
                  <c:v>120066</c:v>
                </c:pt>
                <c:pt idx="14">
                  <c:v>195528</c:v>
                </c:pt>
                <c:pt idx="15">
                  <c:v>72633</c:v>
                </c:pt>
                <c:pt idx="16">
                  <c:v>40275</c:v>
                </c:pt>
                <c:pt idx="17">
                  <c:v>103482</c:v>
                </c:pt>
              </c:numCache>
            </c:numRef>
          </c:val>
          <c:extLst>
            <c:ext xmlns:c16="http://schemas.microsoft.com/office/drawing/2014/chart" uri="{C3380CC4-5D6E-409C-BE32-E72D297353CC}">
              <c16:uniqueId val="{00000000-E329-42D7-90CC-DEFE1810171A}"/>
            </c:ext>
          </c:extLst>
        </c:ser>
        <c:ser>
          <c:idx val="1"/>
          <c:order val="1"/>
          <c:tx>
            <c:strRef>
              <c:f>q3_q7_q11_q15_q24_q35_Fig!$AU$19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q3_q7_q11_q15_q24_q35_Fig!$AU$20:$AU$37</c:f>
              <c:numCache>
                <c:formatCode>#,##0</c:formatCode>
                <c:ptCount val="18"/>
                <c:pt idx="0">
                  <c:v>240286</c:v>
                </c:pt>
                <c:pt idx="1">
                  <c:v>45122</c:v>
                </c:pt>
                <c:pt idx="2">
                  <c:v>293224</c:v>
                </c:pt>
                <c:pt idx="3">
                  <c:v>22078</c:v>
                </c:pt>
                <c:pt idx="4">
                  <c:v>42612</c:v>
                </c:pt>
                <c:pt idx="5">
                  <c:v>104759</c:v>
                </c:pt>
                <c:pt idx="6">
                  <c:v>42406</c:v>
                </c:pt>
                <c:pt idx="7">
                  <c:v>166794</c:v>
                </c:pt>
                <c:pt idx="8">
                  <c:v>30808</c:v>
                </c:pt>
                <c:pt idx="9">
                  <c:v>152308</c:v>
                </c:pt>
                <c:pt idx="10">
                  <c:v>994831</c:v>
                </c:pt>
                <c:pt idx="11">
                  <c:v>22968</c:v>
                </c:pt>
                <c:pt idx="12">
                  <c:v>638591</c:v>
                </c:pt>
                <c:pt idx="13">
                  <c:v>112134</c:v>
                </c:pt>
                <c:pt idx="14">
                  <c:v>184464</c:v>
                </c:pt>
                <c:pt idx="15">
                  <c:v>68117</c:v>
                </c:pt>
                <c:pt idx="16">
                  <c:v>37526</c:v>
                </c:pt>
                <c:pt idx="17">
                  <c:v>97106</c:v>
                </c:pt>
              </c:numCache>
            </c:numRef>
          </c:val>
          <c:extLst>
            <c:ext xmlns:c16="http://schemas.microsoft.com/office/drawing/2014/chart" uri="{C3380CC4-5D6E-409C-BE32-E72D297353CC}">
              <c16:uniqueId val="{00000001-E329-42D7-90CC-DEFE1810171A}"/>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29038922336032225"/>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q3_q7_q11_q15_q24_q35_Fig!$BA$19</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q3_q7_q11_q15_q24_q35_Fig!$BA$20:$BA$37</c:f>
              <c:numCache>
                <c:formatCode>#,##0\ "€"</c:formatCode>
                <c:ptCount val="18"/>
                <c:pt idx="0">
                  <c:v>1126.52</c:v>
                </c:pt>
                <c:pt idx="1">
                  <c:v>1003.83</c:v>
                </c:pt>
                <c:pt idx="2">
                  <c:v>1059.8900000000001</c:v>
                </c:pt>
                <c:pt idx="3">
                  <c:v>958.36</c:v>
                </c:pt>
                <c:pt idx="4">
                  <c:v>991.05</c:v>
                </c:pt>
                <c:pt idx="5">
                  <c:v>1085.1500000000001</c:v>
                </c:pt>
                <c:pt idx="6">
                  <c:v>1049.8499999999999</c:v>
                </c:pt>
                <c:pt idx="7">
                  <c:v>1031.25</c:v>
                </c:pt>
                <c:pt idx="8">
                  <c:v>966.87</c:v>
                </c:pt>
                <c:pt idx="9">
                  <c:v>1070.77</c:v>
                </c:pt>
                <c:pt idx="10">
                  <c:v>1474.84</c:v>
                </c:pt>
                <c:pt idx="11">
                  <c:v>990.36</c:v>
                </c:pt>
                <c:pt idx="12">
                  <c:v>1212.5</c:v>
                </c:pt>
                <c:pt idx="13">
                  <c:v>1038.8499999999999</c:v>
                </c:pt>
                <c:pt idx="14">
                  <c:v>1192.6099999999999</c:v>
                </c:pt>
                <c:pt idx="15">
                  <c:v>1022.16</c:v>
                </c:pt>
                <c:pt idx="16">
                  <c:v>997.39</c:v>
                </c:pt>
                <c:pt idx="17">
                  <c:v>998.93</c:v>
                </c:pt>
              </c:numCache>
            </c:numRef>
          </c:val>
          <c:extLst>
            <c:ext xmlns:c16="http://schemas.microsoft.com/office/drawing/2014/chart" uri="{C3380CC4-5D6E-409C-BE32-E72D297353CC}">
              <c16:uniqueId val="{00000000-367F-43EB-B340-184F34632EA8}"/>
            </c:ext>
          </c:extLst>
        </c:ser>
        <c:ser>
          <c:idx val="1"/>
          <c:order val="1"/>
          <c:tx>
            <c:strRef>
              <c:f>q3_q7_q11_q15_q24_q35_Fig!$BB$19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q3_q7_q11_q15_q24_q35_Fig!$BB$20:$BB$37</c:f>
              <c:numCache>
                <c:formatCode>#,##0\ "€"</c:formatCode>
                <c:ptCount val="18"/>
                <c:pt idx="0">
                  <c:v>1348.68</c:v>
                </c:pt>
                <c:pt idx="1">
                  <c:v>1305.52</c:v>
                </c:pt>
                <c:pt idx="2">
                  <c:v>1244.8900000000001</c:v>
                </c:pt>
                <c:pt idx="3">
                  <c:v>1136.1600000000001</c:v>
                </c:pt>
                <c:pt idx="4">
                  <c:v>1180.77</c:v>
                </c:pt>
                <c:pt idx="5">
                  <c:v>1317.31</c:v>
                </c:pt>
                <c:pt idx="6">
                  <c:v>1271.71</c:v>
                </c:pt>
                <c:pt idx="7">
                  <c:v>1238.68</c:v>
                </c:pt>
                <c:pt idx="8">
                  <c:v>1176.51</c:v>
                </c:pt>
                <c:pt idx="9">
                  <c:v>1289.3599999999999</c:v>
                </c:pt>
                <c:pt idx="10">
                  <c:v>1779.36</c:v>
                </c:pt>
                <c:pt idx="11">
                  <c:v>1197.92</c:v>
                </c:pt>
                <c:pt idx="12">
                  <c:v>1444.09</c:v>
                </c:pt>
                <c:pt idx="13">
                  <c:v>1264.1500000000001</c:v>
                </c:pt>
                <c:pt idx="14">
                  <c:v>1456.04</c:v>
                </c:pt>
                <c:pt idx="15">
                  <c:v>1237.67</c:v>
                </c:pt>
                <c:pt idx="16">
                  <c:v>1185.9000000000001</c:v>
                </c:pt>
                <c:pt idx="17">
                  <c:v>1214.08</c:v>
                </c:pt>
              </c:numCache>
            </c:numRef>
          </c:val>
          <c:extLst>
            <c:ext xmlns:c16="http://schemas.microsoft.com/office/drawing/2014/chart" uri="{C3380CC4-5D6E-409C-BE32-E72D297353CC}">
              <c16:uniqueId val="{00000001-367F-43EB-B340-184F34632EA8}"/>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8051136322373027"/>
          <c:y val="0.85028928160986517"/>
          <c:w val="0.18730661330692686"/>
          <c:h val="0.10872542182045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q3_q7_q11_q15_q24_q35_Fig!$AM$19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5B5-47A8-8A2A-EAAB72D2D7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q3_q7_q11_q15_q24_q35_Fig!$AL$38</c:f>
              <c:strCache>
                <c:ptCount val="1"/>
                <c:pt idx="0">
                  <c:v>Continente</c:v>
                </c:pt>
              </c:strCache>
            </c:strRef>
          </c:cat>
          <c:val>
            <c:numRef>
              <c:f>q3_q7_q11_q15_q24_q35_Fig!$AM$38</c:f>
              <c:numCache>
                <c:formatCode>#,##0</c:formatCode>
                <c:ptCount val="1"/>
                <c:pt idx="0">
                  <c:v>291252</c:v>
                </c:pt>
              </c:numCache>
            </c:numRef>
          </c:val>
          <c:extLst>
            <c:ext xmlns:c16="http://schemas.microsoft.com/office/drawing/2014/chart" uri="{C3380CC4-5D6E-409C-BE32-E72D297353CC}">
              <c16:uniqueId val="{00000000-75B5-47A8-8A2A-EAAB72D2D7AB}"/>
            </c:ext>
          </c:extLst>
        </c:ser>
        <c:ser>
          <c:idx val="1"/>
          <c:order val="1"/>
          <c:tx>
            <c:strRef>
              <c:f>q3_q7_q11_q15_q24_q35_Fig!$AN$19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75B5-47A8-8A2A-EAAB72D2D7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q3_q7_q11_q15_q24_q35_Fig!$AL$38</c:f>
              <c:strCache>
                <c:ptCount val="1"/>
                <c:pt idx="0">
                  <c:v>Continente</c:v>
                </c:pt>
              </c:strCache>
            </c:strRef>
          </c:cat>
          <c:val>
            <c:numRef>
              <c:f>q3_q7_q11_q15_q24_q35_Fig!$AN$38</c:f>
              <c:numCache>
                <c:formatCode>#,##0</c:formatCode>
                <c:ptCount val="1"/>
                <c:pt idx="0">
                  <c:v>340364</c:v>
                </c:pt>
              </c:numCache>
            </c:numRef>
          </c:val>
          <c:extLst>
            <c:ext xmlns:c16="http://schemas.microsoft.com/office/drawing/2014/chart" uri="{C3380CC4-5D6E-409C-BE32-E72D297353CC}">
              <c16:uniqueId val="{00000001-75B5-47A8-8A2A-EAAB72D2D7AB}"/>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0807028631546345E-2"/>
          <c:y val="3.567815386713024E-2"/>
          <c:w val="0.93031205225533231"/>
          <c:h val="0.92049561986569861"/>
        </c:manualLayout>
      </c:layout>
      <c:barChart>
        <c:barDir val="bar"/>
        <c:grouping val="clustered"/>
        <c:varyColors val="0"/>
        <c:ser>
          <c:idx val="0"/>
          <c:order val="0"/>
          <c:tx>
            <c:strRef>
              <c:f>q3_q7_q11_q15_q24_q35_Fig!$AT$19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9E32-4165-8EA9-B5512734F5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q3_q7_q11_q15_q24_q35_Fig!$AS$38</c:f>
              <c:strCache>
                <c:ptCount val="1"/>
                <c:pt idx="0">
                  <c:v>Continente</c:v>
                </c:pt>
              </c:strCache>
            </c:strRef>
          </c:cat>
          <c:val>
            <c:numRef>
              <c:f>q3_q7_q11_q15_q24_q35_Fig!$AT$38</c:f>
              <c:numCache>
                <c:formatCode>#,##0</c:formatCode>
                <c:ptCount val="1"/>
                <c:pt idx="0">
                  <c:v>3489583</c:v>
                </c:pt>
              </c:numCache>
            </c:numRef>
          </c:val>
          <c:extLst>
            <c:ext xmlns:c16="http://schemas.microsoft.com/office/drawing/2014/chart" uri="{C3380CC4-5D6E-409C-BE32-E72D297353CC}">
              <c16:uniqueId val="{00000001-9E32-4165-8EA9-B5512734F56C}"/>
            </c:ext>
          </c:extLst>
        </c:ser>
        <c:ser>
          <c:idx val="1"/>
          <c:order val="1"/>
          <c:tx>
            <c:strRef>
              <c:f>q3_q7_q11_q15_q24_q35_Fig!$AU$19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9E32-4165-8EA9-B5512734F5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q3_q7_q11_q15_q24_q35_Fig!$AS$38</c:f>
              <c:strCache>
                <c:ptCount val="1"/>
                <c:pt idx="0">
                  <c:v>Continente</c:v>
                </c:pt>
              </c:strCache>
            </c:strRef>
          </c:cat>
          <c:val>
            <c:numRef>
              <c:f>q3_q7_q11_q15_q24_q35_Fig!$AU$38</c:f>
              <c:numCache>
                <c:formatCode>#,##0</c:formatCode>
                <c:ptCount val="1"/>
                <c:pt idx="0">
                  <c:v>3296134</c:v>
                </c:pt>
              </c:numCache>
            </c:numRef>
          </c:val>
          <c:extLst>
            <c:ext xmlns:c16="http://schemas.microsoft.com/office/drawing/2014/chart" uri="{C3380CC4-5D6E-409C-BE32-E72D297353CC}">
              <c16:uniqueId val="{00000003-9E32-4165-8EA9-B5512734F56C}"/>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5.6924250327103458E-2"/>
          <c:y val="3.567815386713024E-2"/>
          <c:w val="0.86584316547310392"/>
          <c:h val="0.92049561986569861"/>
        </c:manualLayout>
      </c:layout>
      <c:barChart>
        <c:barDir val="bar"/>
        <c:grouping val="clustered"/>
        <c:varyColors val="0"/>
        <c:ser>
          <c:idx val="0"/>
          <c:order val="0"/>
          <c:tx>
            <c:strRef>
              <c:f>q3_q7_q11_q15_q24_q35_Fig!$BA$19</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layout>
                <c:manualLayout>
                  <c:x val="-0.27898879028194984"/>
                  <c:y val="1.1307870370370371E-2"/>
                </c:manualLayout>
              </c:layout>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24272535873508994"/>
                      <c:h val="0.25610398860398853"/>
                    </c:manualLayout>
                  </c15:layout>
                </c:ext>
                <c:ext xmlns:c16="http://schemas.microsoft.com/office/drawing/2014/chart" uri="{C3380CC4-5D6E-409C-BE32-E72D297353CC}">
                  <c16:uniqueId val="{00000000-49BD-4AAF-A276-4098319ACECD}"/>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q3_q7_q11_q15_q24_q35_Fig!$AZ$38</c:f>
              <c:strCache>
                <c:ptCount val="1"/>
                <c:pt idx="0">
                  <c:v>Continente</c:v>
                </c:pt>
              </c:strCache>
            </c:strRef>
          </c:cat>
          <c:val>
            <c:numRef>
              <c:f>q3_q7_q11_q15_q24_q35_Fig!$BA$38</c:f>
              <c:numCache>
                <c:formatCode>#,##0\ "€"</c:formatCode>
                <c:ptCount val="1"/>
                <c:pt idx="0">
                  <c:v>1219.8699999999999</c:v>
                </c:pt>
              </c:numCache>
            </c:numRef>
          </c:val>
          <c:extLst>
            <c:ext xmlns:c16="http://schemas.microsoft.com/office/drawing/2014/chart" uri="{C3380CC4-5D6E-409C-BE32-E72D297353CC}">
              <c16:uniqueId val="{00000001-49BD-4AAF-A276-4098319ACECD}"/>
            </c:ext>
          </c:extLst>
        </c:ser>
        <c:ser>
          <c:idx val="1"/>
          <c:order val="1"/>
          <c:tx>
            <c:strRef>
              <c:f>q3_q7_q11_q15_q24_q35_Fig!$BB$19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49BD-4AAF-A276-4098319ACECD}"/>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q3_q7_q11_q15_q24_q35_Fig!$AZ$38</c:f>
              <c:strCache>
                <c:ptCount val="1"/>
                <c:pt idx="0">
                  <c:v>Continente</c:v>
                </c:pt>
              </c:strCache>
            </c:strRef>
          </c:cat>
          <c:val>
            <c:numRef>
              <c:f>q3_q7_q11_q15_q24_q35_Fig!$BB$38</c:f>
              <c:numCache>
                <c:formatCode>#,##0\ "€"</c:formatCode>
                <c:ptCount val="1"/>
                <c:pt idx="0">
                  <c:v>1466.66</c:v>
                </c:pt>
              </c:numCache>
            </c:numRef>
          </c:val>
          <c:extLst>
            <c:ext xmlns:c16="http://schemas.microsoft.com/office/drawing/2014/chart" uri="{C3380CC4-5D6E-409C-BE32-E72D297353CC}">
              <c16:uniqueId val="{00000003-49BD-4AAF-A276-4098319ACECD}"/>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q4_8_12_16_25_36_Fig!$R$6</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6.2188007432133839E-2"/>
                  <c:y val="-0.10537581553483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0B-4E38-A0B2-A66A7C67D7EB}"/>
                </c:ext>
              </c:extLst>
            </c:dLbl>
            <c:dLbl>
              <c:idx val="10"/>
              <c:layout>
                <c:manualLayout>
                  <c:x val="-0.11392992711610846"/>
                  <c:y val="-6.6298929675130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0B-4E38-A0B2-A66A7C67D7EB}"/>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0B-4E38-A0B2-A66A7C67D7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q4_8_12_16_25_36_Fig!$S$5:$AC$5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q4_8_12_16_25_36_Fig!$S$6:$AC$6</c:f>
              <c:numCache>
                <c:formatCode>#,##0</c:formatCode>
                <c:ptCount val="11"/>
                <c:pt idx="0">
                  <c:v>53685</c:v>
                </c:pt>
                <c:pt idx="1">
                  <c:v>54415</c:v>
                </c:pt>
                <c:pt idx="2">
                  <c:v>55029</c:v>
                </c:pt>
                <c:pt idx="3">
                  <c:v>55354</c:v>
                </c:pt>
                <c:pt idx="4">
                  <c:v>56108</c:v>
                </c:pt>
                <c:pt idx="5">
                  <c:v>57209</c:v>
                </c:pt>
                <c:pt idx="6">
                  <c:v>55559</c:v>
                </c:pt>
                <c:pt idx="7">
                  <c:v>56643</c:v>
                </c:pt>
                <c:pt idx="8">
                  <c:v>54793</c:v>
                </c:pt>
                <c:pt idx="9">
                  <c:v>57854</c:v>
                </c:pt>
                <c:pt idx="10">
                  <c:v>59573</c:v>
                </c:pt>
              </c:numCache>
            </c:numRef>
          </c:val>
          <c:extLst>
            <c:ext xmlns:c16="http://schemas.microsoft.com/office/drawing/2014/chart" uri="{C3380CC4-5D6E-409C-BE32-E72D297353CC}">
              <c16:uniqueId val="{00000003-980B-4E38-A0B2-A66A7C67D7EB}"/>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q4_8_12_16_25_36_Fig!$R$7</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980B-4E38-A0B2-A66A7C67D7EB}"/>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980B-4E38-A0B2-A66A7C67D7EB}"/>
              </c:ext>
            </c:extLst>
          </c:dPt>
          <c:dLbls>
            <c:dLbl>
              <c:idx val="0"/>
              <c:layout>
                <c:manualLayout>
                  <c:x val="7.9394142669286016E-2"/>
                  <c:y val="-4.5953212075963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0B-4E38-A0B2-A66A7C67D7EB}"/>
                </c:ext>
              </c:extLst>
            </c:dLbl>
            <c:dLbl>
              <c:idx val="10"/>
              <c:layout>
                <c:manualLayout>
                  <c:x val="-6.6792310190435217E-2"/>
                  <c:y val="-6.34168547666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0B-4E38-A0B2-A66A7C67D7EB}"/>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0B-4E38-A0B2-A66A7C67D7EB}"/>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q4_8_12_16_25_36_Fig!$S$5:$AC$5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q4_8_12_16_25_36_Fig!$S$7:$AC$7</c:f>
              <c:numCache>
                <c:formatCode>#,##0</c:formatCode>
                <c:ptCount val="11"/>
                <c:pt idx="0">
                  <c:v>64587</c:v>
                </c:pt>
                <c:pt idx="1">
                  <c:v>65289</c:v>
                </c:pt>
                <c:pt idx="2">
                  <c:v>65847</c:v>
                </c:pt>
                <c:pt idx="3">
                  <c:v>66220</c:v>
                </c:pt>
                <c:pt idx="4">
                  <c:v>66764</c:v>
                </c:pt>
                <c:pt idx="5">
                  <c:v>67989</c:v>
                </c:pt>
                <c:pt idx="6">
                  <c:v>66115</c:v>
                </c:pt>
                <c:pt idx="7">
                  <c:v>67101</c:v>
                </c:pt>
                <c:pt idx="8">
                  <c:v>64927</c:v>
                </c:pt>
                <c:pt idx="9">
                  <c:v>68270</c:v>
                </c:pt>
                <c:pt idx="10">
                  <c:v>70103.999999999985</c:v>
                </c:pt>
              </c:numCache>
            </c:numRef>
          </c:val>
          <c:smooth val="0"/>
          <c:extLst>
            <c:ext xmlns:c16="http://schemas.microsoft.com/office/drawing/2014/chart" uri="{C3380CC4-5D6E-409C-BE32-E72D297353CC}">
              <c16:uniqueId val="{00000007-980B-4E38-A0B2-A66A7C67D7EB}"/>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q4_8_12_16_25_36_Fig!$R$38</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6.2188007432133839E-2"/>
                  <c:y val="-0.10537581553483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1-4BA8-B76A-3629BFCCD9F1}"/>
                </c:ext>
              </c:extLst>
            </c:dLbl>
            <c:dLbl>
              <c:idx val="10"/>
              <c:layout>
                <c:manualLayout>
                  <c:x val="-0.11392992711610846"/>
                  <c:y val="-6.6298929675130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91-4BA8-B76A-3629BFCCD9F1}"/>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1-4BA8-B76A-3629BFCCD9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q4_8_12_16_25_36_Fig!$S$37:$AC$37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q4_8_12_16_25_36_Fig!$S$38:$AC$38</c:f>
              <c:numCache>
                <c:formatCode>#,##0</c:formatCode>
                <c:ptCount val="11"/>
                <c:pt idx="0">
                  <c:v>692704</c:v>
                </c:pt>
                <c:pt idx="1">
                  <c:v>715126</c:v>
                </c:pt>
                <c:pt idx="2">
                  <c:v>730551</c:v>
                </c:pt>
                <c:pt idx="3">
                  <c:v>765222</c:v>
                </c:pt>
                <c:pt idx="4">
                  <c:v>790694</c:v>
                </c:pt>
                <c:pt idx="5">
                  <c:v>826919</c:v>
                </c:pt>
                <c:pt idx="6">
                  <c:v>845336</c:v>
                </c:pt>
                <c:pt idx="7">
                  <c:v>835460</c:v>
                </c:pt>
                <c:pt idx="8">
                  <c:v>838586</c:v>
                </c:pt>
                <c:pt idx="9">
                  <c:v>915180</c:v>
                </c:pt>
                <c:pt idx="10">
                  <c:v>969558</c:v>
                </c:pt>
              </c:numCache>
            </c:numRef>
          </c:val>
          <c:extLst>
            <c:ext xmlns:c16="http://schemas.microsoft.com/office/drawing/2014/chart" uri="{C3380CC4-5D6E-409C-BE32-E72D297353CC}">
              <c16:uniqueId val="{00000003-6991-4BA8-B76A-3629BFCCD9F1}"/>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q4_8_12_16_25_36_Fig!$R$39</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6991-4BA8-B76A-3629BFCCD9F1}"/>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6991-4BA8-B76A-3629BFCCD9F1}"/>
              </c:ext>
            </c:extLst>
          </c:dPt>
          <c:dLbls>
            <c:dLbl>
              <c:idx val="0"/>
              <c:layout>
                <c:manualLayout>
                  <c:x val="1.4485420559752521E-2"/>
                  <c:y val="-9.0123386658288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91-4BA8-B76A-3629BFCCD9F1}"/>
                </c:ext>
              </c:extLst>
            </c:dLbl>
            <c:dLbl>
              <c:idx val="10"/>
              <c:layout>
                <c:manualLayout>
                  <c:x val="-6.6792310190435217E-2"/>
                  <c:y val="-6.34168547666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91-4BA8-B76A-3629BFCCD9F1}"/>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91-4BA8-B76A-3629BFCCD9F1}"/>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q4_8_12_16_25_36_Fig!$S$37:$AC$37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q4_8_12_16_25_36_Fig!$S$39:$AC$39</c:f>
              <c:numCache>
                <c:formatCode>#,##0</c:formatCode>
                <c:ptCount val="11"/>
                <c:pt idx="0">
                  <c:v>656569.99999999988</c:v>
                </c:pt>
                <c:pt idx="1">
                  <c:v>677265</c:v>
                </c:pt>
                <c:pt idx="2">
                  <c:v>692513</c:v>
                </c:pt>
                <c:pt idx="3">
                  <c:v>728120</c:v>
                </c:pt>
                <c:pt idx="4">
                  <c:v>753266.00000000012</c:v>
                </c:pt>
                <c:pt idx="5">
                  <c:v>788380.00000000012</c:v>
                </c:pt>
                <c:pt idx="6">
                  <c:v>807855</c:v>
                </c:pt>
                <c:pt idx="7">
                  <c:v>797460</c:v>
                </c:pt>
                <c:pt idx="8">
                  <c:v>801493</c:v>
                </c:pt>
                <c:pt idx="9">
                  <c:v>875584</c:v>
                </c:pt>
                <c:pt idx="10">
                  <c:v>928991</c:v>
                </c:pt>
              </c:numCache>
            </c:numRef>
          </c:val>
          <c:smooth val="0"/>
          <c:extLst>
            <c:ext xmlns:c16="http://schemas.microsoft.com/office/drawing/2014/chart" uri="{C3380CC4-5D6E-409C-BE32-E72D297353CC}">
              <c16:uniqueId val="{00000007-6991-4BA8-B76A-3629BFCCD9F1}"/>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q4_8_12_16_25_36_Fig!$R$72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5.8742180554002758E-2"/>
                  <c:y val="-6.8825092678146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24-4D6E-BC8F-E0CC3DD6E3BF}"/>
                </c:ext>
              </c:extLst>
            </c:dLbl>
            <c:dLbl>
              <c:idx val="10"/>
              <c:layout>
                <c:manualLayout>
                  <c:x val="-7.6729435189769629E-2"/>
                  <c:y val="-5.3800277387150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24-4D6E-BC8F-E0CC3DD6E3BF}"/>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24-4D6E-BC8F-E0CC3DD6E3B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q4_8_12_16_25_36_Fig!$S$71:$AC$71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q4_8_12_16_25_36_Fig!$S$72:$AC$72</c:f>
              <c:numCache>
                <c:formatCode>#,##0.00</c:formatCode>
                <c:ptCount val="11"/>
                <c:pt idx="0">
                  <c:v>1184.3399999999999</c:v>
                </c:pt>
                <c:pt idx="1">
                  <c:v>1174.23</c:v>
                </c:pt>
                <c:pt idx="2">
                  <c:v>1175.57</c:v>
                </c:pt>
                <c:pt idx="3">
                  <c:v>1179.78</c:v>
                </c:pt>
                <c:pt idx="4">
                  <c:v>1197.4000000000001</c:v>
                </c:pt>
                <c:pt idx="5">
                  <c:v>1219.74</c:v>
                </c:pt>
                <c:pt idx="6">
                  <c:v>1255.78</c:v>
                </c:pt>
                <c:pt idx="7">
                  <c:v>1293.07</c:v>
                </c:pt>
                <c:pt idx="8">
                  <c:v>1339.8</c:v>
                </c:pt>
                <c:pt idx="9">
                  <c:v>1418.39</c:v>
                </c:pt>
                <c:pt idx="10">
                  <c:v>1505.99</c:v>
                </c:pt>
              </c:numCache>
            </c:numRef>
          </c:val>
          <c:extLst>
            <c:ext xmlns:c16="http://schemas.microsoft.com/office/drawing/2014/chart" uri="{C3380CC4-5D6E-409C-BE32-E72D297353CC}">
              <c16:uniqueId val="{00000003-BF24-4D6E-BC8F-E0CC3DD6E3BF}"/>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q4_8_12_16_25_36_Fig!$R$73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BF24-4D6E-BC8F-E0CC3DD6E3BF}"/>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BF24-4D6E-BC8F-E0CC3DD6E3BF}"/>
              </c:ext>
            </c:extLst>
          </c:dPt>
          <c:dLbls>
            <c:dLbl>
              <c:idx val="0"/>
              <c:layout>
                <c:manualLayout>
                  <c:x val="3.7416215467993025E-4"/>
                  <c:y val="-0.126673723074259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24-4D6E-BC8F-E0CC3DD6E3BF}"/>
                </c:ext>
              </c:extLst>
            </c:dLbl>
            <c:dLbl>
              <c:idx val="10"/>
              <c:layout>
                <c:manualLayout>
                  <c:x val="-0.1934663238089154"/>
                  <c:y val="-9.4679522776622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24-4D6E-BC8F-E0CC3DD6E3BF}"/>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24-4D6E-BC8F-E0CC3DD6E3BF}"/>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8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q4_8_12_16_25_36_Fig!$S$71:$AC$71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q4_8_12_16_25_36_Fig!$S$73:$AC$73</c:f>
              <c:numCache>
                <c:formatCode>#,##0.00</c:formatCode>
                <c:ptCount val="11"/>
                <c:pt idx="0">
                  <c:v>1427.96</c:v>
                </c:pt>
                <c:pt idx="1">
                  <c:v>1421.25</c:v>
                </c:pt>
                <c:pt idx="2">
                  <c:v>1420.24</c:v>
                </c:pt>
                <c:pt idx="3">
                  <c:v>1424.28</c:v>
                </c:pt>
                <c:pt idx="4">
                  <c:v>1447.51</c:v>
                </c:pt>
                <c:pt idx="5">
                  <c:v>1480.76</c:v>
                </c:pt>
                <c:pt idx="6">
                  <c:v>1518.6</c:v>
                </c:pt>
                <c:pt idx="7">
                  <c:v>1558.34</c:v>
                </c:pt>
                <c:pt idx="8">
                  <c:v>1609.14</c:v>
                </c:pt>
                <c:pt idx="9">
                  <c:v>1705.14</c:v>
                </c:pt>
                <c:pt idx="10">
                  <c:v>1817.17</c:v>
                </c:pt>
              </c:numCache>
            </c:numRef>
          </c:val>
          <c:smooth val="0"/>
          <c:extLst>
            <c:ext xmlns:c16="http://schemas.microsoft.com/office/drawing/2014/chart" uri="{C3380CC4-5D6E-409C-BE32-E72D297353CC}">
              <c16:uniqueId val="{00000007-BF24-4D6E-BC8F-E0CC3DD6E3BF}"/>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20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q4_8_12_16_25_36_Fig!$AS$37</c:f>
              <c:strCache>
                <c:ptCount val="1"/>
                <c:pt idx="0">
                  <c:v>Empresas</c:v>
                </c:pt>
              </c:strCache>
            </c:strRef>
          </c:tx>
          <c:spPr>
            <a:solidFill>
              <a:srgbClr val="4572A5"/>
            </a:solidFill>
            <a:ln w="15875" cmpd="sng">
              <a:noFill/>
              <a:prstDash val="soli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q4_8_12_16_25_36_Fig!$AR$38</c:f>
              <c:strCache>
                <c:ptCount val="1"/>
                <c:pt idx="0">
                  <c:v>Norte</c:v>
                </c:pt>
              </c:strCache>
            </c:strRef>
          </c:cat>
          <c:val>
            <c:numRef>
              <c:extLst>
                <c:ext xmlns:c15="http://schemas.microsoft.com/office/drawing/2012/chart" uri="{02D57815-91ED-43cb-92C2-25804820EDAC}">
                  <c15:fullRef>
                    <c15:sqref>q4_8_12_16_25_36_Fig!$AS$38:$AS$44</c15:sqref>
                  </c15:fullRef>
                </c:ext>
              </c:extLst>
              <c:f>q4_8_12_16_25_36_Fig!$AS$38</c:f>
              <c:numCache>
                <c:formatCode>#,##0</c:formatCode>
                <c:ptCount val="1"/>
                <c:pt idx="0">
                  <c:v>112985.99999999999</c:v>
                </c:pt>
              </c:numCache>
            </c:numRef>
          </c:val>
          <c:extLst>
            <c:ext xmlns:c16="http://schemas.microsoft.com/office/drawing/2014/chart" uri="{C3380CC4-5D6E-409C-BE32-E72D297353CC}">
              <c16:uniqueId val="{00000000-054E-4AD8-B0B8-6A5BE91409B9}"/>
            </c:ext>
          </c:extLst>
        </c:ser>
        <c:ser>
          <c:idx val="1"/>
          <c:order val="1"/>
          <c:tx>
            <c:strRef>
              <c:f>q4_8_12_16_25_36_Fig!$AT$37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q4_8_12_16_25_36_Fig!$AR$38:$AR$44</c15:sqref>
                  </c15:fullRef>
                </c:ext>
              </c:extLst>
              <c:f>q4_8_12_16_25_36_Fig!$AR$38</c:f>
              <c:strCache>
                <c:ptCount val="1"/>
                <c:pt idx="0">
                  <c:v>Norte</c:v>
                </c:pt>
              </c:strCache>
            </c:strRef>
          </c:cat>
          <c:val>
            <c:numRef>
              <c:extLst>
                <c:ext xmlns:c15="http://schemas.microsoft.com/office/drawing/2012/chart" uri="{02D57815-91ED-43cb-92C2-25804820EDAC}">
                  <c15:fullRef>
                    <c15:sqref>q4_8_12_16_25_36_Fig!$AT$38:$AT$44</c15:sqref>
                  </c15:fullRef>
                </c:ext>
              </c:extLst>
              <c:f>q4_8_12_16_25_36_Fig!$AT$38</c:f>
              <c:numCache>
                <c:formatCode>#,##0</c:formatCode>
                <c:ptCount val="1"/>
                <c:pt idx="0">
                  <c:v>129002.00000000001</c:v>
                </c:pt>
              </c:numCache>
            </c:numRef>
          </c:val>
          <c:extLst>
            <c:ext xmlns:c16="http://schemas.microsoft.com/office/drawing/2014/chart" uri="{C3380CC4-5D6E-409C-BE32-E72D297353CC}">
              <c16:uniqueId val="{00000001-054E-4AD8-B0B8-6A5BE91409B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_xlchart.v5.17</cx:f>
        <cx:nf>_xlchart.v5.16</cx:nf>
      </cx:strDim>
      <cx:numDim type="colorVal">
        <cx:f>_xlchart.v5.19</cx:f>
        <cx:nf>_xlchart.v5.18</cx:nf>
      </cx:numDim>
    </cx:data>
  </cx:chartData>
  <cx:chart>
    <cx:plotArea>
      <cx:plotAreaRegion>
        <cx:series layoutId="regionMap" uniqueId="{8671570F-A959-4E8A-BBD8-90A5CA973BCF}">
          <cx:tx>
            <cx:txData>
              <cx:f>_xlchart.v5.18</cx:f>
              <cx:v>Empresas</cx:v>
            </cx:txData>
          </cx:tx>
          <cx:dataId val="0"/>
          <cx:layoutPr>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strDim type="cat">
        <cx:f>_xlchart.v5.31</cx:f>
        <cx:nf>_xlchart.v5.30</cx:nf>
      </cx:strDim>
      <cx:numDim type="colorVal">
        <cx:f>_xlchart.v5.33</cx:f>
        <cx:nf>_xlchart.v5.29</cx:nf>
      </cx:numDim>
    </cx:data>
  </cx:chartData>
  <cx:chart>
    <cx:plotArea>
      <cx:plotAreaRegion>
        <cx:plotSurface>
          <cx:spPr>
            <a:solidFill>
              <a:srgbClr val="FFC000"/>
            </a:solidFill>
          </cx:spPr>
        </cx:plotSurface>
        <cx:series layoutId="regionMap" uniqueId="{7D85024E-A40A-4138-AA05-C850460FF396}">
          <cx:tx>
            <cx:txData>
              <cx:f>_xlchart.v5.32</cx:f>
              <cx:v>TCO</cx:v>
            </cx:txData>
          </cx:tx>
          <cx:dataId val="0"/>
          <cx:layoutPr>
            <cx:regionLabelLayout val="none"/>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strDim type="cat">
        <cx:f>_xlchart.v5.47</cx:f>
        <cx:nf>_xlchart.v5.46</cx:nf>
      </cx:strDim>
      <cx:numDim type="colorVal">
        <cx:f>_xlchart.v5.49</cx:f>
        <cx:nf>_xlchart.v5.48</cx:nf>
      </cx:numDim>
    </cx:data>
  </cx:chartData>
  <cx:chart>
    <cx:plotArea>
      <cx:plotAreaRegion>
        <cx:series layoutId="regionMap" uniqueId="{DEA480E0-C680-4B89-8F46-E4C2CFCE3455}">
          <cx:tx>
            <cx:txData>
              <cx:f>_xlchart.v5.48</cx:f>
              <cx:v>Base</cx:v>
            </cx:txData>
          </cx:tx>
          <cx:dataId val="0"/>
          <cx:layoutPr>
            <cx:geography viewedRegionType="dataOnly" cultureLanguage="pt-PT" cultureRegion="PT" attribution="Com tecnologia Bing">
              <cx:geoCache provider="{E9337A44-BEBE-4D9F-B70C-5C5E7DAFC167}">
                <cx:binary>1Htbctw4s+ZWHH4eukkQAIETp0/EgGRdVbpZki8vDFmSSfAOkABJ7GBWMjFbmNd/Y5OS5W5Lrbb7
j+OHsToC7gIKZDI/ZOaXmaz/vJn/46a+u9av5qZuh/+4mX9/XYxj/x+//TbcFHfN9fCmkTe6G7rP
45ubrvmt+/xZ3tz9dquvJ9nmvyE/wL/dFNd6vJtf/9d/wtXyu+6ou7keZdeemTu9nN8Nph6H76y9
uPTq+raRbSKHUcubMfj9tdDX+XX7r/99/frVXTvKcblY+rvfXz/52utXvz2/2F9u/KoG2UZzC3tx
8Ib4PMScBfzhL3r9qu7a/HHZo28Y4ZhHPv2yzNnXex9fN7D/H4n0IND17a2+GwZ4qId/n2x98gRP
Vm460473GsxBmb+/Pu30aPLr+vUrOXTxl7W4u3+Q04uHJ//tqfr/6z+fTYAuns18g9Bzxf1o6WWA
viro54BDEPc5w4/afwoOexP6nPo+C/0vfy+B8z1xvgPM66cP9wjK61e/FiD/095J3X1PBf+mufhv
IhRGFJHgORSYRoyE5CtS6OtNv9jJjwV5GYuv+55ZyNfpXwuNtbnWtz/TeflvKPZJRLD/ovOK3iDE
EYmCx+XnzuvH8rwMytd9z0D5Ov1rgRJfD+Nd3b0CT97e/ERTCfkbjimOCGdfnBNYxLeRJYLAE1AS
BuzRt/GnFvPP5XoZpOf7n4H1fPnXAk3clT/RjsLoDUMQ4zF6hOqZc4sAyZBxGkWPcSZ8CtWPpHkZ
oC+7nsHyZfL/bzD+VrpvSdmTL/2bpAxMhzIU8Ig8Y2MABCywiIePNgPrX276Jcr8SY/+XpSXwfhz
5xPB/79nXKvrnxnewRAQjuA/+njS4aB/67PYmyAkEP45etQ/far/H0nzsu6/7HpmCF8mfy0w4k42
n/RPdEzYf4N8HCLEgi+e55ljAgIckogC83rE4xnr+gcCvQzJHxufofLH/K8FzL/+l+1+Ji4he0P9
EMI75S/iAvEEBxxBRHnE5Vli8mN5Xobl675nqHyd/rVAOYLURP5EY4GoEQUR8YESP2r9ufOKwLX5
lOGXo/iP5XkZlK/7noHydfoXA0UOn7qfC4rvByFHIfkCyrOIzt8E4L5wEH6lVvhpRDn6oTx/A8rj
vuegPE7/WqDck5Pr+i7Xd1+V89+vrYC1BPfOC1L5F4GJ3lDkExoEj3Ux/izU/zOZXgbn273PAPp2
6dcD6Semj1CYRMDFENRaXsQHQj9BxAdm8OjsnoWYe0V+V5y/hwa2vYAKzP5agLy9G//1fz/d10q/
TQaePNm/m5fc8y0aRP43On9Kj4EQBIT+USx+lp78E4lehuXPnU/k//31nwu/GDjX7Xit//V/mp+I
Dn+DOBQgGQFTeAoLhsjPuf9Iov3nsPwTWf4Glz+3Pgfmz5VfC5kred1ev7rtXj1WiH4eQODSWAT+
DEPH5eHvGRdgUBED+wEy8OjSnmUz/45kL8P11ys8Q+2vX/jVwKuvX53f/Uynd98hIxBowOt94c3P
agJAFMKARCF6ZNU+5Kjf1mSu5D8Q6e/g+mPrX3D6Y+VXA2i4M18V9N9ncVAgiDhjEVQnXzQpSEQj
n/tRFD2uP2NxV/IH4vwdMA/b/gLKw+yvBUjcQSe5hQP7Q279vb7p36/90XxOrsfr9KFr/U1b9fur
D8qHZvqzrU/4zBNtfz1Y29vfXwccDPWPXvj9JZ6Y5T0//NJJ/mKsf2y5g37I76+h8R0wRKHofZ+e
MR9TaE9Mdw9LIVDTKAgx4yQEinofTlu4WgHddPQmwITerwBtZVCqff1q6Mz9Uui/8aFbi2CFYARl
XPbHuwKnXb3kXfuHLh4/v2pNc9rJdhzgYeAe/Zev3QtKwOWAeD6D/hbUgil4Jli/uT6H9xHuv/0/
pq6tHfbLKM55Kbemv51DLabO4ZMBjTStMb9gxeClkRmOedP1Z1lnyNY01doO/UWbc74LaLelbJhX
PY2W5BtdviAfJs/lwwGDZgKnxI9AygCweCJfn8u2CAMaezOtVrkp9Wrw50yo/WgQFq2t2argbGN1
owSRXXmm8wCnxJNnfT+iXeSKLW1kd6nQHOugMjFVhqaIm4uKoTb2WaNOSLt1+Vzs3dCcKNYux5Tr
a9WFNMnKvNg2Go+pzZdx5XcNTvxWmV2u5LW/BPNxG9b5larLszykeaKLqku6MLjOqcJbHrr81E5h
eKzbKLXZdB7KqfmRiu5V8ARCzAJ83/4CRk1wEIBr+lZFii5dRFC3xCWAvVpsxfYPQ01HtldTZ7Zk
agpBBx3EFc7qdz7NaUrQpNZ00XPc9ZLtq7Jc53kw74sl8JKgqvP9bGzCpfTO+tl7P5B62VcGZWeR
Z06cmeqLjgbHee/h9TDnkZj6PjsUbUudYGUnNC+Wo0COCUPFOmo0ezeBFLGhYbQv6yl656wvnCnk
bgkZTfIw9BMvD/vzhXg0/v4hiu418ExD928/hBRDFxcqKPdG8M0hV8syNHkRTvGwiGKezbaqB1/k
xTSdl3WYHdsxTJwh5d5mauxE74pJKH+kiWfaco/NVO55OB5GS477GVerwOgyzao5P9SaniwIVwc6
DvWhaNDHupzR+mFqlFWVcDsXaUdm/wwZXiU19vqVU9w/m++HhpBIBJOvN473ThBsqzO+lAKVOf28
1MMpaW1/pp1/NLm83/dz2H0ZSNA/fqRZn7Z9gPeZrPCxdiQ89stObqZRb6qi7w5VxLqDl41+XOUh
X41hHpesqz6SmkQr3FR5DBoLNrPfz0eLLLaWyWFr7z89TMkin496I8tdEdVpOFVm77XLuB971e5Z
FpOsXOKlyvFxH2X6KOuGH/kABB7yKXwUAS2C4nwANRYgvs8OuFfxoQbznWPFPD9BHaqPiyI6BbUs
gptQr3O/G5POZ+XlFI5EDEzVF83gr1ThD2lG5nylZ03e1tO4a8eRnStXdzGWy3HdhuVRH/bV8VAt
cHCPa2vVVb/4rag62h1aVDAR5q5Zq5ZNhx5P5fr7Z5NBXe7Zw4WIQ2AIMTh8eMRnDs66sqLBWE7x
PE2fMC+mdG6L+ZDhRW7zHEzKn4UNZvK2mLIPeGmvhiCQZx7NbgrJ1M73suLsYcrZyBOcmnD9MPcw
NDSaEmq7PMkWf117obzKBlNsbFnhhGVVeeUNHV15XKYVNjjGlsznD0Nkl23vWXs8NfNybjpLdwq5
UjwsFrpezsOoMPEIEWAd5gLy+eG0yZ1/SnXmJSOfaPLw8WGIdBmtuojle6sW7zibBhlnNKTXlJPT
amHFJcK9XbfhkOiaotTjTH5gS/UhyCZ15gemOw3CfjNnapVj6pXprPmQwJHhcJM+bVzbXdZdXaZD
HqJtG/h0G9R1IJzvmr0L2RRriFYrPzLntEX4RMswv8op2hmSd2emVPlVX3RpH7TkfML97fchJi9A
TENMERxfwDei9+vfuB/GJZV+5kxsGbHxqKOzvMHVRbd0s3DD+7yNyIfcxd5QlAL8dbT7MoTjKHyW
H1eI1LsZ635v29KtvNkVMYS1M8IsO3oYUNWwo7DG3abR/FyOLFeJrdFHu/BxzcsIHzVWt7slGvdS
z0MayFBt6RAG7wt30huOjgyldQLkmOx9PGabPDJXeT3b98XCPjUdwbdVtx11uBn7rj3kpLRFrPq0
KAd/V3hbrwz0rqo5bsXiu2xXhOrrECmafF+dQfAXTkAjROFtHWhAMAY2A+ToW33OXoAW3aEunua0
oNjsymaKajFNhd01JKO18BY7bouQirIl5Ly+H1hwMaDQPyttlB8bpjYGrrz/c1DTmPRzZldqpFlM
gdRcqmpadyUN3hHVloI107JtdSekX5DdUnd2Dc5zZ5sCAv6S5qQrTxnv3HkTFFHihZmX6tlFhwD3
Rx1G+ExXRsUtYXNch/gdD8BEPD4tcVYq/0iFtwuN6AYo1CxUi/XZcD8QZKfYDLxPFGGpGll7HARL
vmVOn/m8UntjsC/8IPNXoCkneq/nSTc3V6iY914w0NNyKsYTGpmdVAHZPwzOZWRfe8VHMnO+7rPB
O5gq9A6DCysRoo031tnpsmB5phe3XoLRPxBSCzYswYZ7Cp1G94Ma5iBexrA6njs3rmbbkpOmmG1a
8t6c+b71E957zTHWnt1meUnj0Wh4oTSoT0ghS9GTsT7qLJ72LmrrZKjb7uMk5/emn/X5nPftoeC+
il2G2499PV40qJuOhmIpzx6Gzi1rXyq0a7RrZ5FFZD8tITlMpXfD/K69+f6pC/9ixNATizjEHxQy
FEE3+emhi1yN2sVEdVzoZCa2P2+s6ze6z3xRAuAHYlC7r3k5xyPyK1E0xgKprLZ2Gfp9ONfDphnb
z5o0sy+Kjo+bSkbvspZDaNfFbSW5ty48fNYuZ12V86Rqh2o19IF3jpdp2owDWku58KOHoVHFtMok
GuKgoPayD8NYT9K9+/4jw+l/nh1AzkuBeYH3IvD+KGQqTx9a8XEyDC+V8O9j/dJdPAx1WIiyoOh8
Qjg45DP7MNRkEPlY0FhT1mwDCXyT2Epekclvj7yMT6Kzs7xiraS7yUZl/LBKM2q3Nbz6FQ9TWFzN
WZGtAxMTJ7vV0gf1JSuLXERDajKVn1u/Hs+90K/hTt28e/g4qAbFY1FwCJI++TzjEB/mDuLdMrJT
3TNPDO2AU+D06zYb57gdVBzYedr2Tl2VVl+oMs9FINVtmakeKKH62FXH26GQt6yaeuFVS+oq/jEj
VSOUEwMZPywhfz8Ao43N3eixz61FwvVVF88eHURRLR/nEAJa2HVx3UHEbNzkRJsv12qSReyH3Tqi
eRXPYT3EjuI173IUy9r0QtUaeOfETtiWZu4jH9tJLK08DpSXjk17Wmr7odRkU0XVNVPhmiuWiYDY
Ou5UNcZd6cCHh02wshM71qwZ1yTzrl2rzuTkqABeIQ9ew0tRRrkovDEQfVe9DUi/MpYDiyLZVSnL
99q7oFS9tUuEtyUmUuh2/Djqpkosnd55LeQOnqnjUo2tCGbvpGRBFhtf1wI382WJPRNPdCWHaY2s
ewuFSlF6lwXPC1G0/JAt/VkVjX0653btBz0WwAYSCMZd2smpFWrumlWjlSd0kK01at+pcAgT5EsX
hzUahE/Usqmxqzc+H6rYQHyPQytUqOVaBeEqqDwuXGHK1FNkw8u8FNZwtQr7/MbXwvMidquov5WL
KVdIFngVjE22zc8zjocVrr35mNhci5oYPw26E8h5wDs1CYtKdtmiOW24nxpMypiZlmxrbQF5adaB
rqdEE0ZiZHxvg2worJVrYr0jnOXFriWjQKbrxVT4JeTTcVBHdm1mI1AWdYL0c37k9dUenixKR1x3
IkOZFMoggZX21vXin/h98Lnwen9vUS5XRVHp2HPtuTb+RemtjbVaMNZvKOoT1EKSPFu3RT3ZFbzu
RTnTU9YviwB9eqJXUy1KrgVZUHCMKnfltG3TARMTVwbmISBGKwpeb0PQ0Im5rFMMye7GzmROrY09
2V7xkV03HZ8Sucm68EDDmSXj6I/redb6ovGjz7XO9hPBxckMZYNFA8GYMMCpKD3kRR2KHhXeaeDe
KtJ+GnK6LotRCgcuZJC9yHKON4srV8YogVFw6Gd+alDZpYNB67EIhHGqjueyuvJ8/9rDE8Si/F3d
FWIp/I2lVlQXsggGUY+KC9NFJ+MsT+aALbvxneE9mGHPPzhN17xZPOEqm/T3gSr8WM7mpog+BN5g
EjktfZyrYGfnu8rU3YcGBJ/mPBNeZ6OzZpeH2j9pFsnE5GeVQAqMeSHdOar4Na1csNGT4gnUMUpB
8w6L3GN5UjNsV5H0goP1589tN3fCn9vlkshyM+RdHmsOgTA0w5x0k492vs6LOAir274q8G5qNU5d
o2YxZTRKp0Wd8W5qEzrYjcTlp2Gq23VZzvtwKVYsa03qFgtZXl47UfP2YygXtSn7+sr19LTZZbuJ
gQXqad40CiytZSFKA6hYCKs436h8RWV1x7x0qkO1sm5s06xt/DWh5wvL9GokNY2XhS4bl3RWYqHV
hHZ9m73tzprK1XGOHYuHJvtocLc1debibqJoBeTvCqiHd+BT4B3miGyojZiAuC+55GLwM7zLmHqf
RZodQQnmGAD/XNYg19BLTyjkuWRRcTd65myaPTFSooTf6HW/tPYQ0QV8OuoBBG42xMhR2GhtFNE7
Wq9ttChhKrhME2Xvc5+O23JRq6bP6rgv/D5p/c4XUo2XQ1bSTYV6BRejiR/2d0YeeHAuF/q5LEi+
krIN01wbJwIVQDzJmoPunVvhbHk39gPQfDQFSZ9NVTzQSaWRBssNPCRjK8dwNUzZbRA2d4zJ+n1T
ZSnU+VpRS9ectuEpGdpLz1PnGlG1zqtjPZgzOa7UFF60HZJJ1su30YiPJmJXfVm6rUVuWJOqvhsH
LVfNPE+JR+f8JIvmSpgB32U1NUDn2irm7K1h07JhKGOi6Wt53kY9uD4yrg2a92qUkeBllYl6GYe4
DR2cyhWqA1BcGJx7DOheNwMhmpfYVwE7UfgiwKpNSus1ieP1Wbn4wVaWCfaq6tAPysR1FbRp1G7a
potSKAD5a+QViZS3iDm1LWpwiJOTzRYrddSZjMbN3Pkp12W3AlPolb3hHfxPbeto3c/+p6Jn+mTM
8rSEU34BwfZK2RkKAzYKD1p6BzIVtej97MyiaDrGrWxSU1Z3fVHYFZdNPNV6iCNMlqSUkID5y3zJ
IOVaNWF3E5qcibFsL8MJnWXh2zJzeUy74YqEqkwnFiU9GdzBIC8FqLO08FoTG97Gk8p0ouo8CUk7
xgSbMC54A4G3o8IDWrwfvP79NM0cGAn/5Cuz0WWziKxqIT50w42V5shCpUNozRbRzDZKcwkFrF42
jWBFtupbAMWVZZhMtuLJVMxk08W+h1Jnm+VgIHuOUY2nDR3zKjF4KrZkDg4+yc7d3F5U/rIO4Ixl
VNNUTQURVa5Putlj8SLLT6Wjp7r0og1f6ixt6EQEafGeD8rteXNdNwjFedmXopvRfqyY+zIEi4HQ
BMGvb6L6iEbanRZhBRmoaY5U/xaqkO0+r2yzb2vc7CGvIILO7HPkQ1jnYUIxYatIz4UYi8hfURYZ
0Xp0jCFoDUmfLODzhEHUrLNrZLMcKCYUbVrLRziN9n1ZL++jOtQr1kTVRmbzpRmnjxku76sWzdZ2
9ynu4OWp9Egb67JSK1lrAT+PE3UBRJEHY6xn9n7ooUzYhDsd1XQPRULgD7cSChEiJKPb2NbkguMS
Aavo/Z3uHBFcndGuLVPLWQv5PQQ+CrE+kmOqRy9tQGRh+ykSQ+k+QbWPJhiDz9RLlCWqymTatLaN
qyrLkoHJAPhA9S58j10VbfAQ1Am0FNeK4imlHhoS6vWCZ/102pck5lbv+sE0whC/iklXfMiX4VhB
4VEXblrZvjn4tUwWnX8sKJy/KTspo0JECPjQBF9YJuAxC4n23C+2RTSKajC3Mqcbb8BQHe4uJldd
VOM8J/Au+SVfpjibpzyuDUsn6n1Go8uTAmdphFCdTEGERNTbtJLqvgJ/1Lqxj6uxDYTMd4iXbhPM
4002s6MCeFecIfN+9pneLm43Gige5JDR1IOVoljcltT20rmk5zUT5ajiHofjqlZmAdgFlD1AJGiR
pM7xJOi91MtKqF/pcloH2ShKXLtYSdSKwY14VfWQ6kcITHJ0bUo/swbOg9cIjPflXMp9cT/kjdpM
hkTbZUBxM3XdSvmmEFkfVDHQp74MTQoV8Bp6Br0oLtCsp03VWi91s+FCh14Zty1a8YBnwrpMxn5H
Zcxrp4TUuVABbB0yW64WRk4gfQWW2gI5WsZTN8MZtDmeBbPRyqvKIC2deiczezTVfFPK7LRpJEpL
Ey4JGbhcezycgCa5k8pD75xKu8HoDbHFSdcCbmwa1swrtch9KBWY0u4oRKl08OkaTIPEqgkMeGT1
cWK0EHMPRD4kTR4rjE08d9vSw40IKjjtXoY11HSKm6IPz+uub8U00iHGfXcNuSk4HKnmBDVAaFEe
0J1ftSsXesPKlZAm1Iu+DYuuSgKQTlT7kdrpKCvDYwevBsVlJbMEzQodHAU20OpIUAgNkAUhCcmc
gvQtaUFIoPHdKEKwY4GDRsVTUQRJ5eazkrRuF7rhZGb5tO18mWZlwWO9UOCFRO7V4q6bYMIiyM1B
kSgd+EAF08WY0iECn68gtymc21G/Z+vAxx+WxSSN5Ue8oWfWuAxKM4xCf0TjpDHSizmx45HB9Xax
w2Vf1Km3SLeqchXGvQ4giEiTDJX/MfCmeufpJhRMqo9DiySUqCcZN4gPouH4JFs+RF11UipPCc8V
UexBXkADd137fp5qhFYud0cSzXJflxCKUA/2NhbHOldLTJ2bkplRFudN5NImP4RS38qlEXND+coP
izzt54jFqixiaLrIq8bfAK8/qUiYn+bjfInBqfRz26S6hV0sgipadjbPXlL5xXkjY1Iu4bmV/SQ8
WuB1Q6tFLBoy4Kji0zlpva3lUGqvhqMgQNcot9uANBSin02DsS03Pm6TCPzLRgfSQi47jrFRMglm
Fdss8sCAyJn2ig/AwJOe4Y8ZNH1i+E3kZYXwprIDSTyFT+z8ji2Q3rv3mYlKSMVLD1qMphYO39cT
Fm7jAh1VlResu4xemqY/zQlyt3U+JS31jBg9dFqMIEZb5Ie+13a3ZHSz+AcfmQKU6i3bSDACDzfX
TYyc1MnQ0mhrx2xNGw4ZjutTCHNXQ4+vwcJkYjhks7Wvl5j4zZAUrriu8w6o+RS7UGTS1cBLq2hV
m2xH6gyoJocAFQSeKPJRx6Z4X/X1pp/gAp6B/Hv0xgKIMNhBWI9xTtxtmffv87ArRTSZI1OWvfAz
SITg/dJkcPhtY0ahPX/asqy+qKBnVpTFHld0EQwNVVIQxJIsd++WLryYL6Bm1SUIAvLOo9VWQr8r
dt6kVp6Dn4tHdoLo6n8IFDmG7m4WswzclTPNXQ6UVNcrkmfNepzsTYfndtsNeptP/kpW7XiMTpnx
ewEV5GEFjQ0HbRgDThJaplvPgy7EaMO11xVImLKDmoeFxDInp8r5KWN5DgLPMe/A5+mSstRInCgL
KVaXM3ATYdsK1ISxtJpuRhsdAal5m3XQg1mQTYcpsqmBUk+AwC9Cw4aoajVN2dvMHReLB+WBRap9
P9W1qLRKoCNanlR6urWTG6CHXO34zIq4shBTuA72wK1HiGafBzZdqlnZvWZyNVr9uWjnZt164Mkz
/8PQyb3XjBJqHuCK8tEvoTjBQpFzH7qFhI/pTFM7FXs4r1AR8GovQfJQZsD5axleh0t77fXwE//S
NjGPwM54GFsHvWhodmQrNmPwSviUztiLMQGQqOlieITV2FGXNMwhgbr83DdBmVhdX0bh6Atd9HNa
qQxy28JSYA/NJCQwhqWXTkgHx9HzB4hap8CDoYeFI5KoDPpaI2pXGBXk/otwO1uda69KRxOsJtR8
0HgXRU2ULhlxSeZlqWQ5cLN8jlJKL4lXeHuzQIXa78II1jCIarpVz9u3TaYb+GSbRMJ1XAflbzoF
wEiBv+optDHktffnxDuSWUC3YEMVuHqHjzy15l6PIcGukKjzYd9Dwy1W1s2iBTKQTtBljjyyKuR8
mrdyh42ZE+v7CamgRNBDKyrWsvk8A5e29L1H630VxmVWyd1YqZOQ1e+nqq2Aj+SnY0bKFdHBXY34
aek0nLbFvPWHQgGnVoPImvrj4M0r3kxwdKBUB1hXH4viZJx6m/gVg+xJTWu+4ARM4arC+Zy63PbC
1uHRPOIq8SWQ0cBJG1cBhxTPVAlx2Sfo3mgRtEVxpIosgVdf35raydPz3vrtrjf9eS+Hg4faav//
uDuzHbl5LFs/kQoiqYG66QtJMUfkEDnZviHSdpoSJZKaRenpe0VWddXvv1F1utE4DZwDGAGEcwyF
SO691rd2Ojlc6u+myGrhEiy28DDVi82KqB/SqFN8G2k/M/LZduTZq9NypFu9CnQIhOOJeS+T9mDG
Yd8EVEG4qHD62f7YtH2VTlrfr1XgtoYE6EvQzX4+qxwc5D72LmaMdpT1ct9POJFmkjRHQ+ir6STL
b9YR1RU0Olm+Nh2T6NzUs4xZnzUATNCcTEvqF92wKXBW2xaS97Bso4l+uKH0jrNYd3MlsiUQ7c4L
gZhMvPFzFMnM5Sbsqr3ly6au6iAtKErraHAsdR2+yL6XM2Qh/F5tVjsyp7VO0JG2uQqjd1bAAW7Y
GKa0lpluJX2Uc48KHNoGPLEp6w3cQYXKxs30JYi6N+ugFpBkkTvdqKvUISo543/0OsEhEMg1pSuN
oRCb7bz6bQ75+8UsAgLvFN1XLNwlk92GaMz3Um6H/rHz/eXUVW2yGQptU09BupiirzsMnfhS+fJ7
xM2UMq9+GGMX43YvlkwL+ugXw6+a+qi8lfwihmSjav1AhnY+JnPVpnSexF7L6Dz2/c+K/GpjqVFB
YxNh9JXHRKS8LvrUm7BFKJAXlVk2gY9WqGnLTTcO+nEoi51LSrEPUjXKo+8Wfgh7oCsTi9PKUYHt
p/tWu6XIz74fQMMPbIr13+WaGFz5vk+yIngxug1TN8bFviERvwucHdOEROiEFl+k1bGFu8jtQwAj
hHl4k0LviZQOJWRZX5oZvVenoA+M3mZJVig6PHoSgz3rEO674MkrDlLsUkX1Gs+qPnisgRDoo8YW
kPhj1957C3Yx46AmQTwIof5Owca37qQJakG/CnrsxyhxyLxmUdO/q9n3T/OtGVRDuIscySUUlzSG
vRCPxcWtQ71dAx5sOtGHW9M1Y+pmBkoA6gRjaOVnACozqe48JWxWdXWJPquV+7hsf9i6h0Tct1OG
mliSJ7Z2WRl15NDVatu3dZIPdd2hnK32BIdXaum0YEdbP3xuxhRcyh5CQLOp5qA7KJDvqfaaCa/N
vZfFdFAQyrMVGnDE5H1N6X5cBuyTQfVW0yIbp1o++YE7zG5VhzIIRVr47dfZE+4wPLEuaC9F7qCX
ZVHgTTs+02Y3JstdQchDQuiY4k78aPMowZtR+SM8GoUiB8TWB0yMFOvkPGJ54bioJ6wj3u+SBOe+
LgPUNe/Yy/CDYcyvMT0umt8vpDwqUT6VqEgcxw0UCuyc84AFWHdAhzoywm5J7H41k0t1NaVkKk+0
4+zQuvCrd3vPV/ii+3D1drzvvuM48NIIHFFmiZf1PT93dkx2MAt/Dd760UADzNF6vROCGlmXyodR
/rCAlzn2ld7XCWolE8ohRfc6YA1z8A8lv9RzuG7rYfoSD2sqrbqsyUx3xXpYFRovJS/g7l4hXUPi
sOGJKmh0cxe/uxjdcplIFKu1pZmD/XFMIF8OSwUZIJH9TlKcxrywW6lgMbQFUdtKeFsr/PieDn1O
SQjpzts0MCyeRDI+NCt6GuH0tSaPSs71Q1weuhilUFzqMo07aUBRpZDXPqo+xLWrIWXhQu4m3j8O
auVplQwUjbP3or2Spr0ImpSN7S84EDIVRZ3L0NGHma86nYL4l6501nFyH1Z8TMeukWkfoVyGtQnu
py2KbIakJV3X4CwTbyj4xUagXhlFWF/ipvzBqyXYjZWAfnNrVrx+2eJVDLg6YPAGRp5n3pJnouyO
omJOje9gL3H06NILLNgVf3mIx+VoIiOvOD6GA9x63ANBkWxE77wMNKK4C1G43HF/XTfSrHOmGos2
ZklOAEiGOyY4ejNpzyWJuzuPz8WumtFhea9mbn5JhROI2HA4Y+MeU9uJZbegctvGQfIRFupEW96d
lXZpN4LrcaQpHpq2NtApG5TtENU3kk3fvdmeTLSYAy1KyHUV6e6MJmFGmmH4oVyqbMtSnxl/J+GN
bocETmcXQhMoa9PlHffny9yO+prEJm9RFV4bu9ND219hFG6m1c7QwEwEW1pZlVP8vyH3UTeUh0FG
030ZVvM9H6JuP3DUrKN6H/UQPijVqWvJ1vC0hsUX3nvl9fNBTbzeFgGadhD/hyIq6zuBgvmK/gDY
QyCm42QFHOky7KEBGbM1ZeF2gjTL48wb9jDWaCXI1wlUw7Gwonys1kY9eihkUzeIcX/74Fzr4Oh5
PdyYaWryqVWwTZvAe4DWNW/CsYpy1xZD7s19v42Tqr8mt4euD7AGi/nOr8LumthFnPDiv+hBk1RW
PjuWmvInEf+QDXpmmORNOuA4O5PQC/KOBe05Ihsvmkd4D8JcaOwu/kqnJ12/LLxpr+ip56fCZ12+
NGu5+3zqr6FNaVDq7ZLEP+2IhZ/5eT1z81yHQfccVPZXlRj/zNu+e+aGxuAYdbL9/KAcWuzacn1e
mLr6bZG8zZQMEKRbvU/WiT2HM/zUqfS3gqME9RVzu55FLvXKwDxRibcQvQh2Zdmbp5iOXsYWL7jT
AW6XqsmiL9Zx+4uWlUwBNupLEU4wdlYvyiMl3V1SlHJT9MXDKlUPAz1+Z1MQfevgcGVtx/ddFfBH
E8DkcFP0U6Cjvh06ARbNu6uLb1L500vHSgI2IH5U3CM5sUMLfmqc87Hrze6mn56LsFXH4Mbq6Zae
G6UbALJ0/NV19Dn2Iv/KvRMtoV9Mcv7aLHrL4BKfAwalPPDm46r4cyGZgVkagh0asaxddxcr2MoD
TNcMv/Gym4cNFKDupRtk+1ShUyLkMpbL9GaJsCAp7/w4rHEc6Pm4yERmpKXyNKBuiowvzyXIsbwO
n7limRdbNMisV/vIi6+JV9m70BM9DLO52FReRS9ePR1kjUuPiyJSM+vhVYcka+M1xL0ly80UwZYK
rLchohFvIcqtox9anpXhr0YFMmuU9a6V6p6X2aNH1vEKoptxm4E1xRnyyuOsSpoL39GMl45egNuS
vFNA4mCTL1AvagsEy+y6UEWpDbt2N7de+LhEtbmHAL117ZA8mdFcTdXEpylIjuFk6i2HiJQmN8iD
jvI8Mt1u9DJcu+XTSKGwPbhtz2zV4bEdse0XYQ2AVGfSD/hJJ/A9DJ2mLSu9ApRmYEAqr9+w/4p9
XMXeYSzVhFo52kkv0VeyDHbf3TxMG31h/RwdwgaIdDO4ACuhvAMk+kWhXLizHTf4rTTfrej5d33f
PlQDABXZFb/mnvC7zwfjon3cam+/ABHcCP7R47QaVgXHvY2/V5ARwrpp4AtwWLGOBucSZ1Hijd1d
lfDNQhN5XKIy3HRJtE9w4G2qfh53PMKN2nhxnBMRHZiUc4ZuGvhL9FB5xh1w1iVgcb1zU4CCWaSn
92KADro61eReUDbZOjXLKfbiKiNRiV6gvaG8wvVbg3V8KHW8k03LfmjD8maZUk16/60my3KGPwgI
QrnqKbRRTpjip88HW4KT9uRbN2nzGGsZXA2VXs7HLxIgy9aHjXIsKSn21PbffBvTjGr1M6CoI7hc
okcOojK1yU3YWSHU9vFwNlTnbu2BOk5VHlXUv0sSSDFt44l8rYx5iHxwXXE4FLlfw+BHs9W902T4
mdyTdW6uFU7lYK5RcVlWQvaMRpircQ2GpeN5seh4q+QIhM90T1p/GGn2S7Uu97SKmhcxez+9Fqy6
p5a70qGp4FV1aEpanOuwyiQN1cX3urSZWPi6DCY8t7znd8pbsUSX5rIW5Qsb4PDNlSSP1RDBiltJ
lXqMS1SskuyMbpKLmZTGjjdCix4ZBBCguyAjmkegMOujBIt8nbg7ddajB3prUCpSFhcTB/ISg0zk
9biJ6BRuKibFuTHUQMOjcxoW/pxX2KF2CVuWx9UFh2Jt4jvp+nlr+3o4KxWi7qznrbr9v2OmAweR
Bn0VPNQWRmLSsxXa/DClTRlji1Ij3fRLW6QETeWLbG7augrm82KC+OQ6SmDNTDAo+sDb80Wsr3Xg
77yClu/ZEJL5QsSy5qVsaUb8WMEq8rAox6U6zLY2p8+HWiiIDYbCUp0BwCYjyH+uvnPxMhIdm0zH
sMuxnwebumXiakqRoOKA0ESSajtpmTz3UZ882/Yrhct2H6z8uhJs8WYd6+3kmgDMM1jGhfvhUTF5
h24evWHblo/9foWfL2tGHqGLeRfiz9txJOzoWcFg6XevK1zuXcHxnrOY640uR6hOrdFn7ut9Abwn
W1b9rCUxJwOJLBf1CAgxCOy9qMbmPhxVcy+J3tP+udCuO/WVAD/ry7d5CJc7LNLHCWGQXxyNaNvL
3JjeobcMw/wfdY6dwwNc9M8zIeEN/eaP49HAUs8jocM8QoF1bLgEYOyPO3y3MO0iD11cx5uXePan
zeolY+6YDrKW1gquJ3i/wG/8B5xDA/Y3454ThyKli1WzjbzoGA9QG7GuqnxoW7ct/VHsdB0vGxss
/RZfIE9l0ceZGob4OZrEDlCDBm4Tqle5bv2oj47MRh91suy0K+yVFAMFimuafHaxRo/i2bwe/SXv
4kjDZKuni3CbaOJPCcxGY6PwiSXQozpZvtdFDRVQmu7cCkAvo38fNETul85/0iSS5xkFUtZ96eIy
3DbxSJ6FIdgQhQcNdi2TI0zPbEBqIi2nGMqdDy07q0SykRLSEaiK7hzXGlqdUCpbkT7ZQsuH00BA
xCWtgi/CRRtn9drQ+8QVJl2Hgu0DLae9aFybtpNXPQB7g9ffDXefz6hoSQr2ku96Y9TRluI9CKcR
+JmLoE0U434uVrsDHMgy6KvNtU2a5hpMP8GGmvsEdcOlLtDe9Gt4lrTBA2ymbCWNBFEipwcK0OiB
V3w4cRY+yGC8+nFH7hJRz8+zeqaFT18+nxj21CQeva8lfQ5RH1+a0CCtoNbk6xI3BzQxEyS7st71
YSse+3DRj/+agITHA8Dxj8mRGFOaAsqgEfCQIqp1iyb8Ad1uq2LqJwGAqAT4Anqm9x8jFSVpzEq3
CVQznJJbGKIkRqb+KHVuFodFVCyHKNE8Z8IftzhSbFq1JoSqus6Q0cCsFOxVK1lDlCBxtnQUZKFt
QigvVkBe7NgJgvQN2NiCu485aPu4Gi7oT+xD49Q9MkvT5fPBczDDjANO8/nUV9+bEka9pvF0EpLn
/dT3ezvx6AQopzh0ZVGekjhgh8Wo9qj7b+GE42psI6CG/miKbaCGLxpZrkFx/TDdHooe9/bKiMtK
mE5AWYqq3jIGZZPRGrxyZF7qaQhPvAhBy9gJYKuIXt3YkVTbNYV8Xe1XlBzpGoFfRdM8gUREPY/v
E3xlcbL34uZmwfknIHwktVzxXT3Z4c24Sae2qs1dM68TRDnrMq8S9jpCIc557eLt553HygceD96l
le4LFU69wpJBfsPV8jiwNwew5vr5wAMUY0jW0K092aKu76wY2nNVFPkQe/apGdo4/df3z3+ChuMI
1DVC8xHlNIxohEjvb7ePKWPrTzd9xMVwE7vSwpRmdvN9qlbv6xgNYTYBw8lHH5+j1DAfdYLNjVKo
VA1iNnjD1DauXINchAovBW+6FJtK+bDEnclYMUHcCTpx77Hgux1rh9YE4EQhAMA15EuCSGFuBpxf
ve6vU101W0EspOkWDjkh7KFAbuDwr19ycHtJv60YJBIxBJiA1SBJGPz5Jfstn4emHbrUjnaCihrZ
vEqWnE2WbgQJg61xgBx7ivaaCOqfYxPmfi/K+wFn833pA3yzfjccS/BwTRL1b6603tG2fpVL1Bdf
R3mzPKY7PVYA4hcDWdHi62QR3RXd++SLb6tphjtCO/iQbQ+M1Lp7hsLxrQhG/yha/cYr/0g0rAxk
UMSJaBCccK3UCZrAGzoi/fSvL8mf40sx9ynFZLEgxlVBTO9PCR/ZUFqoCfeyx6YqhZD0EWnvV0lQ
57feTaAnoAOmUEKPZ6T8P9yCn/mh394P/HTG8UYA72aE3VLlf7wFA5P0c1n6ON6W4L32ym8uCg6T
VknerqpIK+IdKSzVutvAhJ1TQAjvQc2HbBrGfv/fvxAQKKgfEUwijmOMJfjjr4Jt0FNWwnEW1Px0
fYfKvjxUUxHCaBtPUeGD9Q7WcW9b+ter8Le08MNfX+9fc68/bLN0eLv/Nib770//7dlq/Puc2vyP
/7xN2f7Hs8t/jOf+82fdftDfPw0/528/+BYG/u3Jf8ol/5Pk8V8Hef+TD/4WS/4tGv7HWHLMcTLd
LuE/jyb/eTTpPwLKf//iv4eUecSwbqMEFC1kidv3/VtImf+FAiXA1I84xBmYsBhpnP9IKft/CXwM
kcSISQTjGUZ7/iOlnPwlxHaHcQYx3CyMeCP/nZQypsH9aVfBMYJFhAAg/4wDR39KcGoKDXwRMCmC
OV/n+TmBgIosjYjywZkM5pi5GF98FVMI/FY1zaMXJh50NWTFCO2DjNHZPdI+AcFZR2kZ2k00LiO4
cao3BfAIv+npqdU52HKyWVZps4h2Wa1dtg46CwKXHCBvyrzS/ZfGa1FfkSKlPTzlOC3EPSY6++fK
r2FyqGCPeBkHgdCnURsiuJMAuVZTnCM/KXNghxxuL2BqWIVNplDoqlX42X8RzOMLfxgLw/93wTzm
y2RrJ7S5/zMwD/17vV/J9D8E88p6ik5hMfwO5o39DbLC8f7/H5gnDOwN5X4D89ahfCaMuhxGzAuy
WJlzvcwWBzNRJr/Az8g8iMFrE/cHMC9BWnJuiz+AeYQdUIz93wDz2lXkpRabyHosIwt88/8imOeI
L16ruUZql8tX6NVVtoZYMGi95p1bwco0MAjM7KVBu0QpctqwtJA0T0rbXJYWuU+LJBtqHrcrWbim
0IVxp1RdsMcelhE3w8SE4JEsFfKMHEJHU/UInjpZpiyxU7oI4P+0qpEhQGYlQvIqnFZI7Lp+Hv3o
OUTRUhGHjnT4NbO2zbXqInCcDuH2Qt4DzAHFp/ejK/v70mNqC4gMv4Tn6s2a6MM6gupFrHvdTsJu
WgSn07VD+LUT03sFinJTCv6GJviB1RXSeIXnoU0agWsbfONCJZu4pcn9tPpHDdY8Xzs4hFpE34Ig
1mnnr6fCL2XaAfrIPVJvmmQ4erC96/oEtVZkcDUfAl/elwUP8s/Lw4c43AEu/ii95ddkSbMPNQ33
XEXlhks7QTMAqgGQa8lYNB2h0D8t9aB24Cd2TYVYLlyiYLhPdPIjXJfoSO0l+mSlANTmUxIWGQtF
v2eukDkyCGu6QLbc3P5YwS5UDRSyflc1Bc9VE0cZ4dGcDoi2HWwFzXMtmgOpkswf0eYapM3xhzcQ
6y2SrzAy61SsDqvdZy92AOJO8PGoMzzjNyy4mPGdCmzItlH7ktY/4PHeq6ix31sDZHdYEgnrpPJy
51l954lq2Db1Em8E3iclPPtQhX6Qth6IXrrqaoPB16BBliFHc4EcvHgbxLwZqx5pZcz+y0EGVndL
AxIHZMgpThaWrW3/I+mBoBK4bqwDFG+R7/KiaVsXjcrEFPkQPseHgHgkK0GAAPBA+GVSQbGdO794
HPFqURiG6QLmoRL9tB1LND60Ps6qNzlzAU4ZwXKkmDEyoCTu4Ll2L6dMqeLRddAV6ByiQ9C13oYz
BkT0/MET/o+xQGQFbqiJxyptej3gA9OG1UlWDxS6n1sOlVUHbNaXSsCdcRUaU9SI1XIIrM09bq9t
aV6A8bO2/gW/42XcB7yFahH4JA3HX84MblsMIc98PXwZcYv3cIy2U9W+8IH9JHWb2tm9VytFnxyK
ESf5hHcEKS4zhm4b932fWijdCOZ8LPEUpas/oX0SDhMl2JAVPSRfEpi9/eIlVJ8n0kNxnPvcSlWm
Y1AdVAvv/kZEc4nKt/SrXQ19Ptb1dllxnWFigI3FrM10milWgc4xhOJdOfYiEG2UDr41C77K0j+G
zZ2diq0LvVM84cg3ANRB62eivzfkUQ6gBsyUT1MhIFrV1z4RCGlXPzpzGAwbU6/V12o1vyDk6Bxp
mhzJZZbWrUKWregPAbBLFF7H0G8+iuJRKIARY4ftbJjEdhUKJgdAPcLEl8SKC2NEbhPPP4AwRMSO
giteJi72a9NYUCzsq+sQOXQ+GNYAcKiOkXsfOMj2wWvrXFvoQ6N8YxEHKNtGoOdp833Qyelm6Ryl
7566MA0S1W+7wF3pgr0Fd3FKGvE+htG0ieriaQq3ok2i47DitRUCfIu+Nto/kPnrBMSr8ZIJFRqm
Z6ymfwRSdVAsLHKJDj8NeYWQBwRNuFJfebneK02fLfgL/DKIJDqEK93MVeYP6FDnsLsvgnrnSVVl
A0Kd8JlRNsX1lPGlQ3a4LknGhwW/cLDGSGQgf037+6RdEHqLmZ9GpH3tpsNQz3K/hsB/Gxs/LAMF
ZBgsEKpFVtfjsm34axJN+cC6Z+EpfYZsPRzEuOxt1bCjitaD5+ty57cqSctY/fT6/imBR4o+2q9z
bsm0sz1qvAhN6g6W8TZsYMpj5AliBRDc/Gloc9Ahe+1btSPEANtLbhzQUuJ19Hcl4JbNQAho+fBH
xPpNa1fsCeDfkOOC9/4SwOUDAGo3kDCvdRB88LKs8nm1P2hAL6OTx6htXkPo0VurfQ1hGvMskvVI
KhKcRRNsl6Z7acPoCIvjTrDp4MNIBk+YbGa/RE1hM7P0P2fRrfmAiwTGPLe8YChqo9Z1eKv6lFXr
oZtV1lfls57Lb+Niq8NwO9eqhOJ2O9p56R4nJPzmhgxpbS3Jk8HJPWsAeQqc4ustjoMLi+iELXdg
d/LCcpcuMQIvLJmx4zXjlUwt0IQ+6jbFyAAdeeGVAZDkrbv7bIH+11rBP3aC/7b7sLeB+f3/G/0i
2jrom/+iX/x97PptQBQaxb9+1d8axfgvMaOMJegE8eeCIGpATvh7o4gzG+OtIj/AmB3Cf28UQwJ/
kt/GSgf8t3FW+OseaOoYRq/RhPhAn/5bjSL9s/wU4W8dILEOnhVpdk5vv8QfNYakrjgpfURkaGxM
bqx+ddTbDrdNVXSNzQDtJX3/IW67LnZfNQ+H6rYdF2Cg0pW73Kuw5fp9+wtK0bW/beKtOYy3PR17
O+PmOo8KcThkfeee57G8Jv19dDsSNN82gsJnGouzXctt7d8h3HY0OEmQvkP4tExLnDAOJ020mryb
EN1C8j51AoStux1LEc4nbxJPEZy+vmLg+UVQoegqU428SpAASAssQalKx0c1SHMOvqGCwkgGjFK6
6bgZiDDgfDgq19uhOVXJhw3It+h2nGIEDY7kIp4QpwcobBXgSIT5ccj77+hb4eyynyPO5+52UFMS
ABqbvsjbET7fDvMAiPQQ4HC/HfPTvsGZr0BZuGHTts2LTOwVbEw+reuB2DS2FoccKgfZwWqMigPi
gYeQIJmpCoEIzLxJgnbAAYXyYw4ZgrwIoKIu6fhDcCtT1K1g0QL8Ui07mhmlHoH4dUm3H4HvHPQt
0WVvhU88h7nVDiw7aqIBtVF9K5JWVEszqiYU7AYQKQqp+VZSxbfiCpN/+jS8FVw1Kq/bnIdU34ox
GU/b6laeBajTXIDchAPGBf3wB7+VcraiN30qyhKGeRerigksuYVufCkw/GMdP+YRtSJ9w4gHmi/I
DmUQs051UBy190Z77yMiAF9a6bO0l62fE7QkWWhmuR1r8IEC4ZmDH3xbmK4zbssys1feLOI4EUkP
ddHeNwGSamSNkL1Min1J/I2t4dIIXMGeAIPuiIP3jkkJhe6DNHb6AaE+bOY0vNhq2aK0ErumBCwS
jxxo8hYcJs58IHuYBMAoxhEkwQ8ornZrpjLCJJVwM4Tj2Ra4V+JSkr0/YEgAMldpW4YQDWPjLnNi
Jjga3teu9MDPqHCv6fAklNmNFj0YSCeDcBHC2j74Qf5tKPw4lVMIlhbJdPReSCp6QuZxhGyHMjgo
yS8R+l/XAorkGpXzZo3zMvYAq2MGQzcaPwOIXU5h8+wUUIRA9plEbK6c6uhRY0hSNMBNZxVCXrz9
MkayyXt2m0uGb88tBOJpvgAM7PB6xAXWdrlpVw35xmmJqmdCvq0mP24zICBMAi72UHI0iHMwoc6k
5sdaH5OjlRDt1/GGs40/xqT4MHz9EZWYOoMiOG2T+Q0zBSgO8Ay32GmoizfMY7mbPP8O6eqtLqBr
hhesIqB6XdIimwY+qlfIgcyVZ0EquDEls4NbgLYr4x5D6Cbh29pDYzOyuj2H4MM2eAOS7UIw1IpG
yKsCFsYpbkDKJuaD3+Y8rG20IYUEtWK1ykp50FHDMg3ndjNGGBAHumOPAR2ISpBgwUUyYKg7D7pB
eMvjw09ISYhIhp0qtpujZkelFSmWMfJwSFTQVo4bEnnFHpOprlW91KeePJTl0O9mVXWYmNCq8xTG
WQCHOpe1KDJlUBS5qo03NZXtqY5Zt4+YytqwIMfAtsmuwoyUWPjrXf3VUmK/eTL8SmKg5KOZz3Zx
DLENsH69008dhg0gUlAyU19sND4MyGyjwwrYNikQvPP8GBMlIi84Lu14r5tlxTQD22+nBUSGIwsU
5mGGMMja0wpkXZdlu+vbluwAhSNVJfHzWNnuOcZJpUvUjRtkpca0hF2WKg3eMZhx14OUx9XtHDDm
GYHdlhmoAatqvvUkfmoDUz9VfjWfMbSFYGElC4Cfds0rBp6sT7CvrJLHBz8a/Ues8icfg+SQ3EHq
vIox1GaMRthUnAYP0m/rC8RGEdBdgh3qOmGiH6ZOKL0LEYLbyCZSGzP37QlLpEDWrAweZeKhx2fI
TnimOSkggc/rq9H0Rs6uD6Ryed/4O10UYBO9uMgMNMloggfWLwtQiPUL7TBPZLVbXeFTFgubKXF7
sLfortAIbsQAqGRlmIREYOS1cBayno77lc/NNixdvzPlgEKfFyMSF5jD6Lz2UjW3nTdGYJf42GLn
f2fvzJYjN9Is/UQocwCO7TYCsTMYwTWZvIFxSWLfHDteb15sPmRJMqmsq7rUPT1mY6MLXUhUZJKM
gPu/nPOdroGd4a0Dc8ZJV6WfxizUw5zr+SrUF3MaAkNuM4ax5hqM0Qp9sc3bYCZ+oEsDtZhjcoTl
9+5yyaVjFK+bxL1l5rotqjHfdlqHbM9Kw1O6DIvD2No7hQ3AwWj9SaIIcgMkvEPGErYrvgeNnWEB
x4Zla/glMNKmwWeeuZucAcOaAl07DPrZZXyzYTqdboqsmjej2YZcn6iBhfgONcS+yb0w2SRT2R+s
uTwZbp7yTLZ3XDI8A9ULHhE+MOF0rYFHbjipXN5UBLluV3EpN4wjDNNPJRZfBA54610Tx6Azcg9k
3BuxYowdS+FLzXDPrHDPoyWesYTQcWfTvKFAaZQnuVlxmditxwcpKD/Cfvpq85Lzfei+o1oNT4Zl
Roe4wPVom9mzy+75mbY0KeJqYxV4YJwahQ/+LIEIsDK3TtW/dNbit53FW6RF90PQf2+qSxqE9a6I
4E8MSX6wjby8NQpGjXikY9qI4jRnPNtZ3p4mHc+gJhV9sxVc9Zg7yGo53kSYnPAlYI7FnoPt6/s0
F9O2NoejhHnqa706U0zCKAkUT69ur+yIyzZPzG9e/OgU+M1QOt0IxQqbFVKENMJ+ikWMKDSvFBtW
vVoX8zaRZnMGFGL6subj1hv12koB7WUmzt/Ksr6hv3XQmYM4KHG8HrvZjfiEZOe6yN46FXYgDez7
VkuQJYmiXJV5wxANc7+MsJD1xtSsEfSBJIjdwh8QyNnZWK3rMfphsS7ZGEORrY1AyAesch9CzJvC
KX5gHhlPY1aePK99M2XznJxHb/ws+mkx88RfQjuXLa4UyVlWzHZEX+vdAu75DK3w5q9O6J+n2f5+
+SURevzLzdmvsZj/wYt+aYTcvwnWYstWjEkqARImW9/fGiHWPQsn2iWXENjo8lf9ujHT/ybYsbl/
f8WSGfLbxkwSUcXJ5Tk6zE9Irrr3Zxohufz9f9jD2w6HIexg21zowsL8B2gm3hMr0OdcrUR452ZO
doq5ro3l3u4qFL2c7H5aU/Dpy+0uY/BPtjJ3AEMl0iaH+cVSDZRLXeCWiv49Cia/XgYC81I/ICXf
dnodbEwUJiuUQRWujGZevT5mNI0rzv99m49vLYOsjYyce9xijBLwa1GVD4w4ZmpWjCwhjlrOQjV/
9ROOBJsHdQ3Gz1uNFP8L5kKPumudA+x1jPxOeVxWOXM/YXU/ipqSaRxL824QO3cSmIEzMW1s1Z/y
KGz2wrGqbdoPCG7R/5p666tWH+ikEpNZKRDUZmhfFI68rNOZk1buDcwdgHYm30I3YhRPTNPe6ca7
mxy4JFrMiFG1Snv+oDEM75Pe+kL86TPZ2QWlrDbCqMY9EpqPVHLZyJH/uWvyddVSWi4C0FzATAxQ
2mymWD9wTXvc2uP9MHAzxbZ7aNJ2h49+7dWs2RxDP0nQH9wvkIKsDshyFsh13w/lVo25pK1h9Tkw
zLZ6q92WuIAxiCXBPnZv3LS5xlZADbrYAUY01zAInRY/8mJQ0zZehXtqnsMPrAWe30nF3RxSQeND
qKs8XSHW7LBfsv30go1lUE7J4DlvAIi45ZTsUhS+J9dip4mVqOR8RQoWIarGdz9+ooSz7qBQtOsk
zowbr3HyR0XbFGUO7Fta1o2qx/NEFe9P9tqYDHYKs5Oe6GLFqIVsNYW3cxolYB4O4UGfsA/qNO4C
BpaeQ+9pNi1Jrdj5uqMy9QgIDgOzuoHQNeTNbdgG2zwRzr7uMWvPiXGDgrLcdCHKpLTN+1WJ13OV
2hbMKKd/wVmmr1IK8FWuinBjddk3i+WMN41Y+ft6NVbdtDORKsW9cRNYA+K2PLfAYUzniLFVqKXt
ATTza9UoyqrcfBrm6mvoL3KqvzqzTDciTX8A6DtklSt3w1CvQz1Y9FRMfyv1Vibd1pva96xnuJ4U
MFG51b6maTp7+D/jTJ7cvDtrQ/ctzlo4WCx67GaKTot+OHfZfKDViPABDw5XqLiLRXYz6YoZdHTp
+xFSg+jOrmbsXPjFu6kGbSrcPfCAQ86meoN/4sWypze37d/trolv+vaj0GZsomNdH6H67tuprNZW
ptPLh4Gzsixj8meLMV5bRdswncQ2jBTrDlZmOW/ZTVrpGXwrdJXIspJ91GSrAsL5Wi/6fqUF2bF3
YF81JZ8o9Pf3tcW4sC+c26oEKx7i+TfT4n4MUOADc940iUfJrM1fg46rIR2lvoMTka5az3qh9I5Q
Lo7zWWr2nVFzgvVJ8eiZ77LEoF9a44Oworc2oBZTpWp4c/rj6LXpqoysvdQHlu6wIyy3vAlNCHw2
JBs5hKduZFBje+kmE+nG65JP3TT3uJVHDHcFNT3KdD7aWXF0+/IriPlar7n4evszJo3tmHgPXmUf
Igba62R2nlgmgi0JQzxydXMYvAbrvmmtLRvgEDqBU28nh7a/H6bMw7AXgPdYbN9MP1vH2SLXYHtb
db6WmSnkNWpvE2LbnJuYE1Cpqrj+pkOjGi29XxultU9MDX0CI4/W047wZQxKEeY43ewBb3oKs9Ch
x3UkwgfrBuyPsSkmMDhD0p3wYvTIpJIHVzCW6KsTeK/kQejiCc0ddlrPidm35liNnE9HBe7OaLpX
GRygJ/OrynoK89J47xUK6Li2PKS6aIrYjK0LfQQQncaYYJrz0JgYPKzww3OH+qFZeqNk6ZKqpV9S
NE7D0kFVSy/lLV1Vu/RXHP0cEUvPFS/dV7T0YebSkU3W2G1EsUAHadfAZQ03xtLBpWLUd0ZW1buJ
9q5d+jx76fiGpffraAL5JTfbbOkLQXZfOLgAjC09o7t0j2LpI5uloyyt4WpPI8Ug9EZT94fOyx84
3lCa2yZi7+FGLP1pQKOK76B8tZ4BK8y3rixO5tLRVktva9Hkjtmg9uNsViesvXjml14YG3u8Npf+
uKNRFj875qV3jpYu+q8i798r8kwSAyh6/vm4+3/9Iczyl2n331/027SbgB2L/FxyFqimLAeB029F
nm1ZJpF8UpguvBKPyfovRR6JcEjueJXuSAH4aOGVo7T8Gd5A8KsledkSCMEfy5d+FYH9QcRGVsUv
//778Ab3J9r/D+I+wZgbXSldkc334v2DLGpMrXksxxrFgZjCdYfHsKjsd101l0Rg2I+KdDslw1dv
MXQwk+DoxNW+y4NV5fA0qABycfQ9EcX5vww25E/3fBFh4fkfBBvmXM++BGxIyMMfwYam13abUBb/
XbBhkW9HgaPp/wjYUC8jcxsq88+DDQO9e2Bd8Rm4EXP/BkmJMQ4cW8DFVnB8tmVGaWyl+nlW4hQ0
70AXq8fWCD/rhINDghfbxKlxtL029tHLo33LMaLlleszM2w5r9O1LBxqnhxtBQSIee0M3r7PZQ/D
WDsyAHzTxDgg+9BzxvOhic0CC6m50Zj6+T2SFoYnUOO8mOOTyvOOih6ijaAfH4uvePY4daOy95vI
eYcbj2LXbJnFBFS0hWpgTl7K6F4EgGcwCM14jquv2maeHDHYOhtzuNMKV+zdeGApDCoYtAyltFl1
d5SbchOEI+NKl/mIgRHGGJsnw8ALYRQfbs8OWOqG39iC30Aq1iXqXpGRWzJI197Oo/tc6RPO7in8
BJd5DVHjXB1dXUyVBdvYZMo5sDyXnYrgrLJV0Ov4Uao8YVLIYCSRzocG0hyyoaRW9MWg51w+rFDg
WNsDEJja8b4MBmKTm813udY9ZPVQgNL6tFMt9kfdeg0M+drF5o/ShFuIm7/mslmmUh0K+MD9CGbj
c1agE6rWZpJsvi6P9ToHRbQWEcIYOPesKnAG2qN1apuSIqGZnnQW654cerYKXIzSGO7IjXlvZgbX
iZkcSWLfdK28bwX+J88ELZEveojmRrMYvgAgH5AhgOEZyvFpnKYDER1iY6JVuPHwWa4LJlBMIt1k
FQKUb4FqBPKrHbLbRhQaSBrn22Qg8BpjLbkpJv7OMZSw8SrnyejjgB9tTNdJ710UCqh9qEf5fkAt
CmIjWPisUL4Mg8FrgOhk7RU+6JgU9OTUIS5xh11lirus1akDAuvRiytzNSDw8pWmeet6UOcmhNUS
ZoJCqNgASJTrqOR6hpvVg22AZFfF/Td9dnHrt8xym4WsKBvQZKLAPYw5o+CVKkT+AwzWHTPImG33
YmRiPNjxUvkM9aEeFztwgJOiCy9Jh294cmOASml+W4YV8E7Qyq0F5iim0vTTtPoKBD1fzX57HWND
93sTx000vzgV4D6tmr5Dq3+OXfOMSsNa6W5HsdjHZ4TpPDn1qilwNU4akPHOtl8HVXwouQY51W4q
HZJ01boru5PDz6weLBnzDw0086GzhVrRFQXgI+lsIPYwVY/Kb0Ph7rpA2cepVRbtGX5rZHj7Mcaz
rNr5M27EE4eed6NlAQQVVHEm7jWMUHZTfAiSf9Y6fJsizBwwDt3Zq8pr70Wfcuw99jd8OgUW3JR6
ZltrXsLOFLeRBPOIYuTc1wCcgbQdUYtYvrW4hIoaGyUe4Ft6k8zvG1dgGgSZJL3PIU7f9HLG560/
u1rwPg3zqWh4OpwovlAedlfoRobvzfTudlVAjynjcp/V4ottmEJcxPy6QvKxNlMEQFOM7zLL75VV
q5toF0hx3zTfvwzoVgz637jLWwYbM08QjLyNFr60Bd0sFgQIO2HEI9nMxnF2sRZ0w95KLqEbHmxn
GiDhj+A0E4PTZWx9G/MAYK7utc4LaJj6QabmWVFcxkU5vHWmgIDBeiqJv5osSs/hEhqEH+gmYVCy
Qly3ZkEBwi3lPOY4yrelIy5uXJq4roTNwRtdDCJ6DnXd+fWn6O1b2wLlQl8J9CWFmSDLeKvyYNgr
7F9d6LGJNHDf5KF56O0uPyoONA9AzmZMdXAXbOaRa2HI6TwrWQXFPbaw0pepcQiCLlnbSMqOeVys
bvVyso5zzywXEL7yw3Sc0MvA4IHscZ+F6Ydr8N5Hufx5UAMHF/lzNuWHKI4BZzMycWvtYRyDYG+F
Kb7KrDpB5/zicKs56M09xAt9rerKOVSR8xQZYq2Ud0iDKWMKXccnvIi3gwLFmX8VYxn5xugNp5pH
O2czusoS1uuAD9e80+wz3Ie0TV61kiSNelJLW9Fcwqy/ph5itQI3dzDF4cUZMV+FAATAF+MaabXC
z+a0prXqEWo7Q3sWCebLrsXRl3mfUx3qj/TtIU7XmZCi727drmir9V2em5dGmoz6kY2qLPNOGXkX
u7J0X0uxeBlhmtD52NfpqAx2Xta8QZnb6slJNbra4id399bwgwWYftRaPD4e6Q0mwqMEuMFWc+To
j+htQneO/WYMcMDoTnIY5yurPGOvFGMpfbyjGN1hfa/WbZ4/pyG6VWyd4AM0Bl2l0MsDDRPU+sDa
qvqnEmmfTyOgo9l8qPU+eWKt/aK5SLgcMaurXpqYxPWI28zTI196rXUZBtNeO3m80RTKoiqe1qSD
ka9l1+lBV6PONmIkZ6fUUGc50NAx/Vtj7YNFcfeCbLC20iGWNugunPRoDQDb9fDF1t6Matm51WZ+
ScuuPwlnvkknenM+cbEafrhRfJc1FBC2PfOpz/rTOI7kUjnzR69BdCyckPWN4nAXOV7uzOvSN2H0
hz5BypWG970nn8FVo1i0bgOvuhmT6UYZn2Zivtt8xKUTbkQtsG3P9o1jzzp3Z4YKg4WwBR+Pxv8r
BDw8mxpjpuFUxbgYQZiOjP/bh3YydgxBQcG0nM9ZPnxo7Q7Mzzs/wLWA23rSmQqvQpiuysPGkwbF
xFPi/tCwtYSM1FKWD4eqdkjHQRLB1KY5u2SxgALpdywxEavG+dExBvNgFfFnP0XQXT/Z660ZJ6zU
HO2nvr64nH1PVjm9h13wOeP0m+v4YsTFMo3CSVTNW4Jv2L6E8kpTe6pgYm3ycj91V9Z1wSVrBh/n
hI0LosH0lAqUbHPOdz0jsp6aAj3dXD1qZg7GVlcarX8VrywNtGgWttuo46YO2YWuQ7ywRwElc7Qr
dVs3kEt1GvVesSDGjiUOzC2/uPuabc7sIL5ovLurOLZf9YA2txHutrTVC/3O/YRAcVNzJjPSTODn
JwnEVxZqfL5emMF9sRzVVnprzlsnoAZh9bQqiuKjHx9Zpa2mTMdzzDhbTxKxj1Nqjbboju0QwHwZ
x/0IUQjGRstDWZfIY+B5e0NyTtgPbGrDindGPj0ZM3jPuK0eY7Y2VcGS1sGa1Y+Rx2pnhpEXLPo1
C2Ck/mVM03609bc+CO6W+wU2zoMdBNw8JihPqeX9lvPvauZBeSg0sF1jIDhIg4zr3ztyLK+sTMa3
5kgQgZtRNmZMSVzvxZvsp1HWwyqp+2PZ5pB5C1SRFnoVX47OD+WO5tmLgGFWCDMV3M4ddMZDUObq
ojnWQl0c1oUsKLTBPJ4Tq/zW1yO4eE3dksxSn8Y6fNFFhMyWzehfi6S/L37+w1zRP+yEEJr9S0nd
6kfy9kfXFvOC5SW/TBjsv6EYcm3PRQCHZdJb0uF/mzAgl7MXx5VLIcWeieHDrxMG8rOXhl9g1lp8
fZK+/9cJg8OX2Pswt3BQv/1J45W3RD7/YY20pJ7iNMPKadBV/VTu/V5PN81uZ+LOy+i5hts4Tj5Z
YbAvCfSjOzARhEt/VRGC26mB1t7zrKI6PprAz+GRfZaN/WYYJCnaP1KCGbYJMSXg8Opr541smtPo
jLXhvND2ms6m1wq1o16x3cgSuUIeH4POEOG+j+6NxFvH0hi3dKfoLUhOgEO3bFQttMZCZLbvgh3L
i4ypsvlND6DtRACv2PDvYJjOkWpO/JwwpIT+nqVGtPPgD0CxgynoUM267CnYvE/ok6CyWSoeMITi
ogfbpbFj6vZRSZCAhXN4ENVbUmfxN0v8qELE4gjIEXsxb07gKUJMKBHApITUWTzGgYXgNgvSG2TO
hzDJBS2pLyQe3hExzVjG/S7O8ts88uIVC0GHkyxCgLD4xawU4X4We6/2guyyR5gVJFxVgkp/lOaF
1LsLNAZtRaIApO8FjWzLfiN7v9Yz/VRUDTDtfzvOZbAp6CRUCIqL/yzORZ+QkkxP/5fjXGJrJtwt
MPciRvvXeAu+/P/dOBdqOm039OjD/wfiXMwlzkX+/xTnUnrzdIyfgEkz3rLs751OxkfRYf+MQQ39
iziXlMlnFX1vmIO2Sy5OPnjsqIs9IQDHWWDcsav2yxAhzhWwtBHlV850tWXK2sB6WHfLTWosdyoN
w8u03LLGct8OXLwpF3C53MTlcieHYThSM3FNL/d1xMXdLDe4WO7ygEu9WW53i2veXu77ebn5q6UG
SCkGpqUqCCgPSsoEO19KAJYeCdVGi/bltvb4F/2okEP6utaz9XT5Lyo2SkYL5TVsQsh4xN2tamHX
jBMftCJV247yZaCMMXLyXtzpC8ifuVQ5XsZsYA4cuqImWwPuYx1mkpYrwuoRjYGfB/1TbE7xru87
uhcrOiuVCWZEGFfCkdwfzwpw2LEJx8tBdknQHuscLuJSnZWUaXU5EM1FlzmMj3DqPrqlngNQ4htL
hZdmrbYqjeJLJuZLvVSBRRFDUA56fwp0b2UTmADLR95XFI8tRSRBCQrKsAkWjfoyuRQUm3KpOnXK
T8CQKE+XitSgNFVLjTot1apO2Rot9Wu0VLLxUtO2s0WvIsgEXOrdbql8Q0kNPLTFI/FDFq0T9bH2
s1LOqJkHg9mfu9TR7MV95n4BibjXotzXS709L4X3UoAvlbigJCfXbWUuNbqgWBcU7ZSkn3hW3ocn
RofxXF4aynuNMj9byv3PYan9bZoAd+kGYtqCbukPwGd0u2ZQm3jpHaI2PGAd0Xz2EySFWu3aATmX
tdaPbOk86OVYl9GMGEtXUi79CU36taJhcZAPDu1Ht/QxDYy2dUS3xpbqgRg/6njNnqmCT2LpgkqR
HqY0/sLvdwgr91zVsIDNbNBXritv9KWXwqQeov5d8569a/ln1g43eVnezIbJwMKFq2eh+JyE8gcN
XEvmJtXB6dnnzya6qkKpU9r26TqdB3U0R2I8gTpVSg2H3qIiyNByU+3WqL+JQh1cHZaMeJoHLDVe
4J1Dyoc9n8fboQWE2OXNe5nZ/bqEn74N1J021Re7ZN6pL3KPzrWQqHmv6bjMS2D8QGkHJjfpwUFK
3EddhhIQL2exdnHc0NxOKNN172p21bmekK/oav5eRLmOznUXRNKXrbcleZLJQ6FdE8O6GBVDOiWj
W6+kNKqr+JC3yd0YIeqOosijcwR8bCaHKE9OqN3QpLdyDpmHzq/VXH0LR8TRaHoZwPVltlmkeQay
Q9C55DDXvIFfesmHkphbbaUph8VHnT1XAZk+MKpOSH8LkJfdS+G2EbPMKkAEvE8i5owTfo1T3DVI
HEABooSYcZ9nNdGQsXVwDW84F+CWmZ2lvkRm5ndFnUD0n7aZkWj4XmOalbLdsczfEc4mdmN66GCy
ggjy40YjZgZcRFEWIMIa8wbV9FuTDfeo/hzYwcrbmZV8z7GQA45rKXtEVl30bN53No9Z7qY8DYNH
k7WXGNtBpJHsmsPdPcvyVSZzckQeAcM0vpbBFDIxyL5X+fTcuxPalahnDO301dEseJ4TRe4iobY8
/p68y/rw6FT89PmAoLEoRpb3c4Sgmfmd6PvnwECNLeLpgcFNDq0PaUKlUKBmZn9LRNFFd3LEDY0+
bCIO5zYW7+h3Yf8FQOyQxQORLgdUjuxI5ghsotcX5ksc/si9DDyzlhhndDibEqziouvuj3O7z3rc
yh6yHj9C8EsnqS7DpE08OQzEQEqu9ER/bVpwj5A51NosSCLAUUJIn1Edxiq4mSDKHcweC62y8Y7q
rXEJ5nobFGwmmHjMo/aoV+9I/H2SLl50DWfkjPWACJpi7ncU5Sv23kt8QnlN+uzaZd7j3ASQwEo/
hvoTgl2mPv858bD74pUkjEPJ73yQxr5fcKgggNg1XBQamUpkr+UwEKJLPAQdNWOdXrdvi1jCThuf
83w8h8yM8aRdbSO9aQ3n+CBz885LOYecnIOdWCHXum3RKAEf0Y6jXjxkEXBIK73JRmyGyIBXU+Ku
2/gY9ekmtyD0TC6mHXLx8ADbdrmOA22d6BczPGSdByMSfe9YbBAmk96i4TbFLQGQbRUgvlGVejHm
8mHhwOX2TqryIdfST8ZudPb5yfR4n0rDZiXwOafGY5b35ykpsK0vV2gACLOQexqhm04DjdWy/Aqa
TVGW16Dpzr2ubm2MBiPZL0Sv7wdFTW8bO4187bJqkMTC3B7AkMUmTtE9CtON0aF5K3eDI28HzzsS
x+XXCvXMMJA+E96iisUaad0CA3o129bvtf7c/vLr7TFtmPLUJupFCnubc1LUpvdYyOC4CFF+/hP2
/tghGuHrQ1cwXMxfpca8lhxJOoddYrfPQuibuciKNVy6rRqQ5CQ8ZvQALMBKb2uWyHtR56qNmexs
86Zzi0fov/7chw9e6txoTfIhUsoDvc27Fctnh7QAxBL9p5mvW6y7VZ48tQmhy7XQ2rXkyaTLuDeT
jyJpkIMNHwma65WNUHYl+2RJISS4W7ZZu2r76uJdkbwqTJ8Out0p/2jGttyQl3IF2LwBCDy+OMrX
EzjaygkYpg8Vab/Njm2psRkMvCRTvevwznxzOeYx+1oPo1vccd6T92GMT3kyGpuUCBCm036kCLMa
IxdDR63BKJhuEbbJlT2LH2cUuZ8NIEeQ2dUlC1jBTTXYNyZb5gptNYUZ0DjUV2dz+LLC6Kvrqx95
p9aqj3jYMia0qfYASWeitUOlYwkD69TJa4HIlWaSYamxd5i3cTt3mJXbnu2KQf+rD8Wj6oLv08CI
3tVnojUWESMclit/O69Uqzk2+/1YlAciYOhd9cHAQM2FnrfOFYe4XMWR/eA2IEZhWCpSm7Rd3gX3
1Uhrbhvxfa5VH54+fstqdZpqo3sYIu0DmejGYbmIslD7rqnmGe1r55ct8igcGgUeASX2lXODOz1F
D+l1x0YbXmXfoINLX7BltRsgrRIQOBvUKtMuIxSFv/Qs/6aexXMWkck/17Os1Fv4D8Mm5MTLa36T
s7h4IqVHbSbMRRP8e/MmIhZhCcTHCIZtKPi/DZuk/jdIXtg9sXCSx24uhKlfhk18CZ3LImZBDO0h
hflTchb5U67yezkLVtPlG5bSs/Ev2x7C6d8Pm4xcmywXFM9KC70nmbgIfD3M1+whmvaeOz44lTgF
dlD0viKd0xlM686ZvvWhA+xE23R1Ik5TXx4A84WrvNJPTt3fJdb4BpAbyZ1In+k9qO/KfgK4cLW1
QZzRHV/jKPzq0whfj6g3cVedRF+wGkfzrwVuuo3BqbVmT9yA7t7rZANv857CMfDY7sycdyNpdRsj
NS5lR9B6dpZmZ9wq0Jk8CLW1btmMqBn1Zow5oS3LS4rya+s5IfVvnqBdSy51RfuWxgcyMt4RMpzU
mLAvHU3y3WhIdACIF/zz74Vp59/z6QjLsoWDOGR+UcOeMCSmL81gdGSGxc6AXJ2zttEc5a1L284v
YNcTpHAU62WA1dNAaMx8jYScsmM+bhM+t5FaBC5UqHXeUCbTO9dF3fhTI691G12lDqxzsJE0KyFv
tX7+jlvoSfao2ISOksDrrUPSxdpFPcipvZRK4GGZXzoIYnYYiBU7HRS9mfdWd9muSocfXUB3Yo60
pU49f0IMuIkXoJ3tgqq0iy0ZoV9zLT4z5iNz2+4UGIBDl8Q35Nluol7WJOuOZ5tkJkIswRYw9W7q
0rcqJ97aKmX/j4qUKLS+vM9AsDCT1In/RCIDbH2DXtVnXc+ADJUpTrenKdyahTdtWPZRDQx6Rlr5
CKER37s1INv87wdKVM2XG1hkPVbeN6gd+zoTpLoH92FZuUBMonxHRuVxMBMPO5y4BwdBNPOSF2WT
mhXn8jVNvNsSm+a5rFrclNG4b3sGYaHW+1HfJfs6hd3ghgwY2sqBEYueNlaQfdzt7LXVnQEkFu8Q
kWh18dV0mbqJiyrfDDEJx5XxaHyMeRbua+IUkUi0Oaz/yjlBYvmeO9xWc2qtSFYjNIn7HUai04iX
MDE+NYcldsp+Zkseq+808pjhXjqjARmvVP8QJzVi3SLHl33GDxbY9PRxs2mGsdtJO13HTs5Sclwu
vjHe1ot2wYgpQoRKi03f5ngCeETSEBtY2ywencwAIBNgYJw2BkXvKk3ISLOXCy0gw4OUsYqZckrb
PjRf2tw+ZrIC+69ZflzYz5NXGQh5ElIyYmGtRZh/Dr3NuRF056nQ75tsflgCXiCVK/T8fpeb7Yru
NdsoBdS9hFlTRtUe9HWfUpTT9IcsResfAU8PoUztdsSeDf4cqsI04MDuCh5xHZ9n43vduK71b8gA
Nh2SWxu+69y9FglJvr6wmNZUFN7e0QsPInp3wnqtWeAu1byiTUfQckjJvukzRPkUPZX8hgZ9VSMA
iobvM/V6pkUbW/veLH8XUqXkq2x2sYa5FGg37oXpBIMHwcRDzIA6YryE3JTPHG1J860TW8e+Guo4
U3fV2ne7/WapbvnmQg+XxH6yLzV9US4mfh4Qo7yqWA5l6z1Kia6kXvY4aDyDlhajdEVEvbB8L4vW
ClTKWDUbETTkF1FBvpcCaCgGydTx28QGDuPtoP/64xtnGsZMvxHQmtKBuOtbIsr35uzuSpM5uMs2
ACH03DOcRgXohnKjCJWUmgMLyMOAuO2cc5U3dI8TntNajY8yS5MTjADMlrbpYIlIWAS4PSFoRjus
J1lZt85QPAszSy6Y+MhY1YorvUS6rwFhpWGmI7AxV/UQfk4VGXjhLCTUF7PahWaTPDjm/DKhHUby
EUcbN77jKfSO9cwfNI4y2WQ2a7+2KLy148QxXYV7FXBg8NwHbJKzFHnzbJ+Y6xcXwt35bZaoc1D9
I0HWzWcjdsljKEXEfrAivMgBDRuy8fRzx0xwTuBQC2FousyZAD2VB1XZbCZK7576d0uAugPJwH11
wMYyKGsY3rTPsH93UjZqJU3KyiIEiUnk0ibTwPrAoLvFAHwUTvo+JRPJAyrxQwWXVO+JaBfx3Yz8
aFVEHlMZQASMsQ5VORDlPKCAGLT5zdRr45DbM3DZhEDIXBI9oovxuanxUXM5hCdNL4Y99olsFwz9
N7Ov5aYFzMJChyC5OpK3PTxR6lXvUfL0j1QpbEOQPbpwb9cD+g1urPk56VPOaRHqbDjdqyLoNgFA
xO6oP+dVGwJPGH3dcrGdOplaj/g8tWo8JNhjV/PCJv+rDP03y1CGRVSA/7wM3b6p8o8rT7DJy0t+
q0KlMCgyXcZ/jmXIhSD728qTBai7aK6JU9FtQ+dLv648HYCS0qBGlfwPFo/bb1WoyRLVZklJHQpV
1KaA/TOiamf51v5x5WlzPGDnZXsq+Qb/WIXS889T5ME8M9naAyzBQD8i34N3QJKTTuRA0SSBHzZc
wM4QYF5KnTvKRJI37YW/oCF4gAY9D5jdUCO+ZponD9qDW151G1SBarpbb/7f7J3ZcuPalW2/CCc2
euCVYC+SovrmBaGUlOj7duOHKu531I/dsdMOn6bKFfa7XxzhPKkUJRLAXnPNOWYYnksn+mFUV2Ar
2s6ucIKYzqDtKCrHZdi1AYUH6RW3DtBrDomJTv9bWBr3+Tix/pMK3zTTBaopxpR4bOjTDYZi9tY6
s/wOOvYJfBKLw7heTppIX4fQSM+lN9x51nYwYnHjT9PLnLghBzREyQbaw8EZxgfhUWMwz+I27isJ
uF/bFqJpD72hvaE0bGUuX5CAgBBLYkERVqhd/AnwNyaDPBo8kVCBtGXjiO6T2O8Orvh7lV0OHJm/
vIzNrQbKYcn899AmGIzm2tn9mzT9144mqmD47jXvJ4gCpJSqCmhr6FZxJt9nM34yTP4kr9BXCxq+
V2UkP5qJn1mY1c514FfMvFnBghrlV5FBeGpgTZyzFGgm79ajgnR59wltrLjjXnRkkL4o4ZmPb2lr
7zM3+/Aac4fGSomJTfy9Yk8dVCkPS9Ms9O1I70nrFf3ODrUPFL27RGEWZiSKM88qwABANGKt58xW
ZQ86scNh9Nudm9VskHqPTrJmbav1rElZ1EpjY0ubitor67e5i9AIaWllRhbZKZYZNecPe3LeaVoa
VkbLiWxJAf/Z9eSujYQ7MFVxF6lWx75XbLuxUAFPWkBZLkexcehMkZ0mYx4PQzUcay+E/byk1Qbd
tFn52UNaUSbIKBCjTnxrkRW/TEn5oTti67P7Zv/T76lr1Vapz9kOlvEYRDG5OQMkWrZgei7UurzF
mRlXcDXmfEQuipYfXklBk+bH3Q1VWLSH6Zie1jVgRoRF/SXM0vtM0MWgFvVtEwIA5zixadUaHxwj
uc8EeWzANOvqd3zSoz3NmQnLe5MPeWKtenwBrTIIMJZtXRwDLs6BIhkjeDL1NVOmAihd0VaO5rdp
fNS4Dpwi+jLUyRA3gjXyA7GUOpU9YUF6M6/dyLog7EAoujzsnRZTuD1cJGKFoVSLmKa82KSj08r9
buNnr7ZSOHqkjkppHiBlqK50T71SQ3Kli1QDTnEsHgN3he55suN3T6ko/OubGVllUfpKgdASIriU
CC8uAkyjlJih8e6NMtwZSqOBFRijqiPbDDXzWedfOdLkRFfRdkql8kjkHqF0n2qIgHTINRim6694
azezQ3E6Kkbo133DOf4IfYPslxKU6on/pDQmKPC4qlGd6pKhlQj6EHaUqPZokUlNr3ToPXDVB7Q/
YifGTDuYxbeFqGVMPyfjNBAXCzqleREr4XSkIWoVShHrkMa6nOk4RizbNO78rSv9zEBIG5WiJpHW
EqWxlUpty+MtdikqOYbxiXCXi2O+vNOVQse+b6t4Ny8L5TpzRTaq5+8lyHqZ0vcgv69YVDkraH2e
vUyvkeNsykt+2yttcEIkrJRaWCndMLwixN3C0cHR+0tXLPh9JZGFDqtUR52o49K0CO+fM6KkzduZ
lEzUwy+9EuFyNqb3JUHF+9IQNalW5dpTOmcmWsxhcfEZe97JbMP7dDS4KptHGZ8tlkJKL7WUcgrP
cmu3UbzrlKraIa9myKxC6a0wsDY9FdTRcBB67aydnjRbHyJrgnXR8OI1BtaUEZd/rDd8vLj4vXG5
FrRn5sZAVaHh3sU8O4IcIz5j1GlyfyhADDJCwVvAjjqcv5nrwUZAKVr68Jx5DIeh7t66lffW6yN9
9RoIp7y/S8HxBF5bPs5Ts2EDOK26HzGIuJXj0aJjuXDT58c4Xx5Df3wCmehiy5tUili8Y8Q4u9NH
mLhXNi2ou6n2qVs9gIbmPp/iR1NVcVeFI7mMWXe704+h4vXYczgGrixoYqODmEfRemwgOtrV9+Bw
WJYdrxvSvWAz0/ygBKME17N8L71xzMsXL4ynNZ3qBcoPPwXXGkjN/KfNKSNoKu2lcdwv1vaBjMsk
KKFEbjwzZI4ZxQ2JQFyyMRtSK3U/eyM+23W/M1v56Jg01RS2wLzY39Iu/Ilg8G6k1CHT4dxi2cRx
Dw4PFNJKzO4nhqN3nJw/mhASYrptrGwgFqlf0LBfq4ZeEUen+LZWPkJi3NH0nLg3Wb0vp/Jr9EgF
TOVDU8ENG93d2LLZT2btNan8u8ZNsao+UJ0AavW1LMofScR9vYZpTHDlMMXRW9R6UJ+iN6c1tjqy
jhFNL+xSLla7fOdVeSnD7DCboE065z4K8wtPbwp7zv1ppolxXWntbedk5znXH+fS/ZxN/3kKX+iX
/+wX82jbxXrQlOs5CCFT2uRDBVyfsdPu6tI+NNlLNw4vw6RfSzdF8TeTG14LIkF9H19Zw5m2ulZh
Z1NmLdHLsgybYmm9ghbcOg3vlvk5JDNWSOu5toZl3Tq4PWec6JPLKR/qFmNnPWPI+0wzY4uLs9vQ
uEyPNZWkcNby2vjqMgeXPgSgurutNCAvvfLJe2QCZJGYxDn9W9uBNVL1kGYzYqE0QBO7xra1oi6y
XHmzTANNAo2Ma4Z3Gd/aUQdgwxLfBl5f/hXuRkYXrahxAgPlIFxVOgWXYfhCfy9JgKTa9rY9IzJY
P/q2BzbUkCzRxuKJgxD63RLfLZ64N5t22tCA8nPMSzZS+rul0Lgpw/7kvtVlcvLt4mI44BXo/DoZ
OtwyUCJ2Vp+cLn5WTQQAq+L9OETUJ1QPUpb7PHaJ2dG70QzMiTXtxhsrezUMpwxofIiCcva+unE6
M8VeHAfQTheOOOi7Wx9aXdCGpP2491wmLLNhD31nXJyN4yRfWuneUYT6AJmEBXA6Pfqh8e3PGPxq
TCZzxvdxNPsmqWfuaUQCgqhengnbboAE5iRs6cKiTnsdFuOjrDSQcBmmAyEeIXsd6PqTzOf8PjPN
7vldHdyaS9en14IhDxqp/eW4vBanEt+u5CZICH2NUebqucUDFZLvpsQcL8RuKtgz2SCB3YR/3id1
65GmTXN21kBU4FDF/mvO3vbY5+bDr9fsZvgqOM6uiybNz2G97OD4phcOUaoVvDwVtRs/pNJBsZrn
x9Eb3pNyqF9CGDnUmaWbzO+KneNEdFth5tymuTxmVEHVWi7JiA9P/tTaR+nN2ibNuFv+Z7T810ZL
w0IZ+L9Gy4ePsv9o//v/FX+eL//+df+YL2kfUV0GLDF+tRX8fbgklcsOAyqLQw0Hmw7/9yIDErse
b6Tvm7ZPRQZu89+HSw/ipU6yFpDL31oO/q3h0v+fflrDBBzi+GBZWNJ7f+FTIvtY7uDSZFtlCYxw
armnjkKTajRfEnioPXu9VeI00154GsiM0QDYRtPWbp7st9GZ3ipgFTUr4TrL56vNrORwBiG4GB6o
MncZqJJN1cVD0ANu2LjwVhH/ySpV9Dh68BlQj4Y84GavgNGT/paOy2EeWEQYenYu47IkeGQjgqXO
JvcJLLIuPo5UakOK+G6lqpLEfxTaXhIMQ3Ifme69zMoHqU/1WsbWSz05FAQJuj/rOXkeR9Eda7Wl
LSBJBkXM9ezkVB3P3bLJ0/yp4FEWpJVVrRc6nimuw82BX7ci6gV127A5AVTLLb3MPgc3WDXSHjg8
GMWVDcs9p1Dqpm1357vpJY7w21dx+ewZnPF1CfNLpZQy4kqNii2p/BJZD0nprorlDWq8yFz7+B7i
mkmKrjsOCdWGABoPpLkqvv89oAncPD4ybKLR+daHYXQOVZ5qTOlt6M3iiPnjwF8e971KXzXYihqV
x9LSMdmO/oRAOeZb2ya1RX34BR0rUasH12oOJumuVsW8XBX4Kkl+ge4sthPIHvKk4O2Z9IJEBcU0
CFKnyh2PImqzc+NlPyUbrJ50WaxiZg15M6vVz0h9MIjJUZJHQyCB6FOBO7NVWG1WqTW4aztr0PZW
Spf9Xqpwm8ZO6sjSug68GrQK53tmzeEVZ4d6uECh6Ip4WLUk5iCQBjxSnLfCM+75RKlcnZ3l907h
X9AT4ceo7F2vUniFyuMVBPMmldBLOGWvmpEnXSdI53LAHK5kfG7xhdPjSMjPJ+yXCP3ZIPzHFuiD
4PAXnJObSaUDJ5UTTBsSgxXRQa7q+p4uSdqCskU5e8CDpfynsX3AFT0dGg0yspjrSPGNA6fmY16N
sC8mIosh0UXDG8+tW8ExSSTcTt8PgIt8VLntHTjU8keyskFKo44OMqZ2tOWDH3Ea5fN78WiBCwqd
rTam66Aw2nfXKtJjybEf1s205cPOYJmVPe3PYC/SHPpJiymIVct4sMqtUT0ZuGn2aEYugOVf4DfF
j/bzicO9UR/Z2Le7kY5V7lw/J4sfgrI3pt8FHzcKtbY2JkalKMND39v6Rfo+Ze9a+y05KK6lMq0X
UZZeJuMYIRSoPaV74+syI8bYH7TQuqcXYwjqglMO8WM2LIM8cEPEQkZgj+JvQIah1+252wTIzssz
nwgyQiljaNyYLwTABiDNBnZ9ILVJb69JOS0rxlR6+Ghz28z88o/LwGe35Yg39pyV7eotalIitxw5
GhEnJ5mkyNwmPkbLdO4zt3vzlqgj7MgLKzqb2B+s94XbRA+/d5WLgvo86PiHkjN0qFk0BgNpW5fG
wMVXdQ9+O9oEmJIBZdlCqjD0727Msm2/fJaLpm1mq3z32u6NmhcKn4vu3PX1jeNhMoEifjJaeXS1
9EJ0ndSteJ8Wa9njKt2XfQYUIQKM1OXDlhMR1jvppjf16AiFBn5uWkCsNiPKpjcm2tPl+KMR8BoL
ZICkzp/1DmV+jk1Edn26pXqYWlUxywB4ovsaW5DRR3oPLM6gDYXE2GIhg9CGyGcaj9+McZumT82+
10sXOwxbYdxnA/uUDkOdQmUvCpqdKHy2AUd7UkDtHLK2UIjtMAS2bUHdDhV+GxMmBe014v0Em7tW
kO5iPubAkwYF7x4VxruE593D9e7ge7vUB1goUY1KNbEcLfmbrQKCD8MZqWJZV5DC6S+LIm4WHs9f
DDTllkqrQ9p7F9l6R2funzSY48Yv+PhyrAZg5NDhi42jAOUJd+ch1g6GJs5TmH96CaHhAqZ5KoZ7
KoM3UdWTNMZ0Qr+XQqA3Aq5xY4AUbT5pUW42xL5xAljNxcGXA2SID7JCqmPBTne0nVL3hWrgtOLW
VQB2S6HYE5jsHFPLnVUKgLDJMLIfH7n0fkHcu+7ByeIvge4IehLQewbxPcLjegyTed/4Y4/06+Sn
eK4fYzooG++5UNj4MgxqhZFnLq0DqNLuFSLZeVCw+W48uLDn+Z50a9dksi053CbtsrEtQPUstZm+
rQIsqMLY+wpoX0G2HxTiPkpzlqJQ72fo95lHQK/He05MeOHwrCzhE7D8DGq+Dz1/zoY3EnD5to+Y
K0wLNJlC7fsw9wXs/bLCXUsse1xNcPmN6a2B0h9ScnG0yN95o3lw0FxXlXAA6JQWvqGE3HybAx01
0oswxbPlwYmsBicosRloncUuDj7zZCboWy5mgDShBEM85Aa82DHqr75+xLtZXloLf2LdA9H06EyF
kZVt03ZLlbd5Li3tUSzlS2dx1Y0duLnQgr/t2vqDXThQJn5MZazt7cF6dr2j3ufVCa5X7syPswrZ
D1ONS5vqy8nCFJhIaElQhDk/TT+mtKi2VpF/1g2GrTx5mjx5DaWEx4NmJXIAs1C+5o4VaD21oEzz
8OdSCPxZtscykZjRurXFO2Q0Ggc7nqlDMzw0vZ4dY/bMo6v/FHS3ITJweEGq3QMjZX2eQr5yEsCR
erlrcvfO0tep6Wd7ggDNoPFYXHz6/gbUxTKdd97cs9NimFl1DcQMeGbMebV98PFEMNARNmxKmh+m
4WHBOHEzNO53V2E9rGz9hzTLGsOAegTQRwJNbDqbjreSOJBrUzOe61g89DSAcBO21qHN8bCM7mJU
jJMQ/BNNn5g7zxvsrRsjtFeF9ezZfbE3pwTWsY5amBjz82YwyDw5ev5Fhph8JIz1bVVOcRAV98Ws
1+tZwgcOm/7gx+7b0g39E8BqHlAePQshjXEuR4vZhQmVRDXhVRGYRMavmecmqK5xi+RULheJOXs9
SI8iFZhdmz7nQRgbi3bnL+ccab8aqUrN+p6yV+mzd3bnw2jE7q5I5pcuMeTRmcLnrnO50/uHdIbo
VM1JstHrabtUhYcs+DPX8CBS+byOrNA6yGRVG9p0S6Qq341uXawW2625LvgZNUUxXZbyuY1gdpcs
2k+ku3CZU49yGXRQCx7+y4PjMPPRYGnyaT5jBAKV4BkvjZ51SPT85G1UbceEd3aqTMwzmBBjZ+KY
7TyFncnL6NETPI/K1QLNCHCG0A5df007gMi1q73F5Y9sxMTPdhMAdOlp5yjvXwfZ8Xi0ZYkoLcpg
8Ydpk3JijPSfUPa+F5HfGLUaVke8u3k43zKUFnxI3pomNhlcZ3LZ4sdQ1LvF8vsAVIi9NpVJoyoj
RFPt6kdlFaDlv3adxPJncAKJo3A/VfqX5VKAJrlPzl3Z3c49n+kQh2xmAH9xm+ElBTW7XUT4miUN
LGfpPxndTOavJLe/NFm1g/F9kvTVelV/04kK1XYiW9BNC8XlnknbCF4Br9tKKkqqDOOrWwzL1rTH
G2NxoJSX9aky2YTJft7YDWWPDlq9cXWoVOJN1m/k7BKkaJ9i0AZ7vlz2AzczJyz3i3HXiPkj0poL
RNjmRMr20epQkIpQc1dj7siVhENG86T9Yuqc/bP4FmGSI/UE9i+qXh02BnmGc0b0WRQIGjVWVoFv
Pam4o3BPwiM7HrOkyNbImKcG0llh71jv3I5d3G4t6C1RS7I8V8ZxxPr/iAP/UtRWJ+vquap+958v
nn/5H8v//q8/eSB//8J/JG51z1D4LYdmVk9QWPGP9bP7m2UYLH0J3OI+FIb9JxOk7/Ef2D/bFm5I
A2vi7yZIYWCFZrvgqWYM9sX/BtML0utf1s+8LMvlBSBFsHwm+fvn9XNsEjOw8Bqv2tkhWBNqN9g7
ooD6KgO529xrvl6utSXGAMNtDNv2Ry5EtGHDsmXdfOJOjsU+VXH12tuwmr20EYtiuI/orR69QBGO
4U2BZTlpvxLKOOfCYXVtxtGmnl0vaHB62cCmnmlF7Cz7NrPN6BpRnQ4IfV3PZbEhulZwiuYeF97N
swZyL74vksBOpXlvzTQGOKNj7gon41Jr2fO6mT/d26V2GP2nycy6k64bH0Y0EjEpnE2sjRsd3uBe
WPQ4mNwhcAFyqJQ1Cxnsb/qM+Sl0tQAt5a7V4jcyWmuegO8hfaWBbdpPmWHts7EDINlwFc4vnqT5
CubOwB7FoTRsWzvkl7kJTqtKstGMjVOWaTqF884Tt8drZBvLVx5NlGmxTu8148pMt+wp2j7XdUsC
L3T2UpyFMeAYNzR5wERu88PNeUE1GE/QrnSIavThjoE40JKl3jA6PZuG/hFT4b0eIPgw0LTsPETR
reMl/qCh+MjQGizmKkwAJ3VUOhFHCoG0hruhYboriXat4kiZABViK99zblHrfrbMYURKbIS7hgbb
B5G9fKURiHGeq/gRhtOQMnYJPj8hIzPbX+uhGHoW3/508K30MTMF6+L4xsq4FXpGl4GeN7x1GC2I
7ebj/EjlUMVvvcUvBRSDDCMvE7bhVmNhw94CrUgTb3qDiWro2JKEiAPLUHxHPYXlyB1gCXb9NH5W
1lweqq49kNjaJszGF+Nq0v0LpIIbP8PnsvKHAWd7U5kKX7Dy+5HHVqUOemnFZn/EWBfZ12YRG56d
ES+YPqGKM1SbOt5moKGgGSV9TpHXcvZFuTIKkzaI1sEb6Z6EZjwgHhU7aYwb1jojD0P7p46nrXAu
DWyy7TSFD+FyiSXg23iy6xtvRs3PyAuiB6a3WTt9jRPWf23OaB+A+M0zmrRYot8MNo+5nEYUb3pq
5ma8ab1k24/tz7icC7psOTGG4g1K502HMhCkDaJd1MPIa3UP14SPOG05Zs8r2owTBCRZ2Idcy5ny
k3PK6pvIo/lhyvJDq8u7IR0RzV2uMxbS48J8mDtGuPVm/GKtdXVmC0KFzZvk/KKHMhBUzrKmdRuP
YhXdi0FP1/gTn1yz/7X8njfUP3cIhYsT5HrCBipz9xLQBUFEPo6a6NA8riPO/xUHQHvdhEzwvUH1
vAE7lb/Itxuz+1bLNv2gE4Us3lrr6LqFSxmITRG9Fm5AUNE4E80uS4YnW4PFNkgJCK4yAWByJHeG
odoyLDwUYVvw/8ZinfDvLFXI7mzSAwGTa9WqycWmtYDPiXZKwLAeuIbYvOcL3VbpjqW6FURNZoCn
7W5qJsagGYF3WIR3Npp2iVzN3sbJfIW2ebSGYV6PQqyhkfLzteyc2qT4Oc/kS5zXqMpuXGSTMEuO
fdbckr95nbIyo8IgusIfS1nm6t+54V/TpeXTJocHQMIkV2Nqu8MCEJk2Y3vA52FiSOG9zt7pKumn
ekSsYrrrKL/04W9xKTxn2GM3izJboIud5t5CtUrwGCcJmVKztttAp1rdXsIf1VgxjoNuOzVxuKZm
92HIl+R6X4+iPNZDfU9l4FkzyuxmjiAYvaF3cgz0udhsTJf4PGIH05DTpt7WKWjLjR6rVn/UFGee
MhK60BdBa0kaNR+J3xzKod/XlpFSgpCRQKEepm5Qp8eiuF0ya0YLCbe5VfDxS+rqMpQlJQRJdMzt
+hshRPXOpWhw45ew57MNeqheoNVM4aGzgCDQR5PlDUa+jBqAmllXYvlYwY8dtmEmAGtdwxq9LMvt
M9r+bT6iizTxF0+Uir5F5+qW1YbvdpUdo/MYGfBfM0NpUe68orzibhijH7MzbAggbojDUkABGpOK
mFoLNMeuN6lWB5PuD1cbG8HeaD2bNgYmQlKlAMJkTskEksSj3QTgYxX7xou3Ro8bWOJTdBas23W0
7HLc4oyTOg54VuW6NH+Uy/A6JN6OKgqwPzCnm1h/TBNKAwukb5+wjp9h5z+BBR5At2jjKga37WPS
whMvs12aRye3tbujadj3M3mxRU0mJJJovsQyTIKQ+komzY66mkT8rBCzuAVp9sFp7MdhuvL4bblr
5KCj/fY+rfq1nqefg8Wye6nJinLGTvEKd8h7WruSFP6wF9lO/XRrkmJgOdYBFmxfCqZ4WIMkJPNy
75tGDppOrzdulN9MwoX03cXLTe/732Xk4kWpxGvqciWWrjRRn2UNnJd8behtk0fqrqzdLCNCotqz
HVkHUpvdAebYQLXCxs2Hx8kDV4E5tFXJA47u5jouJ66w0IVIxK9xEemuZJwIMLXEbDZQ4UWdPI0c
TeKJ22fjOluwleWWjXZ6DP3wDB6VmbPLcCawOtnIOrqZpzuRhfVOhq2/zuC4hWXL4tSfUV+yBX/S
on45E3sSzWcEPpTJiL7X6Efdya7MKh/VMnzCBGh5Zo5PsjdneB0MEJVfHKI8ax6W8Ltwu+zY8AhW
cD/TsOQxktA0KQDYp65g6izIHqLGKjvCUfP4E2fCeGUX8jXlQbbx/WI4taYexGlydLDh+MgQ0Twd
C0SCfaGKmIxCbBDx3+o+hSRMes5ymqPo+QzxFjOhhNluFuY1jaobp/PfZuD9ft9tpBQC8jw8aFG0
nxigKeEwqcHo8VvoQJJ985LI2niQKWlwp5lPJlFrWWyjykMupBuJuY95OJndel0l/SbRIy5k+1x3
uXvAu/f9n43nv7bxxGZqMkn885lmN3y0X38aaFyGjF9f9I95xnUdZg8+5CwVHWGyUfz7xtP9jWHE
BAUEL90CRygYdX4vomCbyb8kdFd4v4aWf8wz4jeQQrb6M98VGG3/vep2oeyyfw512bgBiIl5RM4I
kf2liIIBG9XV8HFURPR4da9W1OfcqGnSJQ1GpxnduklJE6WYLZaAWlNfDVls/M5yN8vc9pxnlgKy
f6Ot60H1MUesprAGVD8q3UZZrT4bewJWz+WjccL3EgzzMu+8IFR9wCXFwIMwn4pGp5fLmFWps/+W
qxZhNRoEIutPiB4UwTcH2rKSgBO/cZjpqFtlNdhVwEDeerD6XR42FzsB1O7kVboZc6JCnHqjdToV
/Z6WjJiMio+/qeMhYEiYRq5zjH0ilVQj01anepITCpNJ/qQUaomHtJuPsVgkj1PupG5Ez7KrGpf1
NLT3qe/x1239p+XY35mTOLtGzQTJHNtra0puARCRKaDNuVS9zuFL5ffHVgcQX0lvHan+ZxTGG45v
BTZC6x3wKFiJMtfXbrwcy771b3XN3XAx4y1rVOCDYYPWnjjjMGNe5ey8pKqJGqfmB/G4kchWhJkQ
id5SvdUIrzhquBFOlgmmQLVbx2qlYFR9d+s55b6bilXRd9FtzZE9V+3YownrfOp/pjq92ZYhTlh3
yJ6Xj3rhjcfGMHfSZzeVGVgwmR7fLR9p1STxtWIpwsiU27QxDJ259zrvAgMKIzZV3oPq9B5Vu/ev
X083yl2pmr9pBmEBHcn6rLH7Xnq6H+lRcqjQZsOsq/bwacGLQ5u4tOkVpwAFaZeqcQJ1WG5U+/hI
Q5Bl3aRzmtzE6n+iotlPg006m/0e/X50oQmoxmGtM8GoJaE5bLLBgInqkWl6BK087XO/IrgyDxhm
TS2lD4p8uA5kflyQWdHEyM3lCOFAaFd8OmFxhGOKImbf4j/3VUvezST766Jk4zGy5hVo721X1fom
XZoXoCgnvFv7NAmvBWsaygNQGu3Ox7Pim6yZiuU205SZEj/AgHtpROcqrR3ylorBkSCORHSgS2w8
OrEdweQD8CmRbQHS8hZpzfvkUd8HjhhyuF1EQcO6EKDxQbr0dDEULHv2ipwpRPwZ1+Z9mKIE28Ti
A6uuPmq6xgPkt3nNEyzdUG/oHEVWbhVacbukJe4C2X6ZcZWtdV7dKrtpyoIqAM26LNywgjRLIJfM
jXF2ONbPyYgDL0Ota3KowaNorm29ZpvQbHBgQRQLFQBLL5pgohYNH9ZM6JN+B3NBu/Si6VAJKo+V
IbGVOCYGSJKNXD4KHV+mHtF7a3MxYD9loMKY6XQutYAN2494WY4taRPKON03KelVHv2TDz5mHBbq
qFOPz1XdAg8cGIp8e+xPg0Wj2dg9cZjdaDIBaRM1UMdanUKRBCxDJt51bcqPWluY3Kqa97Iak91s
iIStMv0QhW/dhvLNrci6NyB+UoJK6wzRx1bqj1+yOeaert1Qk73ReA436oHc2wANeUDXPKlT9ciW
6uE9q8c4PE78IjzZ+QV56kG/8MRHWmE2Ni8GJwFbHQnSyjcxagPPcPtPv2ED6uQYIkN1kuBE4XKy
yDhhSE4aWW9mGCniLQ0YkCE5jfRd8dlP9Eb0Xv5G5nZTqN2xUQ7jPuYsw/F+7YiefVd0LFkJ2K3f
n2CrkRS3x1c6iXBJhmCmkzmMj8x4tM2x7vL4k0XnNBXl3h6VTHKPoPeUs1apDl0i/I7VIazmJqR3
IAQaCwP5PPVPjTqy1Zzdsok7NFkA/d7s5Vsfjx9O6tJo2dgRthX7sVf0EWz8OGMNd2cQEoba0a4b
nZ5kq3swPevVmvvzTNXlSvhYfwc32zbxNdHNjlJP6W1k1tkAaghv2RmmF0t0wahDvB5tFuG2hRsk
b1makPe4cResczrLv1Uey/ZUC4wVpoY7sJgyXqWUuzxeKFxbYopoM7T3rIQyUpviIqbCubZNehNp
FHNbgkK0SFHAJy7x0VSGmSQ7ZHwjQJPUP8LEPVoAUee0vlg8DHhF1c6xTZ5hVdvsm8nfRv1myjhf
5iURZy1kez9l3iGRsscJ7IWHpOqurWSL2WVcBpoML2FcH6k28z7jYn6NjsJ58iRFTBW21LmxDplW
TLdjkn2GAFZXDfPIhHpGyOLiVKPYFoWjP3sjE1df2GgWHFY2JtyNPZLGkZN2ESBxDfUxWXpoAiD2
XGxJy1S/awIYeZ5mMnDz7krnJ5GLPAUDTvUNbdf2c+d77w5O0U1rUZJU+/GVYXTdUPMSeG54bnu+
NJ+yZOvzCNFlhIc8SnealRySL2711zm3r0ZDgBGcsgzqESBGgsRhxJ27J3b2s4k8nMZNTt01+7qi
hoM8RSOAeQg9iXB/rVZdNm7+GbCMs+7HajcUhC9lhE6UGGyoC5+L1svPI3QYLOY45pVZq6q1u6Fw
ZiZSYzcwyQQjBcRTJY6TmkJ8Y0SFrF7MVPteSpPseMIuGV74Y8XWpDbM/qZMX+q4vqtESTlSyI4W
QEjBIohCeB1bqjGxWixr476jMCAwhAO2pufBG074zaERXeaMRz0n2L2T2vtG1bfO9LiOqtA1VdWu
tSp5DduOa4InHWgcsY9kNfGY608T2OJWD6EKxfhhbcIMktb2mIfYLw0P3SDVtwLkWFAlOoYoM9yV
NNCWhk160dPXDloAfgw+CaquttHntTfQ5BWy4J4mjGMx3ba6KrkVtN1WqvbW9tvbNqoJt3R1eKyu
XkGnKLl7AGXWu9FZ4pCQjoUGjG0GRzHdkgs3nYR1+UoOC03Qi/dtzC8Zbbw8825mVc+b9xT11sYL
GLNVaVLgu9Dk+5+p5l+cagxd7Uf++VRz+k7a5K9Tzd++6O9TDT0pwrRY+gA3FS5o1N+bV/zfbEgU
VI0znhAWdJw/bGnEb4KoocoPurrDTPQHH6f/G3FCJh1PQDMV7Gv+nS3N/9zR6AqJ6jAmUfRnK7/o
H0EVog7xLRmGCs459wDi+PQN2Vc7DfdmHT8uwxT+be9Hmfz/XvWiIBt/maJ0fKiGxSjHMMdY9ufv
yKHB05IYf44/ZxnDOs1CdVtvfGehX0v8mDTa3eJyFw3xxvDcD3ZZ565Y3nQ5Bn94p65/G9z+WDrj
/PpWfxzoXKF7kGAZ5QQbNMf9y4IqM8nI8XjDOFVXC3BVh/gaOWa8WFuni4ydm5PD6ccOi2HoPwv0
Dg66+Bx6LJET5FpM5LbFpZ1SFA1Bg+acgEfUuAL/Ve1b6z6JmQbbssqpJJOvS8t915Ie8XM1oEzl
PpUzoezCqv4/e2eyHMtyXdl/0bhCFhEenQ80yb5BJpAAMtFMwgBcIPq+j0/TtH6sll9Sr0iqKbLG
lJlkIt/DvYlEItzPPnuvvU4LBDl77DMy9zzn25bTFNh3uAokeEL995pfLfwdtfqvlAkA/FWRkGcg
YkcyRUCyRpXUIt17LftxkysnAVXKGdhIbZ/MCKdu8KI7PsiNbn6p45LURjXv8aHPSz2eLLYPY303
Jvoi9E9prWkXO7Oxy3TK2aA8DpFoY1jz43wWZlHvYuWFMJUrwtOXBF/s5aD8Ep1yTnTKQ9GkB8cl
N6grd4WPzUImc7s3qB1JlQNDSx85tsMlEqq7SVy+yaopfnGhjZcnGkCmG0b+59rM65VU/g5YujdP
OT6kh/eD/nOxZbrhKFLOkAqLCMb8Fa9iZfcA6dvMfCLwJm6T7iuFDREwGk+hcpywgEM9bBBRW6IP
ypUCCOJb/+1TwbACVsKhcxYPi99RXW87e0uHGVQrn4vn406UaojRlAtmSuJftfLF1MohU9PzUKbp
rqDqO5eXTnJbodulV84aTFfsGlt2DuwulwkP9eVs0D/CBFUqZ06LRSdXXh0yMBmvh8qUnGp1dlsA
FHpLMQIC2kjMgcNfbyoiKxjXmtxNtzrdw61+ZgvLfTa5VniGLBemuDIRDaQZk4ZohoOAXpQm9LGI
uKiyHpHrM5WDYHxGslfmJMdjr2DdemVa8j8tZWFy8DKZmtXuawE+0AsEpgmtfHG18Oo1ujihI2o+
liiS8Jh1ExrEa+6pDsm+s03cSMMuowxVmH6faIeL1j1eqx7PlYP3KmitaVHgxio58W1lz0oicQtU
Hwu+rVwZuGxl5eIZgsZPgmNRK6OXNcLvbNuD62WPsxl82fhU/CxzD3Wwpfjuqbedfm17wafG03jR
jUSy3PkR9nqzySUUYWo5qoy7WSaPlll+mlQdUzAPDkPY0UvHYDvyElajm2qLrA7HZTdp3nLE9gyg
q8SYSUFa34C57BNtF2gm3NJJ65Zhb+5n9kSbMQrOYRa+MYTSN89PYtTOc4nejUsG9yjjtFeeaeT9
oXYA9Yau3OQEzeDm0587EWJ0VKFuQbOu4kH3evmFK816ogEhXfLoYt9UJt9RTyPwILTvNg2LFcSz
EbuLytyoIl+TCxgAifTo6AB/+IaQfnLrMaNDZsm674N08SkzeKgUBV1x2N5dCplqbOeNeClnL1sY
Bpm22GcVybm0hIgF5g3YzGmmCsSm3tN3E7TujthL2DtXqQqLZ1VdbNBh7KgyYy965mL7MkkVuppH
BRmsl6blaYtgqE8YEsxVLYYDPiVqDoI3YoY421V9cmCoGBZ/F3E5f1vb3sNMcoiPEzfUKpTNkRrM
ZUn3a6XVag+tg9pvvfxsGcm+CLE+6WFRbRP93mJG4un62GbiA3YQi+Gyf7VVCbRUddAe6gh6GRuv
nn3EOgRposqjXZHeYlUnLVSxtIPD5mAO3Rsh0WARgO5JyuwrKsC6tD5bM2Qni8f6PlWV1ZJP3gIg
4g2x/mQ5jXea2B1WM51VgT+xA8Hit8xwvG59iQk7tqjGJtvGCFzYC1j+GzgTAUQnMsO1qtTug+kh
7CnZDstXoncVM21/EaqG26EDMpko5s4lFd3MdhRHZ2+esOttCkN6Gce0ZulyoK2zt8c1b7gjCm2f
6xjIc3rA/QZLOiFMehtGVRNu8h+gxuZvIw3ixKUgmapS8RC7vadqxnVVOJ44lGC5rnbwqapcFKqW
PKafvI29c0KHDvvcnvoKOswDjzJzHzsU9eQTdtgER4Tfsh2al7NdZCsMiTx4mv5KpiJbiFmnKJ3G
dLzo6Z6TFE0s5oLPOgkOHvg+VbTuqMp1t52PRqOdKZEslnbLm8bnsjpUChcY6yZNWbW9LVIm2DZQ
5Rta/G53mXFqrefM8votenK3ytPhNa5mvkp+C8t/rb3iV4DRbjGCjj2aDXpWW6EMSS4jLOVMHgsW
9U7mguKXed06cc5FpX1LY74heDgukol+P61KjfM9hfKVa3jqSmLHpBW/kun4+z9X1vg9TAMuEg9F
KZz5phyy0V78keQhMwLpCaNDAi5ge67J8hBRSPy15wwJ0HR3l89YOGk7f56oQW/ce+1nZAOKOuPD
C53lpu4ramBtVu+tPryntQu/0+heZiewF3Y8PDkWemgfIX+gKXCs0/1TllG5RF6n/0SEv8opeM6Q
TJNF80xdZksGDfJWUFQwuEokKOktbRxgNCxFZFUx7vl9IYjSlddBScIcjEg9zlqPAX5WWmrwe9E/
VR7pUHFH+J+/XJhvvsQdHA+8V7b2A4V4D0cFaJBThsu4aW/ltG7dYeV0PF2KlgME+ziLQb21FrL8
RRXUA3WiT1HHnNRrvB+1zWZ/yMGPUs6x5HEFB7Kd/IXUG52NP9+LCbOmaFPubTEJBx594UqTT1mk
LyVWBdZHFaNhEcglccp06WcajUgFZc496T9KddUph5O3NPR9GtMxNCHxz1XJKQ/xQu93KhrCucd0
l/lyOX+ECvUjev8j0ZCR6qT8LtS5Ht2ZquElbXks26l8ZwIdQcB1qEbapiPjGXrFR9IkVBqXqiPo
m5l8AgKg48hJ6gfNCU/jPKnGe+PmmPJp0CLelgCsQjQitBoXH3tsLPwnrfV+jeVjn0dPCHCY8TuP
BhUzTtZ0jgI7ID3YKsV18q9oCvfSyHgQurd8VtYNS/8KmvSpMa/4im4xO3QIxg9jm9unLDnEkb0V
kAYWIr+GQ4cwywONlHsJZaGLz7MmoIeGFEMPLbVg+LSaMbSWXo+5sb8fRFXw/cTmRtPhJLFyq7rj
5FfjmnTLTyhp2W0SiOVm3J4HvAhkWl1u1zae9Hgsb2lRngw3kGSpisM/p9m/d5rVzf+xR/Qugiv9
n6bZ31/0xzTreiaDomvqLvg+rIV/7OiYZnWdzyJ+P51eeNMz/tjRkUoUBk5FoonwcH6Xhf7Hjk54
/6oKuwQunD+jHP+RaZaL7d9Ml67OOOcAXoTi6Fqmx+v7y3m2gDpjZjk7Ots3X1lUdHTuyqt0srPt
ofsEfnMhOwRvo9t6jnZ0g3BnZDkyFxCpxVAKbllkdxH3V5EWfbKkhBHgPPdxp/L7TBJak23sQT6a
mrGjyuinpHqD3MbFGu/TUd6ayEtwtfMMkjOrCgIMi6Fqvwq2GQQGf6IYbRpC5QnADtup6jWkWxHk
PL+gIwJuLsQ7C5Rrb8G9nu9zH025C/kynz6jznFvBrofDal4AKgnbPPiJ6bTrwtJSI/QrDsXiT4E
+aOmkTIMf81I5yRLkmeXdo2F3ZL0wURtq8NymIEszrTGxSLjmVf+OKIHg+KwW9QwPmpTCOewcN4J
Ujw6F8MCXVfMIcyIlmV+1ww/NNg95A5WL5JHxG+mc5shJfdotVjkI5yOHud/Jsi2Zx0UlvK+iWyi
T5RIM0O5V09UMBPEazL4nHu2zRM45WYf2p+6w+6mjAm8YYvYQXKEIZG00IEi/72Pz6JsAMR767LG
kx7T4VGa8Fss5RyJ2bJRwe0sYZlrKtveKlrl1g604I1T537mVpzlkfNSRSlpJUlPghN7/DXQhuK4
eEYHr+4GuzljMvrICYUiggJlR6pQPYuzF+y8HmGeHsh86LFua+19F17opz7ABTjPOLxLZfU28Xx3
YQDirx2PbArmzZDBxMHOiu+j2wxSbHstsQ4t4rKlzOStspXjozjO+Mw1X7ublPG8a1vQmBPFdZGn
XXVexg7d5E2TYMGFObwk6lbCAItUiqudyqvmPtKJINio7iPOd0AL/m7EC0+9ZrEip/hK4Wmx7PDL
Z8o4b+GgN5WVXlem+p4PRq9/sp3T13St8RL9t1HZ8HNlyNe9/hW3I5NSnh9ZxXzTzPij8dsg9WGd
kVBjZmap1Sqj/zD1r5AygnMdQpTQB8ATUf5JUF17S8gJtO2DULGBXAUIpIoShCpUgN8Ji1F7ZcAl
wuPCS7FScz3rEdtTN9sYKpwQ1SEmNfIKcHq7haUiDD73LldlGlS4wVQwymBMzTM9P8Yd6k9116g4
BFGdGxhJAhLUEqxCN2ADrWQWRwkumZJeKAEEy6zkmDHfeSl+2yKw5qVW1gRttf5Vsyi/qWwlIDSP
JrV7u6rW+4Xu4u3NMmQd7vdagRgECFuyeSRvMZpirxcUzsW6e+NjqX7RkZMctuEkWBp0CfaRAuXN
C8J5G2gFPw0OvDKoT5pT3+D4ACRUh+L4+3iksuzsTfFbpI5OKKI/szpM6+4I68U+zf0qLz1jM6pj
1+X8lf1Dq47jHJPSRkb1a4qpjsOctcxMvnKq8GS2+GYjdbBb+dVSB30PBct095Iyv1OiiYOhhbSW
etV9TPVXWejnyJFXxThvJDfBdQIuDFC1vWRXx719hMlSmEe7nykZy4xPq0GyZpTiLbNg4EioO75d
32Ml7BU0q7BuafR7WVzGFK1fDBuK38S7w2eRP4Gar01X5+ep1F4CKxlWwvbAVY3H0ZO7Ku8g/XM9
0/XhuYSmQSrUw3gIMjPSPoC1MN/ZoDqiar608QBWgt6EKnYenEp+O8CiuBj3T0XlbjrBZpUmEVV8
eiSr82Ro1meRPM5e9NYl8cugSh9GsdYz6x6zJD6zMw1tbKZZ5mhZppa+j0XsAesCPIn7DFKaE37V
XGfVnzA7TrvopwkAvGuQDxk/fY3NhY3QP1ORMGvGvY9stMiTqFmlDjT5pgOlRmRIAdVHL0Omofyy
Ne7n2vzJ9NmGkytnPIorI6TliPuvp3adJLFM3AJVfjbwXC8JHY3EgLn/N94OlzyzkZ/hReXfMzx1
2FTlMTed7SzCL/UXWX1+DvXCB1K1pY4wQZvpV67NYifyQyg0rIUXGFguUdY8Rq4MeV+pLp27+l2k
5pHN+i4D6rugtoJUJfZQGKDMGKDUv6m1wieWoBGKiiSxbhHEG+/YkGChwaPBerMS2SKtEbkSI6IT
w9kVVXYsNOyoIBAhboSUWPQ/op2TFUb8fuGaA9QfsmyaOE9+TDOc3v2U5MHDhu6FkbHRq9MPt0/3
jSdujU5A9X+WjdWV6a8EbK4Yprpa2JZA47U9BUb4+ngEhdf8278Y/yvK7Ul3ClEySPPSzQxeQB8u
rHDEjWbvuihjvSSMDyNIHqHBkOWMTnSdLMuxepAB360Yhh9c4GTSj/ilWXuFd1PjHEZcgyRBk8Vc
LbFWyOm5lvru/+u1c31zTMxWWPn++rXDOHZnQgVkLJ22WnpNuRqU8PP7rbbK8DExnX1Xu2fm37ui
G0C2b2RyKZgATL35cs3mPXIhaMnogJfpOlX15zRtfJ3nMp9NUBCNqicR7QJG7qFMp+3//PLFf/HW
Y/TizbeQ5oU0/4Y5UTS4bTP11teAzJa9W50HI7kOk4MDCxso86C+CCbos7NBCWgb35Gc5JOifksG
eAoLUcwXPYWTKqp9PIjvoeXDzIP63A/VzsuLZBlC8VpYNTvPjF1/HslxGQe0aRTQhAK9glFLVG7u
pYOfuH2oUo9VLmaH4AnwCwWoZrr/57Ty900rJr9n/Gr997u3h6JuP9LvoMak+ZdVhn/+wj9chZDe
1QKOAI3NACL5TP3ZVUj3oMXmC2AD/YRUAP/1xOLYrs2oY3KuCCyEf6SkmFg4w11L5yvRpv/B/Rs8
zv/0OGHxZ7iuqSJSvMS/2cD5MK4NABkZPES8eg2xBKLi2kzxA4qI1l2Gkf7pGCAy16RtOUGJdR10
xcAsPxymHULGwOGAcHWVXeNu2PYuE0mX8Mdkrv8a6E5LBKnaZCVqH+la7EY6ekdUtdfGj51dYpYV
f5iz0kX5XTYnJ3yKJucnRsWm5yMX66Du5oVRGeC7/OxUl/O8sfzppS1Zqs8mGQ8rUtYxv6rWbo0+
bIDnXvYRIZpm8H8ZoPdqvGWvbq5hlSJ1mUYzNbPiwW7yKybJx9p0qm2QnLGXXKJ2Uw3iOS/MaOWX
0ZPbWlzI+02JtEl4dm620Dq+26YGXD+Ow0pzxuDed0fOnsb69mkfoQExT5CunjpvmHae6Xv4HdLo
MceOntp2u+3M8UiK2F3IGA4fql7D5QCRS27MFBBwJ4xHTDv9uiAFOoI70DHS3FfWs2FVOaYHLVvN
Mr3Ek27sIxh26hJaNhVhAlxddETt8qygqj6M9K2phaso+mUCm96H6QhdbY4yesWpl+x8Z5mNhb5G
HSvQTUhM91+y4P8BtOJuCzl+ZgEXelpi17Gfd88gRm6VQiNI8iwnp5CnTEEeS92/9KY7nK08ytZd
nHwz9vXc97LlkNa4Xiwbp0aE2qhP49VLTMJ0ovgSHbelpi6vyWRdfPEU+3MAvaq52aKK14PnotY1
86kztTU/ap9kW94tO7YLQwXqkaogLmM5rDurY96UfHJdBhgNHtYR6t3rMJBFyRv5qVfdro7BPPgJ
lfVD0Xw1TXPXNQ0P4JpcDF337jqIxLAEp0UQLyTglvNDmeOYLuOeJRz9KPaO+zuM5LnPplPnTcmS
TpBh5yhaQAdpZW+PximZfR0MTEsFDjcJ3lQsn2HoLaDl8Fp7ZzXV8EchB+BiYiQXPRPfZJq7plIr
tnzQ71LGbbRDThXyakrPpFAza14DuwhWtjXKvY6/hzKgpWuyAqkZBNK8MfhbVjAbzKO0p12MWwVL
TdeBPsjXA9dPfr8q/IvpeCmDwlqaNUuB2LEBs5iyQMIzExRD760aYpVByZZA2rkc4jVi8CBeUK/m
QptWxEK6QyimXaryL9xndMAbkcUt4zeJ4zeTQ9E5aHi6n0J4HaYid8RlehMZLI8aqIeY+s/OHDw0
CHgfNN1xe3O1axsZrBnnKT7ine9XCc3IVmMTnugx3Muu2hHHAqGUvct6qBZaCnFW4UbAjtiKP5I4
+dFqq5PTNiO/+83bAKokU8ySZv6qFcNEB2YiFdWEPFK38xTpBFfWU6bYJ4DTNIw8PZXhZnsD7Q6i
QrFSIBoBy/Bg2HS5+IZBdUwcFlhNz56DAf2t0K3HUdFX2NzZyyq3QsYheviIDi6k81rHtENFLQQ2
DVHBsNl7WnZbA3AnG2NBH12AoYPtjjCjODBI4h0PQ/ESoHSAsEHdwIQ13WqurFKRZOIWjR+4zna2
p26tg7baW4BnKkWgiUxe2Oyaj3nX7EvwrQdRze4xGGoA7u2BB350ZoPVI+NTCJbm5XdVOTAlCOux
gg02hmLhJM1AkXbPqnxOmICCLg42fOXPAETHQzElktPC1aECcqG3BNkHl30RgRF3ZSgSj1FcRb6p
FZ8nUKSeCGSPodg9OXy5lZTgbXJF9kGhPWllHx/MtHw3LT7eigLkKh5QARiIxlouhRJVQjGDXEUP
8kq11Z9N+iQUW0hvxg+e2V92lXG/NcG1cgEOHbQjXd4hFF77xPwl/Yl5r3KqHdzP1djiKSTx7hz6
3Ntikn1hC2EcTKoelxQG+YssYUU8T32LgmR+Q7YjHKTNtJG1Hk5iGMmj1rdrHs99nX9lpfU+anBk
69wFk1xhq9arLdJUdCrrAb7JYC9iT5xcq7vBwHgTlAuuovmVlgn8tgO7vsjFTc+qIMOWi+IV2ugi
v3kckJDzoMTZ2CfZuZo8uio6Y5/xo7gnSk3ZhPE8gmTZT7V57Tpv3Ldt9+qOKWKeSOcDpjVseyYu
Mq+lVaCgwGsDRKlcdOQVF6pqcAHnGOonfe9TwHY7KFKWA2MPGiLC9Rek+ob/804y9lRpGkk+GRWr
sAE3VQqSrDpQFCLWl5Kgz5bM3mPbZwnr5JyKAkofu2AytmOIodiYfUZbl5SuRS0GjvLa28GHoZ2N
I9qvoL2Es7ymHtDtbCKtO7AuuxvNjIa9wn1h/wjMmSHSZ+2JV20XBuQAPUI3vJ14ZGvNp9dCUsZm
Y2gcpmnfF+PVDHFE6IOD9AJncJmcTSRFwIaJ4hHRUuYPziOrsXWfpwf0h3QhpP1pGd2FswIUTI6M
AuxVueWu429lMnbtY8cMNLPSIRxOuJNEMgEBBIypc95lzF5ZJP0yq+1fWfMraGN/l9RsrQ2LD0Up
OEAZeb+lab1Phv0eJUnMZPYLFjgPba17Gr10vmTYdBwDMZJvpVjUEbJqMCybivpkxh7BY4VtqHfI
I/urxYexsCpeLKPcczIN0Ce6OtxSU6jC6OXWrFN/4xiU4JGgfJCO+1AV8S+ImxHQTO/WYz3azGlD
eR350TBJdFgV+nqqBnOFK2wZm/mXYQa0jTZXEwgLGXgI18E4rSy6FNZm2V2Qu1m2jYw4iND62s/R
gI052Aa9055KB48jl8Mfqy1nImIzMnf7aEb3Wd28IyxQwGCiMga5mTDPyU8qm3vsPEm9zerqJ0a/
VU+e13YE/h5NuJOQURa8+RC6dT7XiB+2Pl38kYcTyI5s6RNbWEd2+iHy8Bgb2Ec16e9cronLpCB4
UkjYb2ROl1Yo272VlR7hLYl/GrXZxjSwqib9YFX01ODCbLZl4KtsSfmc+R+9mI5w6k55GkoGLIxQ
TqG6nOlQIN9NatoLE5xX2i9pdE//HLT+zkHLwYn3/xq0/qYIwfzT1/x5xiKe5WJSRAsRlrCZiv5y
xnLpMiDPxXMY/BGz2B9bITq3LNwJjF1CrZNUPOs/tkKW/q9Ssl5yhcmX60xZ/9BWyPvbrRB/kK7m
Oe4a/I8p+Zv+UrJp6goJC4gaGWGBwALG20NtIqf/6TjTh7Ci10zSj+NEBnxiVPPKfnQ7ylFdzdz2
enfq+pFKUhkyCLSPoZ7e5YF+6QmzLRk82dFMZLJoA33ATRMeJwwfpGetHQXyLw2Fh2FqHb08pMpj
OmGV+YnyBjML9aELOxs+I52MDOXKOwq9GF8UvKF/s4f6u8H/sCDw8QUv7t0emUlm3BttTz+UZyO2
a/WVe463If3B0z+h8EnAcyG+MLT0IjcRLaZWirGhlOvIdNR1ERmvazzqRVmKE+tNlx4tij32EUBY
eFhUDjnmuDcLHo6eVXarlDwnuZhww76iXOY9I2mfZidrphd+zqMNRHTGmlYwY+nDKmkxT+YFV3TS
XHtNNPU6cTSxqYptZkiO9lmsq1nUKwu3pBVInHYsIDhSEuDhxU/LXuAuBmrsmETPZsEEKcp7ol/e
c2eAE5rnaB0iOq44QoH6AORieEjGdcTzBDrEROBTkHAJk3A3lJK2RMDuxOaTbRmXYlcEzEuZQXor
TyBlhtg9nFpnYgjLY+STQ2UTDnU0hG5NEDd04/q5T1/s3Pa3qeTq77Q/xdDk29qT8ggnJMEes07N
7SAtFHfhXHU4KGviDg3B3nE/4aRxXPpbTNXkwjULfZ5ul3CQKNeA5BpGmoL6F0unByb53QhDNcyo
OmLI7kxLhjp27TpXWBvuOomf50F1ywjVMhNTN9Op3hmsbZCfhv5FU500gUk7jal6aggo0Vgz5uPN
d+Z7oRpGIT2Ee7eCPQwB5aMeGHUL1X5jUoOD/4uQSupCYwSy1+rBZexIyM1cwQvVojNTp2O4yadF
vU4sy3PIBwQNmcAF3mGsXX75bFtNTSK82E5OdeNG2+wFd0nct+/kilyiMPWGofWxKR1o7qrtp1C9
PzMFQCQVVhmX3hP5BmIkBR6QQNIXZNZq+Vnr3Q7Q7W3mJFxMql/I14OCcICZ3ZeadeR+q6ypsFp1
L6fuy3Qeel/jC1VrEWBw6mztKV7XqtMIPos8yOhSaB5/NUMLSKz5lbah+AmrdbkdGtdivmL7OWXx
r1AKcAyUKtRUKcGuSXYN5UqtalkyVN+SR/HSbJX2ORB0MUWqlSlW/UytamqyVGcTDUnxEQbh+Mwq
x10GLrbcxvqQ47j3k/TOC/LnKAufaG+GNF/708bQ45v6J71ncVqmd8Zt1ryXUdO2VhM+ETY8poO1
I9V81sEM8C+kRrNzrO46QyPLQuegqlEzNz8msqby9MBUvI9s/qsS3wgbWvzYdxP/a2jpHYuMQ89l
MdC8w+TOtMSjjxT2Ic7LZ6k4EHW5dbvkHMTeexuX/CYGh6SoKGdOb66TX8D77rn6wkEot1rOLRAU
jwtv1Q68Q1ggvGviGFXJa9wVR2tXl9Mm6Y2nAohhlopjG0ZPTpWdWnC0BS5gy20xsXrPeFr3hte9
WDK+7+TI0xJ6X3Wn99lZL8R94GqX1JxPLW/WnBrbiFIvINpZ5xxr2W9EfY0d3KB5fEtMlsm+vnXd
F5fReLBxXJboTHifvrs8eYIwbmX1M51rl1a6t47W1yyaHvuu2YWDcSCN3yZf8Oi+JMjgIUtJobhy
XzveVxC5r045X2VTbVn+r6kOXM3JFnzYRb2Ozpr43YhZpsUw8XWr3eRuD/0jb3Z+G52KiIYJ8ejl
+Z2rDbT3DVfBOZAa5VkLureeydCe1ZpcVfLY3Pl6G36yQ5dIdXHq6Q4/J7E+4A5xd+nybsfsuCnD
8cpRsRehuDMZ9g2XAbyiIIcMYt8WD8xcj4OFkKav+sA5+Y0PJtNi20qxnAspLLcZ6Ewg/3EoWG6l
zG9+srBs+8n38nu3ql4dLcKO1C/60nvgFveudViRx0AWx6ZOPgp/fhIFM4cnPrGLPxsVm6QhlBdn
cOdTphrAxtp77V3kjsQFVzQIqi9jbf6pYzmr7DTDBDWHvkjyR81aGcZcXmJ6Amubx1HjYeYsXAu8
PgVugZYeqKwH8DiH/rLl97uUZbxzbOgETc2WPW1Yj2o9rmstqJcaOt2Gy30IcLlFzTAnRA4c4FZK
6c9YJuUy1RW8uqr+aTL6u+hmuIO4siGW//ey/dN3+7///fMj/RvR/k9f9ofNyDAd9HXTwfmBy0+S
zPizaE/6hUQ/9a0u/0gZjf7vhRJlHhOR5L81DcZh22V90BC6CP/tX4SrRHv+EUq/p1Iz/xDazPsv
FlHK5IRkz+tgmeaqRdVf7AC9QRYxe2AMGInVbWNAZxS7Y5+gYJ1jZFibqnM9o3x9GMPhXLFAcno+
vlbWZwc9159o2zZhb403vPHmcqLOvVC97rlqePfwg3JZCw+l5ly8ocZ8rXp6TNUMz7RVHsiAagu3
t+TKAMPTVMVbDpvkWEcP9AvgGVRd86J4T1X3fKla6IsRuLLwd705yGVKUf3vzKhOdf3ArfW+V232
uaDXPvadT4NC+i0EUi5DxfRYlPOHG9t3M01SC/6WDtumtkxCycPEZ/u9N8ZW3xaWtw2oIYG2xjVA
b2hB1+ZNn1fx3g7sYOUm5KNrulr5UQ+nZIjsvZFWDwkREypG8HU6VhZAxdXNYxLy3ZvhLktif03o
N1w0XffKDodQ9qQfK+ZQLm/pLWjcbm14MXJnAR8mWPiVFx1tr8deINJJWbunokvXncRrMMAApku1
fuES+Q60NUAmsMINCVSkT2K2guQPTmC5JHqNNNWmF8eMyYSq1fwUn40SKUrM7j2l4hdh4lAlv7qR
obXq420WZsZWr+e3cqKaCGXz1BjyoZltsZW6z4U4pg82q9m+2BYA3Nnw9zhe/AXBcwevI+na0Mcg
2tFWWxvYFDBLs2Bs7jtxsWJy9IWOKb/Nms+gz9IFOvBZozlqBy3rpEVTumPeuRazuNNsjXgmQzgR
ALmqbZbsyC3D3k7k2RqLazoP9SHF4Lks6vqoQ4RG7tTNRebF5R76DuTtSa+xfuN4AE1/qxKOjZhb
CSncTHbJh4E1YCFrNKxCeVsHjfR56M5f0zjG22lsjwTLSZY3qAsyjC5xPXzP9gEaC1NJytEVp/2x
08L8vnPxuk7dZ9m9Ssg0u1LG6QE31caezK2RJVuJxWjHkVCtfO+lc3E4F1qyjK0Rfyvkp7VhkRX2
44g7rEMmK2imjUe1clCSY0dhsO9baYQkoEOAwQWMJk+f64dAzgwRVfNa00V3ZRZ5yicgbnGptgCQ
fysBVJbwaTC0xZ67ZbDMrJIdecSK2PbiG42o6rjAITNempoMb9f6xo7zlXc53rcjP+rQA5JnGOO+
HudxlZRzRFwdtKakLiCuxbr3Adtaw3fUWd6uaox60xjxsSY/a8+U9gJ53pte4DxMpb8t9czGc+O9
4/rwt02aymPCpb21RMy/Ku692dG3nmDx3r0VGYYmpw+2fujoz00qf4munUitoJa7Q3sKst5bhXw3
4Abho7YV9Ts6BcSaaO21mbYB9hKxTLJ22gfJ+JCU3b1jiOqptvH8NzJ9D8tnHXv2Qx/oS9BF4R1G
HgyNFlE3kY3HGFD6Kjd/8IgA5zLOTl5Fx0RY6bqp5T4y9WVbyasQo7v36sCAbSd2eo3oByngx+E1
HYmmLKbR98EDdI+eKkaYaUjQjRA8xYDtMlX1CaClPv2cyyJmopSEoIbLD0dJomoX/G4wye7mV4kh
PrLwOXXgFxZ+wRBjFIaziJ0ajlUeUEsTYVXXzBGF2XiZVeFDFaRPoXC5/kWPmqqEqFQ5RENLBPLA
NyW8CLLUR8A0eE/pk+Amz0ggefq7dDSfpNOrGr99FkbGm3S4uVVuCT9DBZyqqbfu9NJp1RZnG5rc
d8s/lVowPKqaC5u+i6iHL+3Ac6hUFQZzItRjhllneMMvAgyNVP0oemODCAMPLIpJ2P0u1wChFcTG
S69qN1pVwGHZwY7pinFcMVvrmfQ+FNdB4VzZQd+HcnzoKzCz7NNWejx+ycg+2IKfJKtzuJz68EL2
X2xmjT+rM7vt7PYwqu3+zcvFq40GV+Kn9eKkX6dWcYmNmenIBLcJD4NORG9JcKxZtQk1A75x784N
EjXxm5UgdWAR6Nq2VIe1xiB2oHIos2HXKOwSYolu/URO9eY7bElm0ybPRb/aGNCWGyS1tYwJXHBB
bfgh92KFmYjP8WTeM4bIDfFVjtU4/+S1EZJ3q7sgQTL2neaxT6rr7BZM52nxmeUUp+VkG8thuMtn
KVdkJGIsS5a+GdVaz2Uy7VndNk02sCyqs00orVpRzBeeQem37rHQ8MiT43mXK90Jd46H96Qbvc95
ZgmIyYzOObGfdXapHVUPSf3ueflWD0fIizDO6f+jBzmIANzguA3buaZeAcNhnQEOmyj6XloJgz/I
xnIhvLDcJIUKU9FMFb5PeifWECNZ0bQavdX5/2HvTJbjRrIs+itlvYcajhlmXbWIeSSDFEVS3MBI
icQ8z/j6Pk5RKompTJM6F01r66japIlTIAD35+/de48FtyGUkSDAhjgilAPKR+oGldM7YwckBTUd
2LFZOhz5dx4Dvtb0S1yhyJ19T/fXWhN8iBUCKrg+H0TudGeEO3RBF68blxScok+x1bPXzD0ntPbC
tY7Q3op5oUTBLKOjMes7chztNK+2XlrPadyzoqfBfkA1tjQzIs3wV/KhM07TsPpsJOvI7FgG1Slv
EcJFaEf1cl81hDNCdgMkV9vjQ3ZQSV9ZRsGl6WHCMzzeXqg1+jxJ/MtKT5AMA2KE6tUubIXw7b5u
PoxtGbMhZMwgyGwhTSdE+029M6u66G7q7Xg5VupEN6R6KKfoYxmLk94qDF4I/mexAr1I/hBTR6c+
VUYtCHq1JQseX0yZMx+z/QezRTc3FG28yuCP+uk0J6tqHQWDsUD+8FhikU4aq16XTT3RfGMwa2rs
iKEOEDumcNDKaTENwFVqC50AVL/5SJ7NzB4RIaA82VhEgyyCHvhU1+EubBRugiRhemw0n1IR3+sD
tos4Jn0n86ynOhyceToNuCoIH0CyGdUELI313qNnoyZ8PCPpoXZIzmzmKd2uz2J9rlf+rdm4t0aU
QPLMENW0IZurFx6Q5c51N7NXRqeJhSe2dSfClcPDMHVEFUW1IB/EvI/GWqKdEVnbKY6iggzvxQAm
eZXm26joNgT4p0s6KehjB2JaAw9qhKSlxImVzPECgR0k97bX6Bs0q1YhrS+OSOdnzLUMpXTbH9Wj
3wlnRnZeyKOZL8eOOUsrrxiBPx0Cb23TcWSe1QNqS7AQ0TycbCaIZutzl0cItMm4AEPQzHsXLGqH
0QdXHR0O0ZoPGgXAAqHEbLBaMt4pM8ei0bhtNJbHtIBAHeZQFOWgUkAmIbQc2TGewbAFuT6hKavY
QKNRcZdG6t6TlH6n88H6SLBnod4+1KX+OYaAShp/hrXGnqmVLSCS8H5y0C8EPgFzlhmerkOTLHnK
S9xWeU3cU8ZWualia8dadq8FChMPwHVoBi46vUIGMICZB4W2ADfvsffTFSEHZKt7zgKteLlkVfRn
AzZVlDCUzo5EXvfcihCDkHEQ+C1ciGPIL8pN1PULOtikYroWiFIxErRSwWJrigEDvqGa6Ixp06b5
ro97EpQDHEiadmAVJyWIT7L2iYb3B4MJW2H2lJYsJaY/7VNvrGaWWfU7yp2H2GyoxxV9jVfembVF
NC7DFlGsW7TZXjQdq34/bBwWrmVao0dAf6FuOxPpXlNEB9MOTpraEwrpMu0ugt4g2ZGizZ7Idw6B
u9umjwO0f/DStjtULDNmX6yiOuoudc88b53KOwemu1akJ3NM3XxXdYO9VkHHodTA3xo67VXh5Xsi
axCsDHmAPZ5QWg4Q7jKJcRSH1YMzCkI8SoVVjTkXJ5AzxzQ/mVFL/oZuAXu1potaNwhLTEkJtpVw
DewFqpp91481zB6q/1nkEoCpNcBbhHrhMzPZBaO5Ynu258zX0YSE5c6YNKaaecmgscsvSqtnqtl6
jDxJrwUrWytbHKvHhMHeti08MnAze4sRpMKPV9JQUvU7RQOCE1FPdSNrhiAw6NytA/CnKEdMteUd
JptEDN0uA/VLeHW9BBuiHVu7AEDqPzoduzrTfjQDEj2oujkj3LqfPx/u//OHwIf6OSf8U16MVegH
zav//NdVnvL//5Lf8+1rfvyOfx3DTxU8iqfmL79q/Zif3aeP9esv+uEn89tf/rrFfXP/w38snydi
F+1jNV4+wixqvuaby6/81X98ERtCcHz853/cf05pS4c1SZWfmlctDdVyEKj+eSfkOrzP7v/xOf/H
/L5uAFv+9Nu/dUQID9EdVdCKRnJMWMW3jghdD0ZkKkIESL54qC2GeV/DEbV3zN3oOJMz8nrEJt4h
vLBIiKdjgs8ADPnXi/GSnfHlU/yTVA85Qfs+SsOyoALb/Dzb0B2gcK+ExTU4xQQhvjxhjXMOigd0
Rq5bEPiqb8AzrDK8yVSSWCyBdu2/u2o/CfIgtv6Pv900dUtjmMgVwrf4YzvGVjy1V3LGZ6IRHqJ1
ZkEyXw0pUENAQb50ovJRRKAy25gnqSw/9TUpeMQ4LMvKulXoKi61Eam+UhPJbqp4o811lUzvh4zU
La89+jKBNNbzz2bIQhkaTLl56BkpZNZ1ppgwOgsivtXmaujrJ6fC6+E2jfSgldGCcHlyWaPpIDxU
64yyKXqVVU4k3AI9B0mBpGG3o99znkyfJmQjSxHSxQmlSGYQ0YpWF97voERdPWIE1ug3VWwHS9Oz
bo26dXdZFtgLJhTz3gv3hlMNp2CAtu7g7ymcgdLUUFY2e/08t4zPXMTbgsiLWdQd04aa1cYunNgD
CrD+oyFGqV7q8R1XWDASDYB1++QCoSGYfznSgGBu1VYHKyqfcs5Re8EEYGTCeJE6q76Z9G2oFxde
U9i7ure2o0srp8GMuvHdflFItLTfFwPTkXbbD2V8dDzvrNStu9Rk03cpCkTRCAZx2mWv1i4htOku
FXnKgKHAmupdhgJfTUWspC2UG9sjoyCvn5TII2asSsJZ3UX+xjfqT9jBva1fs0yS7eeL9zq1dmhV
Ylsl0aouE3a9JCHea4g3DJIQ52gdXYRyemSIRCCj4W7QNxbLuDeqbSRMqH8op7DoDfdh0G3LXCXk
iuGtpfvnCSrCdmyI9Tbim0SDXd8l/nvVGHiHtAVCw2StVcuPPVi8bfNer4zyGCyG0IVPYyjd2um1
Yo035iwQ4uQK8qAZLD4Cf3KjbhmziGNoCp1tIrrHFK+TFqcHbHPQ9FQURFri1GvCd9dNKnUj1b2Y
Qn4xBFdEabsxdc6rJNiFlv8+JkC/czA/cUuifGsSqMuVUBaVaJdO5uabCbIuciwMIl241ypH35aD
+VFRK1zlwyRz1b315LcPjcdQ2vZjRoNCmYMjOVR5666btnpqlAkBserhS27vhcgx/4QR4XvBqZ9c
upYd9Ffappwf/GYW2A0YI/QBazV0wOWY04qi6xa3P+Ko6Di5vbYOpm2cUvZ6xRHf6XWau/bGzc29
RuToDI3dPVEdKLVc4gFFksMH5LyxcydSGshmwUHh18xE2Tgdugh+9FwD8DzBYl7lnmqfV2yTuFZR
JCvLQg2n957bngpmw/QY08tEXETEgZzscFvZJPfbYRrO7MrPzvwCx139GNcm1LmqP7c5m+FBgxU0
7Lmm686pMR1NPNpuo21uiEzjLDe2Nf7v/EORFSuAOmIYVzmPotFLzXcQPJjYDtUoOHdx2pWUFeV0
tGVlq3SLym9XtLjORkc/b9XoTBuDA0qAdVE2yAK3yMSQ3oUXk0VIfRGca8ndkOjXRTsdjeGpqIYt
z/ip7LK1ZeabNkfoTHA00d0QyHCntw3jHzIqucLroS2X3pjdKLa4poV1WxlgCZNq6Qtaxq1y1qrt
WRDpV0TknjQkCzOSDWAQjRA4Bux2xoUfwidzGsCJHCtCB0bB2J6lUb/1BJWiP91BeD4Rc3TWSmTc
uE+LcFvQ37MJAarK4TzzvUsCpw9ewXFgMfXxKTUiEobCM8dK95PpXhZM0IgPPVRqvtUNvIpmuVCH
hvOTf6uTzqaV2qmEnzdrmfBUiv++sKydH1UbL5pWZGbscl89NEN0p7pi7whxnlXRWW3lexzNc2BV
ankUibGRWfSjHh/UPFs7ZXRq7GzhZ6zhvHOb3kJeDSsWC5TaaMByPKF8WXsTa/qOhAImboQEpNOh
dhCkoaG/C0b1VOr0VpWP8goohbuVb05jzNkn42mOgn4v32laxofW0/bhpN0lk77xeNeVdWZj6xwh
sFECB8xt7bI+Oab9/4Xar46sVM2gnPqrQi25/8fl4x9mVl++75sISliG9UzUoeByUTF+V6EJNE78
k0F18qpCE++wMZkuGWSm0C2+6NvMCn2UEFJNhXGer7Gxp/xGhWbKCvHHEs1GhIUSS6d+4mF8nml9
N7PK+e22l+uoo1txHjq47chn4exsqHP6le+TiR7SaO0JTBnXpJSRMRt+cBBuZCML2+Qp/pkS0Fts
SEqZ2bWSLxqTxTkZbwbdhwY+pnPFdDlLFA9tFtz00OXm1jieM9WlTRsRleOYZIIk1IaBrFiKif6l
kzaoP9DNZ3WDj2Cgeuu1q6gPb0r8d8uu7NaISu+iis6ybyW3Y9jYq0DTPgV6bwEUjD+CrdtoZn49
ZR9byojj2AlUpf5grixWlFVRxFclkLttpBDNC6A05miojeFKCQ3tGA6iWRxTXC4eZqO1Fk/HQpLQ
Y1srt63ArRiy6U70lVeAbt9ncEtXRhzaq9GYWF6CRT3EH3QZ7F8NRPynGmH/mROv7U5ZWLQyiErV
olXoLqyCvLaqBhWQ06yYdXV/ZXlLmlxkWRp5vWUD3NIVuh7hDdihb65L5nqJuypJAs4MsA/Ym1Ys
y/Es0rTbXMILWigGQuIMBtUm5gjCAUq7YulJ6IEK/cBrPRC9FhZguAg4IsgzRj/alyNubg/AEiJy
iVIIg2Ze2nj/VYlZ4B1g9bSST3rSLlqfFEDZnRklnKHrT+FoX5Vhbm19RQzgVghHipi74H+EjDmW
9VIHVauRB6Y02D+BQDCkvXQkFSKzgsNQm/HaE0T8CLLjOoMjfmB47fzWrANtj69ogQQEVYpTnpW5
ftVROzud8BZt7a6BGNxqYCqQ1tN7AFyRClzbTaGurdYjBE3SLVrdWgdBFK5i00Tp2+FYKdOrNCow
vAI8XdPTBQ4cBSTzooFAE5J3p04vcXQocI7chh2Llt/MdjKIaJ2xbJxuqYXRwxREF9bkkb/SmTUB
CNzFpV8JnNz+Cc/gMgDrEUu+B2rnzynADw3HUO1ZyO05W1s+uhCx5h5rV2OBN1Rj9Ih+2Ttht8BT
RYhoA1jEBTDiMvVrEntVj9OxAkASTE60BfuAVrB+TIrK35EvejSrKT9LjbSdG4BMMmEsaKLTUpBo
k0LIe0UEZ1lrrSkTJcUTvFYvqL8yoV1nlU+v2W72Whrny9wPr4tK97ErRVe+rdfzAuIYojq8MmpQ
NUuatnqOV1hvxpXVaY+4a5Vd703rPvbmo4E3QWF8MOucgm4k3RFEbmYVb3JnpJuCnUIREfnqjoHW
ouKb8vuwh17N34X7YBBkQ6UuNiwirkzrXgdIzVRWDn8pTtPS1y58Bi9NNZYbql7snFTkaUR+99Br
HwyruskHLHKCOOZ1WkSXfor/VFO0x0xlUjEYePy1SbOR9GerfmJk0PTtB2JwcF131jmI0bXbkfqK
G23j+ytP59hSjfsqLt1lE6QAOEiGUDvr4zqs81tq8gcqRZqCSnIKaGcimAG8k3rahRo0T9i+o/kY
+bde4y6jJD2Jpux3JHEx4eo7bwMRWNqePsfiqbTJBgl93Pe6do1SwZsRBkk53/XJKrJBVmSECagj
LfgyxN3fpBekrK0HN/Q2BqElhBYPo7M1a2OhdjrmkYEmUjdVd8lAcQ8j0zjSo8sRwqXVIhWQl4ca
X3RgfMjS0qQRaQebgqJXToRhPwr8STohiTPwH83adfKTMRUbXeFDMkGShwNB6WEiZyZ3DfH5JCF5
y9HFoBw61nuvyQ8M8HMMVP5N7PK7lCC+tvtIaj+LEzMLMDaYJGb2UJ4rIwsmqZRIeJ6775Ugsy0f
9qkg0FuNjRq4FLw2tSQy3Wnvo15V9zr0tCQft17YL+qmSbbVBJHVlvDzEtza6H+ARbJ0JyTiRkkm
uVctG+jTLF2Mx0ubcx3xi5c7s7DkeC2iGaoioM+TfAGca6bmyfvQSq9traP1TF+zZyLaROGhCyuA
woy/ish4Gkv1c2PkT2aGwr+z8WuQ2IJs4KAE2ufJItmc6QV42bh/BNS9JniKWCfGRQyfmTIiJ2um
26zCOKyPzXn5Xul073wAJjMJvBJGQ66VU/QfvG6CgYtcyyJwwU88YFWdcj7UxqnISkZqCrom9AEG
jxeJ2dHOzECKZS0nMDdB82QgJljnKatAHamE9A+K7CxbKdZIVg/N4bAh1FWj+9k6iyyCX7iBkazS
74dYuSDmEAgYwaC6lX40nPhBTXztvBg570yMA5H9BpdjrNIYsB9iaxNGNhJcYJNpGm0cm8ZFzTO8
Cur0fOzLuc6NOC8w2iGThmstymie47Q6A6F8NKhuMxVXI90Ep57S+eS5DL47jsiBHay6wbocKmyL
HKw5dWrxCpwljecIchFWsxS7z7KNA0hC7mPYZKfQS9Vj6J2rOj2nAfk0BQFQ3wlKkJ5290rRXCSF
2Bsekc5Dl2/byJr2vbmMIs0H/I3Cl3CxY4Xk1x8CLF04gGZOk+0tEsBocCvkM5B2jSsUzbBUD+dS
R4zkeD1JZXEnNcY1nexNh+yYfgmHWqlE5iEA9SnVyaUByMyXimVVapdTnGak09hXkXKmEI2zMqXO
mVwkQO4KuEPz0Rv45COpic5zw0J3yI3ejDgu4bCmnh7SxF5HUlH9/y3aX7Q+YP7+S7HadVg/tq/7
ss/f863qJ5CAul6V1TOkYgmF+be9nFpfRXOG68Bl00eO9rUvK95pqlSx8enalknj8t9Vv/oOHYNF
vLOpEXGgWr/Vl8Vn94eqX7ou+CWmhkfDeG19wFRrMzzGPj5msbsCaD7D5NrNB1utZ23InNOvmJjW
Ri9mdWruSpdYEaiYvTkT56lOj7NzNCZ26lmuFMSzBjcuGDeHhTDO6KQW0w3pVQ53cLeD1PeJPIVH
1Wg/NVNLOGEf3A0HE/Oq4e40LzqkNIkZu0SQw4t6kbpM3EMhPhkkAOp1Qc+T2A900glpsaCDCVUl
lto3+6M6nfdIEuCM2bPG8gsii27tkmUISSzqcSKnynCwLmS8UW9SMwQd4hQnKa98HBusOMjYSx4l
NtIsWOpW3i91xVV2baEzlZ9l9YjNzSLzJ3MjLNuFqy1xNM2AktDhddlloa/daU2vbocYMRArpZsD
r0Tt7lndexsIr4hllDW9IY9g1EUmI+oFzXdqanIOp9q41DqOHTAiPFlYzSJTpMsU0eA8k8H3blBd
TP2NsPx2b5AOhYbxSic4l3a0Uy5sJ3iq8xtH61g+OsB/uSV2FSEwqYEz1WfW1sgI/rwKLrtChzU9
Scs3bSyHvP5CBveXCYSWUcMJX3U1UpJircqYf5W8f2My7J0VKh2uWD70iMh6r2R/NYkIMOsGambm
o7hhZtkqdAFViRVwB23ZCXWUvsNxlST2qWuzk/Xkm+HWD4ACSUCBN/ABS2QBP4RcP0kxkDiDAk1X
Y0en2gB0EKZTtiQz/84f7GsDVedqlFgEZHTEO0JKSCUywRcY3lQoCg40Bdrw2ipi3BZq+Y4DTY8p
u4sD1N/4lJ3UdbGqs56qGUW+VmXataWw8Q1pcN6WxrQBE6KRKc59H3+KJOyhh/qQQX9wkMUs1Oxa
2fqQIUyJiHAlK0JCIyyJj0DHsw3gSdjPYAn8dPNcBdrtmNWSiC3mZk7TbfxpWereim5uSR6Xy4zW
LdZGqOM5dWEuoaNzJdZihG9B+1mQNR7TrEXEZCjYcwxcJrkf8QAMBBaXkDImiczIdfUMVkm7Fhy5
EQYgPwgIGV+hNVvjOAW/LvEbrg83oBjt6qBNJRJSiemokXSkEtyBuBJKkAnMo5dYDz3mGcErOUsl
8sNyMaonEgMSCIAgRXBS7SBZgRiETAgyxIQdYsAQUWCJVDBFXI6CuoSMeD7HMpCSBNMBIMk9+4ow
hOCy1OLuYE7DfeSqH4ukFpcx8tgZH9W9ZsUnDk67SXBe0NetBNaVbd0yfu5IF5U4uxKunSIBdwmk
u4mzz0I8w+/6C5KU9z5++mUk8Xi2BOXxkB4Lic4zOJvzXGUrX0b5pT6KP3KQtiKnOPKq4UgcJsEP
sbaEqNcTCuczBZUM3NoICf7LdzG9gUo2CUq6BSg/h1VDtbwK+zGaeV4SHnXz1uvS65JmP1Dwj0QW
WPOQLsSYpTYckug2lg0Km05FT8di1CZsObF/45dXnei9eVTgmdbSkvEJ654IabUDCrMXvWyGkHk5
E7I9YshGCdLIc/opxpws7puIXopvcUYiiY6cWe/WjHFQl2hncitftLIR44e0ZFTZnMllm8apy5Uu
rqygI7+5n8Z1SWBWBFMVy8p7cj/UueFm/dJKg4PVT+cRMmWSLpJtLl1btCezWYu4f9EbGquV0c68
jJ5BLqZFPtnJ0daItbKnYj4Wtr8KJn/n9DGSTwtvQMjVWqbSQ5ZKNxlSrWrtLhGlyNgxBu0pfdgm
oLsASIPZfhK5pLvFq0761FrpWEsiGCc42EasbBmWNryhDhtP9cHF7EaTO2ddpdYlyWHJ6e6uV5QH
x6IyFkb+iKPtI9rV0kItkBMXP2p0psh6XGlFde/X3sQy4l/4RTWPC8dY+1a3dergEcdZvMzN7Knr
EEEXT0xKPwD6HRY2PA5SXput3zNFbMajk6bmlWv22XnQaQcND1tftEC6AuABQ83wna0isbKbljP9
UpX57OwbsJKL8dZRGOQZPRFRsc0UqfHxdCmTkkGOUw8FksNFm8BpUWpv1aVkD5bE7pcoc2dIcoNV
o8hn0gSjmS6fZSNuhWa3b0DLjo9N3ftbxQSJasaNu54GBf1fsdEmO96LET3cYLFyEfGnD92xmKx0
2cSYgDsTGxU8uKs4TLRDQxgdE5PIvKjH4XPYK9q8aad8LVorP8Y5vQAHH9vezsdondQEbujetYEH
gPGGt7S0cl6bIOuKAsWYlzs14bQnzSILt6brSVSu+1CUdOTgk3JSAwdgE8BuHwXhchqcoTCyECvF
NS3zQxjY7iZPIOO5ztisfC15SOi48udyarSVIl+piYeojJHnpLJ96ISIrLNK32N0C2bg6OYVjzmR
BM62I39NxMOlMWjufpymLWEWkLpUenRWrFHLNN0C3BOHFc5bkYG5emqzT7EXDBtEsPQZMPoZI3Pd
znyCNXqpZiwbIGjoMPh6wwXZqNpDqNNwagZJ89FLR56CxRw1qXOIWzEnfuTguKQmhki6k5RtrUT5
ONPoNyYj2mLkOEvkLAUZd0a1CY1mHybqSKRe3xH7s24UR7uwI8IE6qB+TLmlOz/wkTDFF6MCdAzu
0skmLwWRzwzysjtDW+4wRq6KWTk9aRFizNxBeI8UPydgASc92dLTrAmQqOeecRnEBbEuanvPqGIT
2447e39WWewmStAU8yisa25nqonA32pAm+Zq4I+crsC4Q5ri/T5Onoa6qO/yubCIlxnEwIKAMhLB
cxUtG7R6h1gBS/h/66Tyne7kD2qSb3IKqTU55WHWXOX/sy/6OgX4+Q/6VXmKbqo2h5Ufph7Pf9az
POavfkpy34RN+xn1i0zvVXFyIvjgnMMLWUhCeOjLPysYwxk2EMiF9+b59SXQ67vL9GcX4q/f4x/F
O3/8OX/1Dr4Mhraf//kfiGYsW8bg/a3rgF9dY6JC8Sh+eh1IGtM5g6G2ebkOnNL4hW/qOmg/mYL9
7v3AyMqUji2iVb9cB8xZP94PFsF9uPq//Ovz/fK/ch0+5S10UERgfphn35/vhcuf/Cv3wquf8N0z
4b6zHI0Rm8kA7sc37/IPjhwNfnl9mTm+qZvAEByzfu0CvFK+/fsC8DDYmm7T1Hi1GjjvDJ4Acvi+
rgZv8CnQ6dT84h3wpxcAsyEDZf4Hcer59eopAAkGR8S2MLt9eX1Zht/UjaDz9//dG4HYd7YGg9gN
RIbyxQ/88YEwVcFZFZjZy+sNroo/CUf5H6yKOEVt+m8vH/irhYHdgV6fyubxchne4C5pqODu/+bC
wHPhYOVlhXm5H16tDza3i+6Qj/Ty2CBJfXO7pO7aUtv6KzvEn64Pz7skrnZSRb/d998/F9wPqmvR
N6a1/Px6g/fDz2zev/tcUD1yRMKG9919/+N1oK5EXqlaL5fpzW2YVDls6Mbr9KTfvRDyhgDkaJDg
8uWdvlogrHckIEmG/dcL8RZvCNJrkV3/rQeDDQO1s2kAZfxxp6ByQFiOf/+lrFTf3J3AOUJX9b+7
Y1I6WVht6F6qP70RKCxIQzBlgMGX1xu8EfSfMFN/94HgRrAFWBguxssbfX0/cDvwOBD38OX1FncK
DlR/+3ztvuOMRNC5bv70fnDfCQ6VBuLCl+vwZWt6U5XkSxz3310YEGeo4IV+fh3sd5ammpYQX3eS
N1hRQ6f+gx3od58LNgoHJ7JmsF08v15tFA77CFsmN8TLY/MGT1ic/f8wc//t68ARkwk5hqiX9/nq
OlBo2jTrbZtQwufXb9wPv/DwvDjMPiWP99W//hsAAP//</cx:binary>
              </cx:geoCache>
            </cx:geography>
          </cx:layoutPr>
        </cx:series>
      </cx:plotAreaRegion>
    </cx:plotArea>
    <cx:legend pos="r" align="min" overlay="1">
      <cx:spPr>
        <a:noFill/>
        <a:ln>
          <a:noFill/>
        </a:ln>
      </cx:spPr>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strDim type="cat">
        <cx:f>_xlchart.v5.43</cx:f>
        <cx:nf>_xlchart.v5.42</cx:nf>
      </cx:strDim>
      <cx:numDim type="colorVal">
        <cx:f>_xlchart.v5.45</cx:f>
        <cx:nf>_xlchart.v5.44</cx:nf>
      </cx:numDim>
    </cx:data>
  </cx:chartData>
  <cx:chart>
    <cx:plotArea>
      <cx:plotAreaRegion>
        <cx:plotSurface>
          <cx:spPr>
            <a:noFill/>
            <a:ln>
              <a:noFill/>
            </a:ln>
          </cx:spPr>
        </cx:plotSurface>
        <cx:series layoutId="regionMap" uniqueId="{DE6F7765-0D02-4B18-8AC7-8CD5AE7599D9}">
          <cx:tx>
            <cx:txData>
              <cx:f>_xlchart.v5.44</cx:f>
              <cx:v>Ganho</cx:v>
            </cx:txData>
          </cx:tx>
          <cx:dataId val="0"/>
          <cx:layoutPr>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_xlchart.v5.13</cx:f>
        <cx:nf>_xlchart.v5.12</cx:nf>
      </cx:strDim>
      <cx:numDim type="colorVal">
        <cx:f>_xlchart.v5.15</cx:f>
        <cx:nf>_xlchart.v5.14</cx:nf>
      </cx:numDim>
    </cx:data>
  </cx:chartData>
  <cx:chart>
    <cx:plotArea>
      <cx:plotAreaRegion>
        <cx:plotSurface>
          <cx:spPr>
            <a:solidFill>
              <a:srgbClr val="FFC000"/>
            </a:solidFill>
          </cx:spPr>
        </cx:plotSurface>
        <cx:series layoutId="regionMap" uniqueId="{7D85024E-A40A-4138-AA05-C850460FF396}">
          <cx:tx>
            <cx:txData>
              <cx:f>_xlchart.v5.14</cx:f>
              <cx:v>Estabele-
cimentos</cx:v>
            </cx:txData>
          </cx:tx>
          <cx:dataId val="0"/>
          <cx:layoutPr>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3A8DE203-C1A2-40A5-8DDC-F8AD0564F2E1}">
          <cx:tx>
            <cx:txData>
              <cx:f>_xlchart.v5.2</cx:f>
              <cx:v>Pessoas ao serviço</cx:v>
            </cx:txData>
          </cx:tx>
          <cx:dataId val="0"/>
          <cx:layoutPr>
            <cx:regionLabelLayout val="none"/>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_xlchart.v5.22</cx:f>
        <cx:nf>_xlchart.v5.21</cx:nf>
      </cx:strDim>
      <cx:numDim type="colorVal">
        <cx:f>_xlchart.v5.24</cx:f>
        <cx:nf>_xlchart.v5.20</cx:nf>
      </cx:numDim>
    </cx:data>
  </cx:chartData>
  <cx:chart>
    <cx:plotArea>
      <cx:plotAreaRegion>
        <cx:plotSurface>
          <cx:spPr>
            <a:solidFill>
              <a:srgbClr val="FFC000"/>
            </a:solidFill>
          </cx:spPr>
        </cx:plotSurface>
        <cx:series layoutId="regionMap" uniqueId="{7D85024E-A40A-4138-AA05-C850460FF396}">
          <cx:tx>
            <cx:txData>
              <cx:f>_xlchart.v5.23</cx:f>
              <cx:v>TCO</cx:v>
            </cx:txData>
          </cx:tx>
          <cx:dataId val="0"/>
          <cx:layoutPr>
            <cx:regionLabelLayout val="none"/>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series layoutId="regionMap" uniqueId="{DEA480E0-C680-4B89-8F46-E4C2CFCE3455}">
          <cx:tx>
            <cx:txData>
              <cx:f>_xlchart.v5.6</cx:f>
              <cx:v>Base</cx:v>
            </cx:txData>
          </cx:tx>
          <cx:dataId val="0"/>
          <cx:layoutPr>
            <cx:geography viewedRegionType="dataOnly" cultureLanguage="pt-PT" cultureRegion="PT" attribution="Com tecnologia Bing">
              <cx:geoCache provider="{E9337A44-BEBE-4D9F-B70C-5C5E7DAFC167}">
                <cx:binary>1Htbctw4s+ZWHH4eukkQAIETp0/EgGRdVbpZki8vDFmSSfAOkABJ7GBWMjFbmNd/Y5OS5W5Lrbb7
j+OHsToC7gIKZDI/ZOaXmaz/vJn/46a+u9av5qZuh/+4mX9/XYxj/x+//TbcFHfN9fCmkTe6G7rP
45ubrvmt+/xZ3tz9dquvJ9nmvyE/wL/dFNd6vJtf/9d/wtXyu+6ou7keZdeemTu9nN8Nph6H76y9
uPTq+raRbSKHUcubMfj9tdDX+XX7r/99/frVXTvKcblY+rvfXz/52utXvz2/2F9u/KoG2UZzC3tx
8Ib4PMScBfzhL3r9qu7a/HHZo28Y4ZhHPv2yzNnXex9fN7D/H4n0IND17a2+GwZ4qId/n2x98gRP
Vm460473GsxBmb+/Pu30aPLr+vUrOXTxl7W4u3+Q04uHJ//tqfr/6z+fTYAuns18g9Bzxf1o6WWA
viro54BDEPc5w4/afwoOexP6nPo+C/0vfy+B8z1xvgPM66cP9wjK61e/FiD/095J3X1PBf+mufhv
IhRGFJHgORSYRoyE5CtS6OtNv9jJjwV5GYuv+55ZyNfpXwuNtbnWtz/TeflvKPZJRLD/ovOK3iDE
EYmCx+XnzuvH8rwMytd9z0D5Ov1rgRJfD+Nd3b0CT97e/ERTCfkbjimOCGdfnBNYxLeRJYLAE1AS
BuzRt/GnFvPP5XoZpOf7n4H1fPnXAk3clT/RjsLoDUMQ4zF6hOqZc4sAyZBxGkWPcSZ8CtWPpHkZ
oC+7nsHyZfL/bzD+VrpvSdmTL/2bpAxMhzIU8Ig8Y2MABCywiIePNgPrX276Jcr8SY/+XpSXwfhz
5xPB/79nXKvrnxnewRAQjuA/+njS4aB/67PYmyAkEP45etQ/far/H0nzsu6/7HpmCF8mfy0w4k42
n/RPdEzYf4N8HCLEgi+e55ljAgIckogC83rE4xnr+gcCvQzJHxufofLH/K8FzL/+l+1+Ji4he0P9
EMI75S/iAvEEBxxBRHnE5Vli8mN5Xobl675nqHyd/rVAOYLURP5EY4GoEQUR8YESP2r9ufOKwLX5
lOGXo/iP5XkZlK/7noHydfoXA0UOn7qfC4rvByFHIfkCyrOIzt8E4L5wEH6lVvhpRDn6oTx/A8rj
vuegPE7/WqDck5Pr+i7Xd1+V89+vrYC1BPfOC1L5F4GJ3lDkExoEj3Ux/izU/zOZXgbn273PAPp2
6dcD6Semj1CYRMDFENRaXsQHQj9BxAdm8OjsnoWYe0V+V5y/hwa2vYAKzP5agLy9G//1fz/d10q/
TQaePNm/m5fc8y0aRP43On9Kj4EQBIT+USx+lp78E4lehuXPnU/k//31nwu/GDjX7Xit//V/mp+I
Dn+DOBQgGQFTeAoLhsjPuf9Iov3nsPwTWf4Glz+3Pgfmz5VfC5kred1ev7rtXj1WiH4eQODSWAT+
DEPH5eHvGRdgUBED+wEy8OjSnmUz/45kL8P11ys8Q+2vX/jVwKuvX53f/Uynd98hIxBowOt94c3P
agJAFMKARCF6ZNU+5Kjf1mSu5D8Q6e/g+mPrX3D6Y+VXA2i4M18V9N9ncVAgiDhjEVQnXzQpSEQj
n/tRFD2uP2NxV/IH4vwdMA/b/gLKw+yvBUjcQSe5hQP7Q279vb7p36/90XxOrsfr9KFr/U1b9fur
D8qHZvqzrU/4zBNtfz1Y29vfXwccDPWPXvj9JZ6Y5T0//NJJ/mKsf2y5g37I76+h8R0wRKHofZ+e
MR9TaE9Mdw9LIVDTKAgx4yQEinofTlu4WgHddPQmwITerwBtZVCqff1q6Mz9Uui/8aFbi2CFYARl
XPbHuwKnXb3kXfuHLh4/v2pNc9rJdhzgYeAe/Zev3QtKwOWAeD6D/hbUgil4Jli/uT6H9xHuv/0/
pq6tHfbLKM55Kbemv51DLabO4ZMBjTStMb9gxeClkRmOedP1Z1lnyNY01doO/UWbc74LaLelbJhX
PY2W5BtdviAfJs/lwwGDZgKnxI9AygCweCJfn8u2CAMaezOtVrkp9Wrw50yo/WgQFq2t2argbGN1
owSRXXmm8wCnxJNnfT+iXeSKLW1kd6nQHOugMjFVhqaIm4uKoTb2WaNOSLt1+Vzs3dCcKNYux5Tr
a9WFNMnKvNg2Go+pzZdx5XcNTvxWmV2u5LW/BPNxG9b5larLszykeaKLqku6MLjOqcJbHrr81E5h
eKzbKLXZdB7KqfmRiu5V8ARCzAJ83/4CRk1wEIBr+lZFii5dRFC3xCWAvVpsxfYPQ01HtldTZ7Zk
agpBBx3EFc7qdz7NaUrQpNZ00XPc9ZLtq7Jc53kw74sl8JKgqvP9bGzCpfTO+tl7P5B62VcGZWeR
Z06cmeqLjgbHee/h9TDnkZj6PjsUbUudYGUnNC+Wo0COCUPFOmo0ezeBFLGhYbQv6yl656wvnCnk
bgkZTfIw9BMvD/vzhXg0/v4hiu418ExD928/hBRDFxcqKPdG8M0hV8syNHkRTvGwiGKezbaqB1/k
xTSdl3WYHdsxTJwh5d5mauxE74pJKH+kiWfaco/NVO55OB5GS477GVerwOgyzao5P9SaniwIVwc6
DvWhaNDHupzR+mFqlFWVcDsXaUdm/wwZXiU19vqVU9w/m++HhpBIBJOvN473ThBsqzO+lAKVOf28
1MMpaW1/pp1/NLm83/dz2H0ZSNA/fqRZn7Z9gPeZrPCxdiQ89stObqZRb6qi7w5VxLqDl41+XOUh
X41hHpesqz6SmkQr3FR5DBoLNrPfz0eLLLaWyWFr7z89TMkin496I8tdEdVpOFVm77XLuB971e5Z
FpOsXOKlyvFxH2X6KOuGH/kABB7yKXwUAS2C4nwANRYgvs8OuFfxoQbznWPFPD9BHaqPiyI6BbUs
gptQr3O/G5POZ+XlFI5EDEzVF83gr1ThD2lG5nylZ03e1tO4a8eRnStXdzGWy3HdhuVRH/bV8VAt
cHCPa2vVVb/4rag62h1aVDAR5q5Zq5ZNhx5P5fr7Z5NBXe7Zw4WIQ2AIMTh8eMRnDs66sqLBWE7x
PE2fMC+mdG6L+ZDhRW7zHEzKn4UNZvK2mLIPeGmvhiCQZx7NbgrJ1M73suLsYcrZyBOcmnD9MPcw
NDSaEmq7PMkWf117obzKBlNsbFnhhGVVeeUNHV15XKYVNjjGlsznD0Nkl23vWXs8NfNybjpLdwq5
UjwsFrpezsOoMPEIEWAd5gLy+eG0yZ1/SnXmJSOfaPLw8WGIdBmtuojle6sW7zibBhlnNKTXlJPT
amHFJcK9XbfhkOiaotTjTH5gS/UhyCZ15gemOw3CfjNnapVj6pXprPmQwJHhcJM+bVzbXdZdXaZD
HqJtG/h0G9R1IJzvmr0L2RRriFYrPzLntEX4RMswv8op2hmSd2emVPlVX3RpH7TkfML97fchJi9A
TENMERxfwDei9+vfuB/GJZV+5kxsGbHxqKOzvMHVRbd0s3DD+7yNyIfcxd5QlAL8dbT7MoTjKHyW
H1eI1LsZ635v29KtvNkVMYS1M8IsO3oYUNWwo7DG3abR/FyOLFeJrdFHu/BxzcsIHzVWt7slGvdS
z0MayFBt6RAG7wt30huOjgyldQLkmOx9PGabPDJXeT3b98XCPjUdwbdVtx11uBn7rj3kpLRFrPq0
KAd/V3hbrwz0rqo5bsXiu2xXhOrrECmafF+dQfAXTkAjROFtHWhAMAY2A+ToW33OXoAW3aEunua0
oNjsymaKajFNhd01JKO18BY7bouQirIl5Ly+H1hwMaDQPyttlB8bpjYGrrz/c1DTmPRzZldqpFlM
gdRcqmpadyUN3hHVloI107JtdSekX5DdUnd2Dc5zZ5sCAv6S5qQrTxnv3HkTFFHihZmX6tlFhwD3
Rx1G+ExXRsUtYXNch/gdD8BEPD4tcVYq/0iFtwuN6AYo1CxUi/XZcD8QZKfYDLxPFGGpGll7HARL
vmVOn/m8UntjsC/8IPNXoCkneq/nSTc3V6iY914w0NNyKsYTGpmdVAHZPwzOZWRfe8VHMnO+7rPB
O5gq9A6DCysRoo031tnpsmB5phe3XoLRPxBSCzYswYZ7Cp1G94Ma5iBexrA6njs3rmbbkpOmmG1a
8t6c+b71E957zTHWnt1meUnj0Wh4oTSoT0ghS9GTsT7qLJ72LmrrZKjb7uMk5/emn/X5nPftoeC+
il2G2499PV40qJuOhmIpzx6Gzi1rXyq0a7RrZ5FFZD8tITlMpXfD/K69+f6pC/9ixNATizjEHxQy
FEE3+emhi1yN2sVEdVzoZCa2P2+s6ze6z3xRAuAHYlC7r3k5xyPyK1E0xgKprLZ2Gfp9ONfDphnb
z5o0sy+Kjo+bSkbvspZDaNfFbSW5ty48fNYuZ12V86Rqh2o19IF3jpdp2owDWku58KOHoVHFtMok
GuKgoPayD8NYT9K9+/4jw+l/nh1AzkuBeYH3IvD+KGQqTx9a8XEyDC+V8O9j/dJdPAx1WIiyoOh8
Qjg45DP7MNRkEPlY0FhT1mwDCXyT2Epekclvj7yMT6Kzs7xiraS7yUZl/LBKM2q3Nbz6FQ9TWFzN
WZGtAxMTJ7vV0gf1JSuLXERDajKVn1u/Hs+90K/hTt28e/g4qAbFY1FwCJI++TzjEB/mDuLdMrJT
3TNPDO2AU+D06zYb57gdVBzYedr2Tl2VVl+oMs9FINVtmakeKKH62FXH26GQt6yaeuFVS+oq/jEj
VSOUEwMZPywhfz8Ao43N3eixz61FwvVVF88eHURRLR/nEAJa2HVx3UHEbNzkRJsv12qSReyH3Tqi
eRXPYT3EjuI173IUy9r0QtUaeOfETtiWZu4jH9tJLK08DpSXjk17Wmr7odRkU0XVNVPhmiuWiYDY
Ou5UNcZd6cCHh02wshM71qwZ1yTzrl2rzuTkqABeIQ9ew0tRRrkovDEQfVe9DUi/MpYDiyLZVSnL
99q7oFS9tUuEtyUmUuh2/Djqpkosnd55LeQOnqnjUo2tCGbvpGRBFhtf1wI382WJPRNPdCWHaY2s
ewuFSlF6lwXPC1G0/JAt/VkVjX0653btBz0WwAYSCMZd2smpFWrumlWjlSd0kK01at+pcAgT5EsX
hzUahE/Usqmxqzc+H6rYQHyPQytUqOVaBeEqqDwuXGHK1FNkw8u8FNZwtQr7/MbXwvMidquov5WL
KVdIFngVjE22zc8zjocVrr35mNhci5oYPw26E8h5wDs1CYtKdtmiOW24nxpMypiZlmxrbQF5adaB
rqdEE0ZiZHxvg2worJVrYr0jnOXFriWjQKbrxVT4JeTTcVBHdm1mI1AWdYL0c37k9dUenixKR1x3
IkOZFMoggZX21vXin/h98Lnwen9vUS5XRVHp2HPtuTb+RemtjbVaMNZvKOoT1EKSPFu3RT3ZFbzu
RTnTU9YviwB9eqJXUy1KrgVZUHCMKnfltG3TARMTVwbmISBGKwpeb0PQ0Im5rFMMye7GzmROrY09
2V7xkV03HZ8Sucm68EDDmSXj6I/redb6ovGjz7XO9hPBxckMZYNFA8GYMMCpKD3kRR2KHhXeaeDe
KtJ+GnK6LotRCgcuZJC9yHKON4srV8YogVFw6Gd+alDZpYNB67EIhHGqjueyuvJ8/9rDE8Si/F3d
FWIp/I2lVlQXsggGUY+KC9NFJ+MsT+aALbvxneE9mGHPPzhN17xZPOEqm/T3gSr8WM7mpog+BN5g
EjktfZyrYGfnu8rU3YcGBJ/mPBNeZ6OzZpeH2j9pFsnE5GeVQAqMeSHdOar4Na1csNGT4gnUMUpB
8w6L3GN5UjNsV5H0goP1589tN3fCn9vlkshyM+RdHmsOgTA0w5x0k492vs6LOAir274q8G5qNU5d
o2YxZTRKp0Wd8W5qEzrYjcTlp2Gq23VZzvtwKVYsa03qFgtZXl47UfP2YygXtSn7+sr19LTZZbuJ
gQXqad40CiytZSFKA6hYCKs436h8RWV1x7x0qkO1sm5s06xt/DWh5wvL9GokNY2XhS4bl3RWYqHV
hHZ9m73tzprK1XGOHYuHJvtocLc1debibqJoBeTvCqiHd+BT4B3miGyojZiAuC+55GLwM7zLmHqf
RZodQQnmGAD/XNYg19BLTyjkuWRRcTd65myaPTFSooTf6HW/tPYQ0QV8OuoBBG42xMhR2GhtFNE7
Wq9ttChhKrhME2Xvc5+O23JRq6bP6rgv/D5p/c4XUo2XQ1bSTYV6BRejiR/2d0YeeHAuF/q5LEi+
krIN01wbJwIVQDzJmoPunVvhbHk39gPQfDQFSZ9NVTzQSaWRBssNPCRjK8dwNUzZbRA2d4zJ+n1T
ZSnU+VpRS9ectuEpGdpLz1PnGlG1zqtjPZgzOa7UFF60HZJJ1su30YiPJmJXfVm6rUVuWJOqvhsH
LVfNPE+JR+f8JIvmSpgB32U1NUDn2irm7K1h07JhKGOi6Wt53kY9uD4yrg2a92qUkeBllYl6GYe4
DR2cyhWqA1BcGJx7DOheNwMhmpfYVwE7UfgiwKpNSus1ieP1Wbn4wVaWCfaq6tAPysR1FbRp1G7a
potSKAD5a+QViZS3iDm1LWpwiJOTzRYrddSZjMbN3Pkp12W3AlPolb3hHfxPbeto3c/+p6Jn+mTM
8rSEU34BwfZK2RkKAzYKD1p6BzIVtej97MyiaDrGrWxSU1Z3fVHYFZdNPNV6iCNMlqSUkID5y3zJ
IOVaNWF3E5qcibFsL8MJnWXh2zJzeUy74YqEqkwnFiU9GdzBIC8FqLO08FoTG97Gk8p0ouo8CUk7
xgSbMC54A4G3o8IDWrwfvP79NM0cGAn/5Cuz0WWziKxqIT50w42V5shCpUNozRbRzDZKcwkFrF42
jWBFtupbAMWVZZhMtuLJVMxk08W+h1Jnm+VgIHuOUY2nDR3zKjF4KrZkDg4+yc7d3F5U/rIO4Ixl
VNNUTQURVa5Putlj8SLLT6Wjp7r0og1f6ixt6EQEafGeD8rteXNdNwjFedmXopvRfqyY+zIEi4HQ
BMGvb6L6iEbanRZhBRmoaY5U/xaqkO0+r2yzb2vc7CGvIILO7HPkQ1jnYUIxYatIz4UYi8hfURYZ
0Xp0jCFoDUmfLODzhEHUrLNrZLMcKCYUbVrLRziN9n1ZL++jOtQr1kTVRmbzpRmnjxku76sWzdZ2
9ynu4OWp9Egb67JSK1lrAT+PE3UBRJEHY6xn9n7ooUzYhDsd1XQPRULgD7cSChEiJKPb2NbkguMS
Aavo/Z3uHBFcndGuLVPLWQv5PQQ+CrE+kmOqRy9tQGRh+ykSQ+k+QbWPJhiDz9RLlCWqymTatLaN
qyrLkoHJAPhA9S58j10VbfAQ1Am0FNeK4imlHhoS6vWCZ/102pck5lbv+sE0whC/iklXfMiX4VhB
4VEXblrZvjn4tUwWnX8sKJy/KTspo0JECPjQBF9YJuAxC4n23C+2RTSKajC3Mqcbb8BQHe4uJldd
VOM8J/Au+SVfpjibpzyuDUsn6n1Go8uTAmdphFCdTEGERNTbtJLqvgJ/1Lqxj6uxDYTMd4iXbhPM
4002s6MCeFecIfN+9pneLm43Gige5JDR1IOVoljcltT20rmk5zUT5ajiHofjqlZmAdgFlD1AJGiR
pM7xJOi91MtKqF/pcloH2ShKXLtYSdSKwY14VfWQ6kcITHJ0bUo/swbOg9cIjPflXMp9cT/kjdpM
hkTbZUBxM3XdSvmmEFkfVDHQp74MTQoV8Bp6Br0oLtCsp03VWi91s+FCh14Zty1a8YBnwrpMxn5H
Zcxrp4TUuVABbB0yW64WRk4gfQWW2gI5WsZTN8MZtDmeBbPRyqvKIC2deiczezTVfFPK7LRpJEpL
Ey4JGbhcezycgCa5k8pD75xKu8HoDbHFSdcCbmwa1swrtch9KBWY0u4oRKl08OkaTIPEqgkMeGT1
cWK0EHMPRD4kTR4rjE08d9vSw40IKjjtXoY11HSKm6IPz+uub8U00iHGfXcNuSk4HKnmBDVAaFEe
0J1ftSsXesPKlZAm1Iu+DYuuSgKQTlT7kdrpKCvDYwevBsVlJbMEzQodHAU20OpIUAgNkAUhCcmc
gvQtaUFIoPHdKEKwY4GDRsVTUQRJ5eazkrRuF7rhZGb5tO18mWZlwWO9UOCFRO7V4q6bYMIiyM1B
kSgd+EAF08WY0iECn68gtymc21G/Z+vAxx+WxSSN5Ue8oWfWuAxKM4xCf0TjpDHSizmx45HB9Xax
w2Vf1Km3SLeqchXGvQ4giEiTDJX/MfCmeufpJhRMqo9DiySUqCcZN4gPouH4JFs+RF11UipPCc8V
UexBXkADd137fp5qhFYud0cSzXJflxCKUA/2NhbHOldLTJ2bkplRFudN5NImP4RS38qlEXND+coP
izzt54jFqixiaLrIq8bfAK8/qUiYn+bjfInBqfRz26S6hV0sgipadjbPXlL5xXkjY1Iu4bmV/SQ8
WuB1Q6tFLBoy4Kji0zlpva3lUGqvhqMgQNcot9uANBSin02DsS03Pm6TCPzLRgfSQi47jrFRMglm
Fdss8sCAyJn2ig/AwJOe4Y8ZNH1i+E3kZYXwprIDSTyFT+z8ji2Q3rv3mYlKSMVLD1qMphYO39cT
Fm7jAh1VlResu4xemqY/zQlyt3U+JS31jBg9dFqMIEZb5Ie+13a3ZHSz+AcfmQKU6i3bSDACDzfX
TYyc1MnQ0mhrx2xNGw4ZjutTCHNXQ4+vwcJkYjhks7Wvl5j4zZAUrriu8w6o+RS7UGTS1cBLq2hV
m2xH6gyoJocAFQSeKPJRx6Z4X/X1pp/gAp6B/Hv0xgKIMNhBWI9xTtxtmffv87ArRTSZI1OWvfAz
SITg/dJkcPhtY0ahPX/asqy+qKBnVpTFHld0EQwNVVIQxJIsd++WLryYL6Bm1SUIAvLOo9VWQr8r
dt6kVp6Dn4tHdoLo6n8IFDmG7m4WswzclTPNXQ6UVNcrkmfNepzsTYfndtsNeptP/kpW7XiMTpnx
ewEV5GEFjQ0HbRgDThJaplvPgy7EaMO11xVImLKDmoeFxDInp8r5KWN5DgLPMe/A5+mSstRInCgL
KVaXM3ATYdsK1ISxtJpuRhsdAal5m3XQg1mQTYcpsqmBUk+AwC9Cw4aoajVN2dvMHReLB+WBRap9
P9W1qLRKoCNanlR6urWTG6CHXO34zIq4shBTuA72wK1HiGafBzZdqlnZvWZyNVr9uWjnZt164Mkz
/8PQyb3XjBJqHuCK8tEvoTjBQpFzH7qFhI/pTFM7FXs4r1AR8GovQfJQZsD5axleh0t77fXwE//S
NjGPwM54GFsHvWhodmQrNmPwSviUztiLMQGQqOlieITV2FGXNMwhgbr83DdBmVhdX0bh6Atd9HNa
qQxy28JSYA/NJCQwhqWXTkgHx9HzB4hap8CDoYeFI5KoDPpaI2pXGBXk/otwO1uda69KRxOsJtR8
0HgXRU2ULhlxSeZlqWQ5cLN8jlJKL4lXeHuzQIXa78II1jCIarpVz9u3TaYb+GSbRMJ1XAflbzoF
wEiBv+optDHktffnxDuSWUC3YEMVuHqHjzy15l6PIcGukKjzYd9Dwy1W1s2iBTKQTtBljjyyKuR8
mrdyh42ZE+v7CamgRNBDKyrWsvk8A5e29L1H630VxmVWyd1YqZOQ1e+nqq2Aj+SnY0bKFdHBXY34
aek0nLbFvPWHQgGnVoPImvrj4M0r3kxwdKBUB1hXH4viZJx6m/gVg+xJTWu+4ARM4arC+Zy63PbC
1uHRPOIq8SWQ0cBJG1cBhxTPVAlx2Sfo3mgRtEVxpIosgVdf35raydPz3vrtrjf9eS+Hg4faav//
uDuzHbl5LFs/kQoiqYG66QtJMUfkEDnZviHSdpoSJZKaRenpe0VWddXvv1F1utE4DZwDGAGEcwyF
SO691rd2Ojlc6u+myGrhEiy28DDVi82KqB/SqFN8G2k/M/LZduTZq9NypFu9CnQIhOOJeS+T9mDG
Yd8EVEG4qHD62f7YtH2VTlrfr1XgtoYE6EvQzX4+qxwc5D72LmaMdpT1ct9POJFmkjRHQ+ir6STL
b9YR1RU0Olm+Nh2T6NzUs4xZnzUATNCcTEvqF92wKXBW2xaS97Bso4l+uKH0jrNYd3MlsiUQ7c4L
gZhMvPFzFMnM5Sbsqr3ly6au6iAtKErraHAsdR2+yL6XM2Qh/F5tVjsyp7VO0JG2uQqjd1bAAW7Y
GKa0lpluJX2Uc48KHNoGPLEp6w3cQYXKxs30JYi6N+ugFpBkkTvdqKvUISo543/0OsEhEMg1pSuN
oRCb7bz6bQ75+8UsAgLvFN1XLNwlk92GaMz3Um6H/rHz/eXUVW2yGQptU09BupiirzsMnfhS+fJ7
xM2UMq9+GGMX43YvlkwL+ugXw6+a+qi8lfwihmSjav1AhnY+JnPVpnSexF7L6Dz2/c+K/GpjqVFB
YxNh9JXHRKS8LvrUm7BFKJAXlVk2gY9WqGnLTTcO+nEoi51LSrEPUjXKo+8Wfgh7oCsTi9PKUYHt
p/tWu6XIz74fQMMPbIr13+WaGFz5vk+yIngxug1TN8bFviERvwucHdOEROiEFl+k1bGFu8jtQwAj
hHl4k0LviZQOJWRZX5oZvVenoA+M3mZJVig6PHoSgz3rEO674MkrDlLsUkX1Gs+qPnisgRDoo8YW
kPhj1957C3Yx46AmQTwIof5Owca37qQJakG/CnrsxyhxyLxmUdO/q9n3T/OtGVRDuIscySUUlzSG
vRCPxcWtQ71dAx5sOtGHW9M1Y+pmBkoA6gRjaOVnACozqe48JWxWdXWJPquV+7hsf9i6h0Tct1OG
mliSJ7Z2WRl15NDVatu3dZIPdd2hnK32BIdXaum0YEdbP3xuxhRcyh5CQLOp5qA7KJDvqfaaCa/N
vZfFdFAQyrMVGnDE5H1N6X5cBuyTQfVW0yIbp1o++YE7zG5VhzIIRVr47dfZE+4wPLEuaC9F7qCX
ZVHgTTs+02Y3JstdQchDQuiY4k78aPMowZtR+SM8GoUiB8TWB0yMFOvkPGJ54bioJ6wj3u+SBOe+
LgPUNe/Yy/CDYcyvMT0umt8vpDwqUT6VqEgcxw0UCuyc84AFWHdAhzoywm5J7H41k0t1NaVkKk+0
4+zQuvCrd3vPV/ii+3D1drzvvuM48NIIHFFmiZf1PT93dkx2MAt/Dd760UADzNF6vROCGlmXyodR
/rCAlzn2ld7XCWolE8ohRfc6YA1z8A8lv9RzuG7rYfoSD2sqrbqsyUx3xXpYFRovJS/g7l4hXUPi
sOGJKmh0cxe/uxjdcplIFKu1pZmD/XFMIF8OSwUZIJH9TlKcxrywW6lgMbQFUdtKeFsr/PieDn1O
SQjpzts0MCyeRDI+NCt6GuH0tSaPSs71Q1weuhilUFzqMo07aUBRpZDXPqo+xLWrIWXhQu4m3j8O
auVplQwUjbP3or2Spr0ImpSN7S84EDIVRZ3L0NGHma86nYL4l6501nFyH1Z8TMeukWkfoVyGtQnu
py2KbIakJV3X4CwTbyj4xUagXhlFWF/ipvzBqyXYjZWAfnNrVrx+2eJVDLg6YPAGRp5n3pJnouyO
omJOje9gL3H06NILLNgVf3mIx+VoIiOvOD6GA9x63ANBkWxE77wMNKK4C1G43HF/XTfSrHOmGos2
ZklOAEiGOyY4ejNpzyWJuzuPz8WumtFhea9mbn5JhROI2HA4Y+MeU9uJZbegctvGQfIRFupEW96d
lXZpN4LrcaQpHpq2NtApG5TtENU3kk3fvdmeTLSYAy1KyHUV6e6MJmFGmmH4oVyqbMtSnxl/J+GN
bocETmcXQhMoa9PlHffny9yO+prEJm9RFV4bu9ND219hFG6m1c7QwEwEW1pZlVP8vyH3UTeUh0FG
030ZVvM9H6JuP3DUrKN6H/UQPijVqWvJ1vC0hsUX3nvl9fNBTbzeFgGadhD/hyIq6zuBgvmK/gDY
QyCm42QFHOky7KEBGbM1ZeF2gjTL48wb9jDWaCXI1wlUw7Gwonys1kY9eihkUzeIcX/74Fzr4Oh5
PdyYaWryqVWwTZvAe4DWNW/CsYpy1xZD7s19v42Tqr8mt4euD7AGi/nOr8LumthFnPDiv+hBk1RW
PjuWmvInEf+QDXpmmORNOuA4O5PQC/KOBe05Ihsvmkd4D8JcaOwu/kqnJ12/LLxpr+ip56fCZ12+
NGu5+3zqr6FNaVDq7ZLEP+2IhZ/5eT1z81yHQfccVPZXlRj/zNu+e+aGxuAYdbL9/KAcWuzacn1e
mLr6bZG8zZQMEKRbvU/WiT2HM/zUqfS3gqME9RVzu55FLvXKwDxRibcQvQh2Zdmbp5iOXsYWL7jT
AW6XqsmiL9Zx+4uWlUwBNupLEU4wdlYvyiMl3V1SlHJT9MXDKlUPAz1+Z1MQfevgcGVtx/ddFfBH
E8DkcFP0U6Cjvh06ARbNu6uLb1L500vHSgI2IH5U3CM5sUMLfmqc87Hrze6mn56LsFXH4Mbq6Zae
G6UbALJ0/NV19Dn2Iv/KvRMtoV9Mcv7aLHrL4BKfAwalPPDm46r4cyGZgVkagh0asaxddxcr2MoD
TNcMv/Gym4cNFKDupRtk+1ShUyLkMpbL9GaJsCAp7/w4rHEc6Pm4yERmpKXyNKBuiowvzyXIsbwO
n7limRdbNMisV/vIi6+JV9m70BM9DLO52FReRS9ePR1kjUuPiyJSM+vhVYcka+M1xL0ly80UwZYK
rLchohFvIcqtox9anpXhr0YFMmuU9a6V6p6X2aNH1vEKoptxm4E1xRnyyuOsSpoL39GMl45egNuS
vFNA4mCTL1AvagsEy+y6UEWpDbt2N7de+LhEtbmHAL117ZA8mdFcTdXEpylIjuFk6i2HiJQmN8iD
jvI8Mt1u9DJcu+XTSKGwPbhtz2zV4bEdse0XYQ2AVGfSD/hJJ/A9DJ2mLSu9ApRmYEAqr9+w/4p9
XMXeYSzVhFo52kkv0VeyDHbf3TxMG31h/RwdwgaIdDO4ACuhvAMk+kWhXLizHTf4rTTfrej5d33f
PlQDABXZFb/mnvC7zwfjon3cam+/ABHcCP7R47QaVgXHvY2/V5ARwrpp4AtwWLGOBucSZ1Hijd1d
lfDNQhN5XKIy3HRJtE9w4G2qfh53PMKN2nhxnBMRHZiUc4ZuGvhL9FB5xh1w1iVgcb1zU4CCWaSn
92KADro61eReUDbZOjXLKfbiKiNRiV6gvaG8wvVbg3V8KHW8k03LfmjD8maZUk16/60my3KGPwgI
QrnqKbRRTpjip88HW4KT9uRbN2nzGGsZXA2VXs7HLxIgy9aHjXIsKSn21PbffBvTjGr1M6CoI7hc
okcOojK1yU3YWSHU9vFwNlTnbu2BOk5VHlXUv0sSSDFt44l8rYx5iHxwXXE4FLlfw+BHs9W902T4
mdyTdW6uFU7lYK5RcVlWQvaMRpircQ2GpeN5seh4q+QIhM90T1p/GGn2S7Uu97SKmhcxez+9Fqy6
p5a70qGp4FV1aEpanOuwyiQN1cX3urSZWPi6DCY8t7znd8pbsUSX5rIW5Qsb4PDNlSSP1RDBiltJ
lXqMS1SskuyMbpKLmZTGjjdCix4ZBBCguyAjmkegMOujBIt8nbg7ddajB3prUCpSFhcTB/ISg0zk
9biJ6BRuKibFuTHUQMOjcxoW/pxX2KF2CVuWx9UFh2Jt4jvp+nlr+3o4KxWi7qznrbr9v2OmAweR
Bn0VPNQWRmLSsxXa/DClTRlji1Ij3fRLW6QETeWLbG7augrm82KC+OQ6SmDNTDAo+sDb80Wsr3Xg
77yClu/ZEJL5QsSy5qVsaUb8WMEq8rAox6U6zLY2p8+HWiiIDYbCUp0BwCYjyH+uvnPxMhIdm0zH
sMuxnwebumXiakqRoOKA0ESSajtpmTz3UZ882/Yrhct2H6z8uhJs8WYd6+3kmgDMM1jGhfvhUTF5
h24evWHblo/9foWfL2tGHqGLeRfiz9txJOzoWcFg6XevK1zuXcHxnrOY640uR6hOrdFn7ut9Abwn
W1b9rCUxJwOJLBf1CAgxCOy9qMbmPhxVcy+J3tP+udCuO/WVAD/ry7d5CJc7LNLHCWGQXxyNaNvL
3JjeobcMw/wfdY6dwwNc9M8zIeEN/eaP49HAUs8jocM8QoF1bLgEYOyPO3y3MO0iD11cx5uXePan
zeolY+6YDrKW1gquJ3i/wG/8B5xDA/Y3454ThyKli1WzjbzoGA9QG7GuqnxoW7ct/VHsdB0vGxss
/RZfIE9l0ceZGob4OZrEDlCDBm4Tqle5bv2oj47MRh91suy0K+yVFAMFimuafHaxRo/i2bwe/SXv
4kjDZKuni3CbaOJPCcxGY6PwiSXQozpZvtdFDRVQmu7cCkAvo38fNETul85/0iSS5xkFUtZ96eIy
3DbxSJ6FIdgQhQcNdi2TI0zPbEBqIi2nGMqdDy07q0SykRLSEaiK7hzXGlqdUCpbkT7ZQsuH00BA
xCWtgi/CRRtn9drQ+8QVJl2Hgu0DLae9aFybtpNXPQB7g9ffDXefz6hoSQr2ku96Y9TRluI9CKcR
+JmLoE0U434uVrsDHMgy6KvNtU2a5hpMP8GGmvsEdcOlLtDe9Gt4lrTBA2ymbCWNBFEipwcK0OiB
V3w4cRY+yGC8+nFH7hJRz8+zeqaFT18+nxj21CQeva8lfQ5RH1+a0CCtoNbk6xI3BzQxEyS7st71
YSse+3DRj/+agITHA8Dxj8mRGFOaAsqgEfCQIqp1iyb8Ad1uq2LqJwGAqAT4Anqm9x8jFSVpzEq3
CVQznJJbGKIkRqb+KHVuFodFVCyHKNE8Z8IftzhSbFq1JoSqus6Q0cCsFOxVK1lDlCBxtnQUZKFt
QigvVkBe7NgJgvQN2NiCu485aPu4Gi7oT+xD49Q9MkvT5fPBczDDjANO8/nUV9+bEka9pvF0EpLn
/dT3ezvx6AQopzh0ZVGekjhgh8Wo9qj7b+GE42psI6CG/miKbaCGLxpZrkFx/TDdHooe9/bKiMtK
mE5AWYqq3jIGZZPRGrxyZF7qaQhPvAhBy9gJYKuIXt3YkVTbNYV8Xe1XlBzpGoFfRdM8gUREPY/v
E3xlcbL34uZmwfknIHwktVzxXT3Z4c24Sae2qs1dM68TRDnrMq8S9jpCIc557eLt553HygceD96l
le4LFU69wpJBfsPV8jiwNwew5vr5wAMUY0jW0K092aKu76wY2nNVFPkQe/apGdo4/df3z3+ChuMI
1DVC8xHlNIxohEjvb7ePKWPrTzd9xMVwE7vSwpRmdvN9qlbv6xgNYTYBw8lHH5+j1DAfdYLNjVKo
VA1iNnjD1DauXINchAovBW+6FJtK+bDEnclYMUHcCTpx77Hgux1rh9YE4EQhAMA15EuCSGFuBpxf
ve6vU101W0EspOkWDjkh7KFAbuDwr19ycHtJv60YJBIxBJiA1SBJGPz5Jfstn4emHbrUjnaCihrZ
vEqWnE2WbgQJg61xgBx7ivaaCOqfYxPmfi/K+wFn833pA3yzfjccS/BwTRL1b6603tG2fpVL1Bdf
R3mzPKY7PVYA4hcDWdHi62QR3RXd++SLb6tphjtCO/iQbQ+M1Lp7hsLxrQhG/yha/cYr/0g0rAxk
UMSJaBCccK3UCZrAGzoi/fSvL8mf40sx9ynFZLEgxlVBTO9PCR/ZUFqoCfeyx6YqhZD0EWnvV0lQ
57feTaAnoAOmUEKPZ6T8P9yCn/mh394P/HTG8UYA72aE3VLlf7wFA5P0c1n6ON6W4L32ym8uCg6T
VknerqpIK+IdKSzVutvAhJ1TQAjvQc2HbBrGfv/fvxAQKKgfEUwijmOMJfjjr4Jt0FNWwnEW1Px0
fYfKvjxUUxHCaBtPUeGD9Q7WcW9b+ter8Le08MNfX+9fc68/bLN0eLv/Nib770//7dlq/Puc2vyP
/7xN2f7Hs8t/jOf+82fdftDfPw0/528/+BYG/u3Jf8ol/5Pk8V8Hef+TD/4WS/4tGv7HWHLMcTLd
LuE/jyb/eTTpPwLKf//iv4eUecSwbqMEFC1kidv3/VtImf+FAiXA1I84xBmYsBhpnP9IKft/CXwM
kcSISQTjGUZ7/iOlnPwlxHaHcQYx3CyMeCP/nZQypsH9aVfBMYJFhAAg/4wDR39KcGoKDXwRMCmC
OV/n+TmBgIosjYjywZkM5pi5GF98FVMI/FY1zaMXJh50NWTFCO2DjNHZPdI+AcFZR2kZ2k00LiO4
cao3BfAIv+npqdU52HKyWVZps4h2Wa1dtg46CwKXHCBvyrzS/ZfGa1FfkSKlPTzlOC3EPSY6++fK
r2FyqGCPeBkHgdCnURsiuJMAuVZTnCM/KXNghxxuL2BqWIVNplDoqlX42X8RzOMLfxgLw/93wTzm
y2RrJ7S5/zMwD/17vV/J9D8E88p6ik5hMfwO5o39DbLC8f7/H5gnDOwN5X4D89ahfCaMuhxGzAuy
WJlzvcwWBzNRJr/Az8g8iMFrE/cHMC9BWnJuiz+AeYQdUIz93wDz2lXkpRabyHosIwt88/8imOeI
L16ruUZql8tX6NVVtoZYMGi95p1bwco0MAjM7KVBu0QpctqwtJA0T0rbXJYWuU+LJBtqHrcrWbim
0IVxp1RdsMcelhE3w8SE4JEsFfKMHEJHU/UInjpZpiyxU7oI4P+0qpEhQGYlQvIqnFZI7Lp+Hv3o
OUTRUhGHjnT4NbO2zbXqInCcDuH2Qt4DzAHFp/ejK/v70mNqC4gMv4Tn6s2a6MM6gupFrHvdTsJu
WgSn07VD+LUT03sFinJTCv6GJviB1RXSeIXnoU0agWsbfONCJZu4pcn9tPpHDdY8Xzs4hFpE34Ig
1mnnr6fCL2XaAfrIPVJvmmQ4erC96/oEtVZkcDUfAl/elwUP8s/Lw4c43AEu/ii95ddkSbMPNQ33
XEXlhks7QTMAqgGQa8lYNB2h0D8t9aB24Cd2TYVYLlyiYLhPdPIjXJfoSO0l+mSlANTmUxIWGQtF
v2eukDkyCGu6QLbc3P5YwS5UDRSyflc1Bc9VE0cZ4dGcDoi2HWwFzXMtmgOpkswf0eYapM3xhzcQ
6y2SrzAy61SsDqvdZy92AOJO8PGoMzzjNyy4mPGdCmzItlH7ktY/4PHeq6ix31sDZHdYEgnrpPJy
51l954lq2Db1Em8E3iclPPtQhX6Qth6IXrrqaoPB16BBliFHc4EcvHgbxLwZqx5pZcz+y0EGVndL
AxIHZMgpThaWrW3/I+mBoBK4bqwDFG+R7/KiaVsXjcrEFPkQPseHgHgkK0GAAPBA+GVSQbGdO794
HPFqURiG6QLmoRL9tB1LND60Ps6qNzlzAU4ZwXKkmDEyoCTu4Ll2L6dMqeLRddAV6ByiQ9C13oYz
BkT0/MET/o+xQGQFbqiJxyptej3gA9OG1UlWDxS6n1sOlVUHbNaXSsCdcRUaU9SI1XIIrM09bq9t
aV6A8bO2/gW/42XcB7yFahH4JA3HX84MblsMIc98PXwZcYv3cIy2U9W+8IH9JHWb2tm9VytFnxyK
ESf5hHcEKS4zhm4b932fWijdCOZ8LPEUpas/oX0SDhMl2JAVPSRfEpi9/eIlVJ8n0kNxnPvcSlWm
Y1AdVAvv/kZEc4nKt/SrXQ19Ptb1dllxnWFigI3FrM10milWgc4xhOJdOfYiEG2UDr41C77K0j+G
zZ2diq0LvVM84cg3ANRB62eivzfkUQ6gBsyUT1MhIFrV1z4RCGlXPzpzGAwbU6/V12o1vyDk6Bxp
mhzJZZbWrUKWregPAbBLFF7H0G8+iuJRKIARY4ftbJjEdhUKJgdAPcLEl8SKC2NEbhPPP4AwRMSO
giteJi72a9NYUCzsq+sQOXQ+GNYAcKiOkXsfOMj2wWvrXFvoQ6N8YxEHKNtGoOdp833Qyelm6Ryl
7566MA0S1W+7wF3pgr0Fd3FKGvE+htG0ieriaQq3ok2i47DitRUCfIu+Nto/kPnrBMSr8ZIJFRqm
Z6ymfwRSdVAsLHKJDj8NeYWQBwRNuFJfebneK02fLfgL/DKIJDqEK93MVeYP6FDnsLsvgnrnSVVl
A0Kd8JlRNsX1lPGlQ3a4LknGhwW/cLDGSGQgf037+6RdEHqLmZ9GpH3tpsNQz3K/hsB/Gxs/LAMF
ZBgsEKpFVtfjsm34axJN+cC6Z+EpfYZsPRzEuOxt1bCjitaD5+ty57cqSctY/fT6/imBR4o+2q9z
bsm0sz1qvAhN6g6W8TZsYMpj5AliBRDc/Gloc9Ahe+1btSPEANtLbhzQUuJ19Hcl4JbNQAho+fBH
xPpNa1fsCeDfkOOC9/4SwOUDAGo3kDCvdRB88LKs8nm1P2hAL6OTx6htXkPo0VurfQ1hGvMskvVI
KhKcRRNsl6Z7acPoCIvjTrDp4MNIBk+YbGa/RE1hM7P0P2fRrfmAiwTGPLe8YChqo9Z1eKv6lFXr
oZtV1lfls57Lb+Niq8NwO9eqhOJ2O9p56R4nJPzmhgxpbS3Jk8HJPWsAeQqc4ustjoMLi+iELXdg
d/LCcpcuMQIvLJmx4zXjlUwt0IQ+6jbFyAAdeeGVAZDkrbv7bIH+11rBP3aC/7b7sLeB+f3/G/0i
2jrom/+iX/x97PptQBQaxb9+1d8axfgvMaOMJegE8eeCIGpATvh7o4gzG+OtIj/AmB3Cf28UQwJ/
kt/GSgf8t3FW+OseaOoYRq/RhPhAn/5bjSL9s/wU4W8dILEOnhVpdk5vv8QfNYakrjgpfURkaGxM
bqx+ddTbDrdNVXSNzQDtJX3/IW67LnZfNQ+H6rYdF2Cg0pW73Kuw5fp9+wtK0bW/beKtOYy3PR17
O+PmOo8KcThkfeee57G8Jv19dDsSNN82gsJnGouzXctt7d8h3HY0OEmQvkP4tExLnDAOJ020mryb
EN1C8j51AoStux1LEc4nbxJPEZy+vmLg+UVQoegqU428SpAASAssQalKx0c1SHMOvqGCwkgGjFK6
6bgZiDDgfDgq19uhOVXJhw3It+h2nGIEDY7kIp4QpwcobBXgSIT5ccj77+hb4eyynyPO5+52UFMS
ABqbvsjbET7fDvMAiPQQ4HC/HfPTvsGZr0BZuGHTts2LTOwVbEw+reuB2DS2FoccKgfZwWqMigPi
gYeQIJmpCoEIzLxJgnbAAYXyYw4ZgrwIoKIu6fhDcCtT1K1g0QL8Ui07mhmlHoH4dUm3H4HvHPQt
0WVvhU88h7nVDiw7aqIBtVF9K5JWVEszqiYU7AYQKQqp+VZSxbfiCpN/+jS8FVw1Kq/bnIdU34ox
GU/b6laeBajTXIDchAPGBf3wB7+VcraiN30qyhKGeRerigksuYVufCkw/GMdP+YRtSJ9w4gHmi/I
DmUQs051UBy190Z77yMiAF9a6bO0l62fE7QkWWhmuR1r8IEC4ZmDH3xbmK4zbssys1feLOI4EUkP
ddHeNwGSamSNkL1Min1J/I2t4dIIXMGeAIPuiIP3jkkJhe6DNHb6AaE+bOY0vNhq2aK0ErumBCwS
jxxo8hYcJs58IHuYBMAoxhEkwQ8ornZrpjLCJJVwM4Tj2Ra4V+JSkr0/YEgAMldpW4YQDWPjLnNi
Jjga3teu9MDPqHCv6fAklNmNFj0YSCeDcBHC2j74Qf5tKPw4lVMIlhbJdPReSCp6QuZxhGyHMjgo
yS8R+l/XAorkGpXzZo3zMvYAq2MGQzcaPwOIXU5h8+wUUIRA9plEbK6c6uhRY0hSNMBNZxVCXrz9
MkayyXt2m0uGb88tBOJpvgAM7PB6xAXWdrlpVw35xmmJqmdCvq0mP24zICBMAi72UHI0iHMwoc6k
5sdaH5OjlRDt1/GGs40/xqT4MHz9EZWYOoMiOG2T+Q0zBSgO8Ay32GmoizfMY7mbPP8O6eqtLqBr
hhesIqB6XdIimwY+qlfIgcyVZ0EquDEls4NbgLYr4x5D6Cbh29pDYzOyuj2H4MM2eAOS7UIw1IpG
yKsCFsYpbkDKJuaD3+Y8rG20IYUEtWK1ykp50FHDMg3ndjNGGBAHumOPAR2ISpBgwUUyYKg7D7pB
eMvjw09ISYhIhp0qtpujZkelFSmWMfJwSFTQVo4bEnnFHpOprlW91KeePJTl0O9mVXWYmNCq8xTG
WQCHOpe1KDJlUBS5qo03NZXtqY5Zt4+YytqwIMfAtsmuwoyUWPjrXf3VUmK/eTL8SmKg5KOZz3Zx
DLENsH69008dhg0gUlAyU19sND4MyGyjwwrYNikQvPP8GBMlIi84Lu14r5tlxTQD22+nBUSGIwsU
5mGGMMja0wpkXZdlu+vbluwAhSNVJfHzWNnuOcZJpUvUjRtkpca0hF2WKg3eMZhx14OUx9XtHDDm
GYHdlhmoAatqvvUkfmoDUz9VfjWfMbSFYGElC4Cfds0rBp6sT7CvrJLHBz8a/Ues8icfg+SQ3EHq
vIox1GaMRthUnAYP0m/rC8RGEdBdgh3qOmGiH6ZOKL0LEYLbyCZSGzP37QlLpEDWrAweZeKhx2fI
TnimOSkggc/rq9H0Rs6uD6Ryed/4O10UYBO9uMgMNMloggfWLwtQiPUL7TBPZLVbXeFTFgubKXF7
sLfortAIbsQAqGRlmIREYOS1cBayno77lc/NNixdvzPlgEKfFyMSF5jD6Lz2UjW3nTdGYJf42GLn
f2fvzJYjN9Is/UQocwCO7TYCsTMYwTWZvIFxSWLfHDteb15sPmRJMqmsq7rUPT1mY6MLXUhUZJKM
gPu/nPOdroGd4a0Dc8ZJV6WfxizUw5zr+SrUF3MaAkNuM4ax5hqM0Qp9sc3bYCZ+oEsDtZhjcoTl
9+5yyaVjFK+bxL1l5rotqjHfdlqHbM9Kw1O6DIvD2No7hQ3AwWj9SaIIcgMkvEPGErYrvgeNnWEB
x4Zla/glMNKmwWeeuZucAcOaAl07DPrZZXyzYTqdboqsmjej2YZcn6iBhfgONcS+yb0w2SRT2R+s
uTwZbp7yTLZ3XDI8A9ULHhE+MOF0rYFHbjipXN5UBLluV3EpN4wjDNNPJRZfBA54610Tx6Azcg9k
3BuxYowdS+FLzXDPrHDPoyWesYTQcWfTvKFAaZQnuVlxmditxwcpKD/Cfvpq85Lzfei+o1oNT4Zl
Roe4wPVom9mzy+75mbY0KeJqYxV4YJwahQ/+LIEIsDK3TtW/dNbit53FW6RF90PQf2+qSxqE9a6I
4E8MSX6wjby8NQpGjXikY9qI4jRnPNtZ3p4mHc+gJhV9sxVc9Zg7yGo53kSYnPAlYI7FnoPt6/s0
F9O2NoejhHnqa706U0zCKAkUT69ur+yIyzZPzG9e/OgU+M1QOt0IxQqbFVKENMJ+ikWMKDSvFBtW
vVoX8zaRZnMGFGL6subj1hv12koB7WUmzt/Ksr6hv3XQmYM4KHG8HrvZjfiEZOe6yN46FXYgDez7
VkuQJYmiXJV5wxANc7+MsJD1xtSsEfSBJIjdwh8QyNnZWK3rMfphsS7ZGEORrY1AyAesch9CzJvC
KX5gHhlPY1aePK99M2XznJxHb/ws+mkx88RfQjuXLa4UyVlWzHZEX+vdAu75DK3w5q9O6J+n2f5+
+SURevzLzdmvsZj/wYt+aYTcvwnWYstWjEkqARImW9/fGiHWPQsn2iWXENjo8lf9ujHT/ybYsbl/
f8WSGfLbxkwSUcXJ5Tk6zE9Irrr3Zxohufz9f9jD2w6HIexg21zowsL8B2gm3hMr0OdcrUR452ZO
doq5ro3l3u4qFL2c7H5aU/Dpy+0uY/BPtjJ3AEMl0iaH+cVSDZRLXeCWiv49Cia/XgYC81I/ICXf
dnodbEwUJiuUQRWujGZevT5mNI0rzv99m49vLYOsjYyce9xijBLwa1GVD4w4ZmpWjCwhjlrOQjV/
9ROOBJsHdQ3Gz1uNFP8L5kKPumudA+x1jPxOeVxWOXM/YXU/ipqSaRxL824QO3cSmIEzMW1s1Z/y
KGz2wrGqbdoPCG7R/5p666tWH+ikEpNZKRDUZmhfFI68rNOZk1buDcwdgHYm30I3YhRPTNPe6ca7
mxy4JFrMiFG1Snv+oDEM75Pe+kL86TPZ2QWlrDbCqMY9EpqPVHLZyJH/uWvyddVSWi4C0FzATAxQ
2mymWD9wTXvc2uP9MHAzxbZ7aNJ2h49+7dWs2RxDP0nQH9wvkIKsDshyFsh13w/lVo25pK1h9Tkw
zLZ6q92WuIAxiCXBPnZv3LS5xlZADbrYAUY01zAInRY/8mJQ0zZehXtqnsMPrAWe30nF3RxSQeND
qKs8XSHW7LBfsv30go1lUE7J4DlvAIi45ZTsUhS+J9dip4mVqOR8RQoWIarGdz9+ooSz7qBQtOsk
zowbr3HyR0XbFGUO7Fta1o2qx/NEFe9P9tqYDHYKs5Oe6GLFqIVsNYW3cxolYB4O4UGfsA/qNO4C
BpaeQ+9pNi1Jrdj5uqMy9QgIDgOzuoHQNeTNbdgG2zwRzr7uMWvPiXGDgrLcdCHKpLTN+1WJ13OV
2hbMKKd/wVmmr1IK8FWuinBjddk3i+WMN41Y+ft6NVbdtDORKsW9cRNYA+K2PLfAYUzniLFVqKXt
ATTza9UoyqrcfBrm6mvoL3KqvzqzTDciTX8A6DtklSt3w1CvQz1Y9FRMfyv1Vibd1pva96xnuJ4U
MFG51b6maTp7+D/jTJ7cvDtrQ/ctzlo4WCx67GaKTot+OHfZfKDViPABDw5XqLiLRXYz6YoZdHTp
+xFSg+jOrmbsXPjFu6kGbSrcPfCAQ86meoN/4sWypze37d/trolv+vaj0GZsomNdH6H67tuprNZW
ptPLh4Gzsixj8meLMV5bRdswncQ2jBTrDlZmOW/ZTVrpGXwrdJXIspJ91GSrAsL5Wi/6fqUF2bF3
YF81JZ8o9Pf3tcW4sC+c26oEKx7i+TfT4n4MUOADc940iUfJrM1fg46rIR2lvoMTka5az3qh9I5Q
Lo7zWWr2nVFzgvVJ8eiZ77LEoF9a44Oworc2oBZTpWp4c/rj6LXpqoysvdQHlu6wIyy3vAlNCHw2
JBs5hKduZFBje+kmE+nG65JP3TT3uJVHDHcFNT3KdD7aWXF0+/IriPlar7n4evszJo3tmHgPXmUf
Igba62R2nlgmgi0JQzxydXMYvAbrvmmtLRvgEDqBU28nh7a/H6bMw7AXgPdYbN9MP1vH2SLXYHtb
db6WmSnkNWpvE2LbnJuYE1Cpqrj+pkOjGi29XxultU9MDX0CI4/W047wZQxKEeY43ewBb3oKs9Ch
x3UkwgfrBuyPsSkmMDhD0p3wYvTIpJIHVzCW6KsTeK/kQejiCc0ddlrPidm35liNnE9HBe7OaLpX
GRygJ/OrynoK89J47xUK6Li2PKS6aIrYjK0LfQQQncaYYJrz0JgYPKzww3OH+qFZeqNk6ZKqpV9S
NE7D0kFVSy/lLV1Vu/RXHP0cEUvPFS/dV7T0YebSkU3W2G1EsUAHadfAZQ03xtLBpWLUd0ZW1buJ
9q5d+jx76fiGpffraAL5JTfbbOkLQXZfOLgAjC09o7t0j2LpI5uloyyt4WpPI8Ug9EZT94fOyx84
3lCa2yZi7+FGLP1pQKOK76B8tZ4BK8y3rixO5tLRVktva9Hkjtmg9uNsViesvXjml14YG3u8Npf+
uKNRFj875qV3jpYu+q8i798r8kwSAyh6/vm4+3/9Iczyl2n331/027SbgB2L/FxyFqimLAeB029F
nm1ZJpF8UpguvBKPyfovRR6JcEjueJXuSAH4aOGVo7T8Gd5A8KsledkSCMEfy5d+FYH9QcRGVsUv
//778Ab3J9r/D+I+wZgbXSldkc334v2DLGpMrXksxxrFgZjCdYfHsKjsd101l0Rg2I+KdDslw1dv
MXQwk+DoxNW+y4NV5fA0qABycfQ9EcX5vww25E/3fBFh4fkfBBvmXM++BGxIyMMfwYam13abUBb/
XbBhkW9HgaPp/wjYUC8jcxsq88+DDQO9e2Bd8Rm4EXP/BkmJMQ4cW8DFVnB8tmVGaWyl+nlW4hQ0
70AXq8fWCD/rhINDghfbxKlxtL029tHLo33LMaLlleszM2w5r9O1LBxqnhxtBQSIee0M3r7PZQ/D
WDsyAHzTxDgg+9BzxvOhic0CC6m50Zj6+T2SFoYnUOO8mOOTyvOOih6ijaAfH4uvePY4daOy95vI
eYcbj2LXbJnFBFS0hWpgTl7K6F4EgGcwCM14jquv2maeHDHYOhtzuNMKV+zdeGApDCoYtAyltFl1
d5SbchOEI+NKl/mIgRHGGJsnw8ALYRQfbs8OWOqG39iC30Aq1iXqXpGRWzJI197Oo/tc6RPO7in8
BJd5DVHjXB1dXUyVBdvYZMo5sDyXnYrgrLJV0Ov4Uao8YVLIYCSRzocG0hyyoaRW9MWg51w+rFDg
WNsDEJja8b4MBmKTm813udY9ZPVQgNL6tFMt9kfdeg0M+drF5o/ShFuIm7/mslmmUh0K+MD9CGbj
c1agE6rWZpJsvi6P9ToHRbQWEcIYOPesKnAG2qN1apuSIqGZnnQW654cerYKXIzSGO7IjXlvZgbX
iZkcSWLfdK28bwX+J88ELZEveojmRrMYvgAgH5AhgOEZyvFpnKYDER1iY6JVuPHwWa4LJlBMIt1k
FQKUb4FqBPKrHbLbRhQaSBrn22Qg8BpjLbkpJv7OMZSw8SrnyejjgB9tTNdJ710UCqh9qEf5fkAt
CmIjWPisUL4Mg8FrgOhk7RU+6JgU9OTUIS5xh11lirus1akDAuvRiytzNSDw8pWmeet6UOcmhNUS
ZoJCqNgASJTrqOR6hpvVg22AZFfF/Td9dnHrt8xym4WsKBvQZKLAPYw5o+CVKkT+AwzWHTPImG33
YmRiPNjxUvkM9aEeFztwgJOiCy9Jh294cmOASml+W4YV8E7Qyq0F5iim0vTTtPoKBD1fzX57HWND
93sTx000vzgV4D6tmr5Dq3+OXfOMSsNa6W5HsdjHZ4TpPDn1qilwNU4akPHOtl8HVXwouQY51W4q
HZJ01boru5PDz6weLBnzDw0086GzhVrRFQXgI+lsIPYwVY/Kb0Ph7rpA2cepVRbtGX5rZHj7Mcaz
rNr5M27EE4eed6NlAQQVVHEm7jWMUHZTfAiSf9Y6fJsizBwwDt3Zq8pr70Wfcuw99jd8OgUW3JR6
ZltrXsLOFLeRBPOIYuTc1wCcgbQdUYtYvrW4hIoaGyUe4Ft6k8zvG1dgGgSZJL3PIU7f9HLG560/
u1rwPg3zqWh4OpwovlAedlfoRobvzfTudlVAjynjcp/V4ottmEJcxPy6QvKxNlMEQFOM7zLL75VV
q5toF0hx3zTfvwzoVgz637jLWwYbM08QjLyNFr60Bd0sFgQIO2HEI9nMxnF2sRZ0w95KLqEbHmxn
GiDhj+A0E4PTZWx9G/MAYK7utc4LaJj6QabmWVFcxkU5vHWmgIDBeiqJv5osSs/hEhqEH+gmYVCy
Qly3ZkEBwi3lPOY4yrelIy5uXJq4roTNwRtdDCJ6DnXd+fWn6O1b2wLlQl8J9CWFmSDLeKvyYNgr
7F9d6LGJNHDf5KF56O0uPyoONA9AzmZMdXAXbOaRa2HI6TwrWQXFPbaw0pepcQiCLlnbSMqOeVys
bvVyso5zzywXEL7yw3Sc0MvA4IHscZ+F6Ydr8N5Hufx5UAMHF/lzNuWHKI4BZzMycWvtYRyDYG+F
Kb7KrDpB5/zicKs56M09xAt9rerKOVSR8xQZYq2Ud0iDKWMKXccnvIi3gwLFmX8VYxn5xugNp5pH
O2czusoS1uuAD9e80+wz3Ie0TV61kiSNelJLW9Fcwqy/ph5itQI3dzDF4cUZMV+FAATAF+MaabXC
z+a0prXqEWo7Q3sWCebLrsXRl3mfUx3qj/TtIU7XmZCi727drmir9V2em5dGmoz6kY2qLPNOGXkX
u7J0X0uxeBlhmtD52NfpqAx2Xta8QZnb6slJNbra4id399bwgwWYftRaPD4e6Q0mwqMEuMFWc+To
j+htQneO/WYMcMDoTnIY5yurPGOvFGMpfbyjGN1hfa/WbZ4/pyG6VWyd4AM0Bl2l0MsDDRPU+sDa
qvqnEmmfTyOgo9l8qPU+eWKt/aK5SLgcMaurXpqYxPWI28zTI196rXUZBtNeO3m80RTKoiqe1qSD
ka9l1+lBV6PONmIkZ6fUUGc50NAx/Vtj7YNFcfeCbLC20iGWNugunPRoDQDb9fDF1t6Matm51WZ+
ScuuPwlnvkknenM+cbEafrhRfJc1FBC2PfOpz/rTOI7kUjnzR69BdCyckPWN4nAXOV7uzOvSN2H0
hz5BypWG970nn8FVo1i0bgOvuhmT6UYZn2Zivtt8xKUTbkQtsG3P9o1jzzp3Z4YKg4WwBR+Pxv8r
BDw8mxpjpuFUxbgYQZiOjP/bh3YydgxBQcG0nM9ZPnxo7Q7Mzzs/wLWA23rSmQqvQpiuysPGkwbF
xFPi/tCwtYSM1FKWD4eqdkjHQRLB1KY5u2SxgALpdywxEavG+dExBvNgFfFnP0XQXT/Z660ZJ6zU
HO2nvr64nH1PVjm9h13wOeP0m+v4YsTFMo3CSVTNW4Jv2L6E8kpTe6pgYm3ycj91V9Z1wSVrBh/n
hI0LosH0lAqUbHPOdz0jsp6aAj3dXD1qZg7GVlcarX8VrywNtGgWttuo46YO2YWuQ7ywRwElc7Qr
dVs3kEt1GvVesSDGjiUOzC2/uPuabc7sIL5ovLurOLZf9YA2txHutrTVC/3O/YRAcVNzJjPSTODn
JwnEVxZqfL5emMF9sRzVVnprzlsnoAZh9bQqiuKjHx9Zpa2mTMdzzDhbTxKxj1Nqjbboju0QwHwZ
x/0IUQjGRstDWZfIY+B5e0NyTtgPbGrDindGPj0ZM3jPuK0eY7Y2VcGS1sGa1Y+Rx2pnhpEXLPo1
C2Ck/mVM03609bc+CO6W+wU2zoMdBNw8JihPqeX9lvPvauZBeSg0sF1jIDhIg4zr3ztyLK+sTMa3
5kgQgZtRNmZMSVzvxZvsp1HWwyqp+2PZ5pB5C1SRFnoVX47OD+WO5tmLgGFWCDMV3M4ddMZDUObq
ojnWQl0c1oUsKLTBPJ4Tq/zW1yO4eE3dksxSn8Y6fNFFhMyWzehfi6S/L37+w1zRP+yEEJr9S0nd
6kfy9kfXFvOC5SW/TBjsv6EYcm3PRQCHZdJb0uF/mzAgl7MXx5VLIcWeieHDrxMG8rOXhl9g1lp8
fZK+/9cJg8OX2Pswt3BQv/1J45W3RD7/YY20pJ7iNMPKadBV/VTu/V5PN81uZ+LOy+i5hts4Tj5Z
YbAvCfSjOzARhEt/VRGC26mB1t7zrKI6PprAz+GRfZaN/WYYJCnaP1KCGbYJMSXg8Opr541smtPo
jLXhvND2ms6m1wq1o16x3cgSuUIeH4POEOG+j+6NxFvH0hi3dKfoLUhOgEO3bFQttMZCZLbvgh3L
i4ypsvlND6DtRACv2PDvYJjOkWpO/JwwpIT+nqVGtPPgD0CxgynoUM267CnYvE/ok6CyWSoeMITi
ogfbpbFj6vZRSZCAhXN4ENVbUmfxN0v8qELE4gjIEXsxb07gKUJMKBHApITUWTzGgYXgNgvSG2TO
hzDJBS2pLyQe3hExzVjG/S7O8ts88uIVC0GHkyxCgLD4xawU4X4We6/2guyyR5gVJFxVgkp/lOaF
1LsLNAZtRaIApO8FjWzLfiN7v9Yz/VRUDTDtfzvOZbAp6CRUCIqL/yzORZ+QkkxP/5fjXGJrJtwt
MPciRvvXeAu+/P/dOBdqOm039OjD/wfiXMwlzkX+/xTnUnrzdIyfgEkz3rLs751OxkfRYf+MQQ39
iziXlMlnFX1vmIO2Sy5OPnjsqIs9IQDHWWDcsav2yxAhzhWwtBHlV850tWXK2sB6WHfLTWosdyoN
w8u03LLGct8OXLwpF3C53MTlcieHYThSM3FNL/d1xMXdLDe4WO7ygEu9WW53i2veXu77ebn5q6UG
SCkGpqUqCCgPSsoEO19KAJYeCdVGi/bltvb4F/2okEP6utaz9XT5Lyo2SkYL5TVsQsh4xN2tamHX
jBMftCJV247yZaCMMXLyXtzpC8ifuVQ5XsZsYA4cuqImWwPuYx1mkpYrwuoRjYGfB/1TbE7xru87
uhcrOiuVCWZEGFfCkdwfzwpw2LEJx8tBdknQHuscLuJSnZWUaXU5EM1FlzmMj3DqPrqlngNQ4htL
hZdmrbYqjeJLJuZLvVSBRRFDUA56fwp0b2UTmADLR95XFI8tRSRBCQrKsAkWjfoyuRQUm3KpOnXK
T8CQKE+XitSgNFVLjTot1apO2Rot9Wu0VLLxUtO2s0WvIsgEXOrdbql8Q0kNPLTFI/FDFq0T9bH2
s1LOqJkHg9mfu9TR7MV95n4BibjXotzXS709L4X3UoAvlbigJCfXbWUuNbqgWBcU7ZSkn3hW3ocn
RofxXF4aynuNMj9byv3PYan9bZoAd+kGYtqCbukPwGd0u2ZQm3jpHaI2PGAd0Xz2EySFWu3aATmX
tdaPbOk86OVYl9GMGEtXUi79CU36taJhcZAPDu1Ht/QxDYy2dUS3xpbqgRg/6njNnqmCT2LpgkqR
HqY0/sLvdwgr91zVsIDNbNBXritv9KWXwqQeov5d8569a/ln1g43eVnezIbJwMKFq2eh+JyE8gcN
XEvmJtXB6dnnzya6qkKpU9r26TqdB3U0R2I8gTpVSg2H3qIiyNByU+3WqL+JQh1cHZaMeJoHLDVe
4J1Dyoc9n8fboQWE2OXNe5nZ/bqEn74N1J021Re7ZN6pL3KPzrWQqHmv6bjMS2D8QGkHJjfpwUFK
3EddhhIQL2exdnHc0NxOKNN172p21bmekK/oav5eRLmOznUXRNKXrbcleZLJQ6FdE8O6GBVDOiWj
W6+kNKqr+JC3yd0YIeqOosijcwR8bCaHKE9OqN3QpLdyDpmHzq/VXH0LR8TRaHoZwPVltlmkeQay
Q9C55DDXvIFfesmHkphbbaUph8VHnT1XAZk+MKpOSH8LkJfdS+G2EbPMKkAEvE8i5owTfo1T3DVI
HEABooSYcZ9nNdGQsXVwDW84F+CWmZ2lvkRm5ndFnUD0n7aZkWj4XmOalbLdsczfEc4mdmN66GCy
ggjy40YjZgZcRFEWIMIa8wbV9FuTDfeo/hzYwcrbmZV8z7GQA45rKXtEVl30bN53No9Z7qY8DYNH
k7WXGNtBpJHsmsPdPcvyVSZzckQeAcM0vpbBFDIxyL5X+fTcuxPalahnDO301dEseJ4TRe4iobY8
/p68y/rw6FT89PmAoLEoRpb3c4Sgmfmd6PvnwECNLeLpgcFNDq0PaUKlUKBmZn9LRNFFd3LEDY0+
bCIO5zYW7+h3Yf8FQOyQxQORLgdUjuxI5ghsotcX5ksc/si9DDyzlhhndDibEqziouvuj3O7z3rc
yh6yHj9C8EsnqS7DpE08OQzEQEqu9ER/bVpwj5A51NosSCLAUUJIn1Edxiq4mSDKHcweC62y8Y7q
rXEJ5nobFGwmmHjMo/aoV+9I/H2SLl50DWfkjPWACJpi7ncU5Sv23kt8QnlN+uzaZd7j3ASQwEo/
hvoTgl2mPv858bD74pUkjEPJ73yQxr5fcKgggNg1XBQamUpkr+UwEKJLPAQdNWOdXrdvi1jCThuf
83w8h8yM8aRdbSO9aQ3n+CBz885LOYecnIOdWCHXum3RKAEf0Y6jXjxkEXBIK73JRmyGyIBXU+Ku
2/gY9ekmtyD0TC6mHXLx8ADbdrmOA22d6BczPGSdByMSfe9YbBAmk96i4TbFLQGQbRUgvlGVejHm
8mHhwOX2TqryIdfST8ZudPb5yfR4n0rDZiXwOafGY5b35ykpsK0vV2gACLOQexqhm04DjdWy/Aqa
TVGW16Dpzr2ubm2MBiPZL0Sv7wdFTW8bO4187bJqkMTC3B7AkMUmTtE9CtON0aF5K3eDI28HzzsS
x+XXCvXMMJA+E96iisUaad0CA3o129bvtf7c/vLr7TFtmPLUJupFCnubc1LUpvdYyOC4CFF+/hP2
/tghGuHrQ1cwXMxfpca8lhxJOoddYrfPQuibuciKNVy6rRqQ5CQ8ZvQALMBKb2uWyHtR56qNmexs
86Zzi0fov/7chw9e6txoTfIhUsoDvc27Fctnh7QAxBL9p5mvW6y7VZ48tQmhy7XQ2rXkyaTLuDeT
jyJpkIMNHwma65WNUHYl+2RJISS4W7ZZu2r76uJdkbwqTJ8Out0p/2jGttyQl3IF2LwBCDy+OMrX
EzjaygkYpg8Vab/Njm2psRkMvCRTvevwznxzOeYx+1oPo1vccd6T92GMT3kyGpuUCBCm036kCLMa
IxdDR63BKJhuEbbJlT2LH2cUuZ8NIEeQ2dUlC1jBTTXYNyZb5gptNYUZ0DjUV2dz+LLC6Kvrqx95
p9aqj3jYMia0qfYASWeitUOlYwkD69TJa4HIlWaSYamxd5i3cTt3mJXbnu2KQf+rD8Wj6oLv08CI
3tVnojUWESMclit/O69Uqzk2+/1YlAciYOhd9cHAQM2FnrfOFYe4XMWR/eA2IEZhWCpSm7Rd3gX3
1Uhrbhvxfa5VH54+fstqdZpqo3sYIu0DmejGYbmIslD7rqnmGe1r55ct8igcGgUeASX2lXODOz1F
D+l1x0YbXmXfoINLX7BltRsgrRIQOBvUKtMuIxSFv/Qs/6aexXMWkck/17Os1Fv4D8Mm5MTLa36T
s7h4IqVHbSbMRRP8e/MmIhZhCcTHCIZtKPi/DZuk/jdIXtg9sXCSx24uhKlfhk18CZ3LImZBDO0h
hflTchb5U67yezkLVtPlG5bSs/Ev2x7C6d8Pm4xcmywXFM9KC70nmbgIfD3M1+whmvaeOz44lTgF
dlD0viKd0xlM686ZvvWhA+xE23R1Ik5TXx4A84WrvNJPTt3fJdb4BpAbyZ1In+k9qO/KfgK4cLW1
QZzRHV/jKPzq0whfj6g3cVedRF+wGkfzrwVuuo3BqbVmT9yA7t7rZANv857CMfDY7sycdyNpdRsj
NS5lR9B6dpZmZ9wq0Jk8CLW1btmMqBn1Zow5oS3LS4rya+s5IfVvnqBdSy51RfuWxgcyMt4RMpzU
mLAvHU3y3WhIdACIF/zz74Vp59/z6QjLsoWDOGR+UcOeMCSmL81gdGSGxc6AXJ2zttEc5a1L284v
YNcTpHAU62WA1dNAaMx8jYScsmM+bhM+t5FaBC5UqHXeUCbTO9dF3fhTI691G12lDqxzsJE0KyFv
tX7+jlvoSfao2ISOksDrrUPSxdpFPcipvZRK4GGZXzoIYnYYiBU7HRS9mfdWd9muSocfXUB3Yo60
pU49f0IMuIkXoJ3tgqq0iy0ZoV9zLT4z5iNz2+4UGIBDl8Q35Nluol7WJOuOZ5tkJkIswRYw9W7q
0rcqJ97aKmX/j4qUKLS+vM9AsDCT1In/RCIDbH2DXtVnXc+ADJUpTrenKdyahTdtWPZRDQx6Rlr5
CKER37s1INv87wdKVM2XG1hkPVbeN6gd+zoTpLoH92FZuUBMonxHRuVxMBMPO5y4BwdBNPOSF2WT
mhXn8jVNvNsSm+a5rFrclNG4b3sGYaHW+1HfJfs6hd3ghgwY2sqBEYueNlaQfdzt7LXVnQEkFu8Q
kWh18dV0mbqJiyrfDDEJx5XxaHyMeRbua+IUkUi0Oaz/yjlBYvmeO9xWc2qtSFYjNIn7HUai04iX
MDE+NYcldsp+Zkseq+808pjhXjqjARmvVP8QJzVi3SLHl33GDxbY9PRxs2mGsdtJO13HTs5Sclwu
vjHe1ot2wYgpQoRKi03f5ngCeETSEBtY2ywencwAIBNgYJw2BkXvKk3ISLOXCy0gw4OUsYqZckrb
PjRf2tw+ZrIC+69ZflzYz5NXGQh5ElIyYmGtRZh/Dr3NuRF056nQ75tsflgCXiCVK/T8fpeb7Yru
NdsoBdS9hFlTRtUe9HWfUpTT9IcsResfAU8PoUztdsSeDf4cqsI04MDuCh5xHZ9n43vduK71b8gA
Nh2SWxu+69y9FglJvr6wmNZUFN7e0QsPInp3wnqtWeAu1byiTUfQckjJvukzRPkUPZX8hgZ9VSMA
iobvM/V6pkUbW/veLH8XUqXkq2x2sYa5FGg37oXpBIMHwcRDzIA6YryE3JTPHG1J860TW8e+Guo4
U3fV2ne7/WapbvnmQg+XxH6yLzV9US4mfh4Qo7yqWA5l6z1Kia6kXvY4aDyDlhajdEVEvbB8L4vW
ClTKWDUbETTkF1FBvpcCaCgGydTx28QGDuPtoP/64xtnGsZMvxHQmtKBuOtbIsr35uzuSpM5uMs2
ACH03DOcRgXohnKjCJWUmgMLyMOAuO2cc5U3dI8TntNajY8yS5MTjADMlrbpYIlIWAS4PSFoRjus
J1lZt85QPAszSy6Y+MhY1YorvUS6rwFhpWGmI7AxV/UQfk4VGXjhLCTUF7PahWaTPDjm/DKhHUby
EUcbN77jKfSO9cwfNI4y2WQ2a7+2KLy148QxXYV7FXBg8NwHbJKzFHnzbJ+Y6xcXwt35bZaoc1D9
I0HWzWcjdsljKEXEfrAivMgBDRuy8fRzx0xwTuBQC2FousyZAD2VB1XZbCZK7576d0uAugPJwH11
wMYyKGsY3rTPsH93UjZqJU3KyiIEiUnk0ibTwPrAoLvFAHwUTvo+JRPJAyrxQwWXVO+JaBfx3Yz8
aFVEHlMZQASMsQ5VORDlPKCAGLT5zdRr45DbM3DZhEDIXBI9oovxuanxUXM5hCdNL4Y99olsFwz9
N7Ov5aYFzMJChyC5OpK3PTxR6lXvUfL0j1QpbEOQPbpwb9cD+g1urPk56VPOaRHqbDjdqyLoNgFA
xO6oP+dVGwJPGH3dcrGdOplaj/g8tWo8JNhjV/PCJv+rDP03y1CGRVSA/7wM3b6p8o8rT7DJy0t+
q0KlMCgyXcZ/jmXIhSD728qTBai7aK6JU9FtQ+dLv648HYCS0qBGlfwPFo/bb1WoyRLVZklJHQpV
1KaA/TOiamf51v5x5WlzPGDnZXsq+Qb/WIXS889T5ME8M9naAyzBQD8i34N3QJKTTuRA0SSBHzZc
wM4QYF5KnTvKRJI37YW/oCF4gAY9D5jdUCO+ZponD9qDW151G1SBarpbb/7f7J3ZcuPalW2/CCc2
euCVYC+SovrmBaGUlOj7duOHKu531I/dsdMOn6bKFfa7XxzhPKkUJRLAXnPNOWYYnksn+mFUV2Ar
2s6ucIKYzqDtKCrHZdi1AYUH6RW3DtBrDomJTv9bWBr3+Tix/pMK3zTTBaopxpR4bOjTDYZi9tY6
s/wOOvYJfBKLw7heTppIX4fQSM+lN9x51nYwYnHjT9PLnLghBzREyQbaw8EZxgfhUWMwz+I27isJ
uF/bFqJpD72hvaE0bGUuX5CAgBBLYkERVqhd/AnwNyaDPBo8kVCBtGXjiO6T2O8Orvh7lV0OHJm/
vIzNrQbKYcn899AmGIzm2tn9mzT9144mqmD47jXvJ4gCpJSqCmhr6FZxJt9nM34yTP4kr9BXCxq+
V2UkP5qJn1mY1c514FfMvFnBghrlV5FBeGpgTZyzFGgm79ajgnR59wltrLjjXnRkkL4o4ZmPb2lr
7zM3+/Aac4fGSomJTfy9Yk8dVCkPS9Ms9O1I70nrFf3ODrUPFL27RGEWZiSKM88qwABANGKt58xW
ZQ86scNh9Nudm9VskHqPTrJmbav1rElZ1EpjY0ubitor67e5i9AIaWllRhbZKZYZNecPe3LeaVoa
VkbLiWxJAf/Z9eSujYQ7MFVxF6lWx75XbLuxUAFPWkBZLkexcehMkZ0mYx4PQzUcay+E/byk1Qbd
tFn52UNaUSbIKBCjTnxrkRW/TEn5oTti67P7Zv/T76lr1Vapz9kOlvEYRDG5OQMkWrZgei7UurzF
mRlXcDXmfEQuipYfXklBk+bH3Q1VWLSH6Zie1jVgRoRF/SXM0vtM0MWgFvVtEwIA5zixadUaHxwj
uc8EeWzANOvqd3zSoz3NmQnLe5MPeWKtenwBrTIIMJZtXRwDLs6BIhkjeDL1NVOmAihd0VaO5rdp
fNS4Dpwi+jLUyRA3gjXyA7GUOpU9YUF6M6/dyLog7EAoujzsnRZTuD1cJGKFoVSLmKa82KSj08r9
buNnr7ZSOHqkjkppHiBlqK50T71SQ3Kli1QDTnEsHgN3he55suN3T6ko/OubGVllUfpKgdASIriU
CC8uAkyjlJih8e6NMtwZSqOBFRijqiPbDDXzWedfOdLkRFfRdkql8kjkHqF0n2qIgHTINRim6694
azezQ3E6Kkbo133DOf4IfYPslxKU6on/pDQmKPC4qlGd6pKhlQj6EHaUqPZokUlNr3ToPXDVB7Q/
YifGTDuYxbeFqGVMPyfjNBAXCzqleREr4XSkIWoVShHrkMa6nOk4RizbNO78rSv9zEBIG5WiJpHW
EqWxlUpty+MtdikqOYbxiXCXi2O+vNOVQse+b6t4Ny8L5TpzRTaq5+8lyHqZ0vcgv69YVDkraH2e
vUyvkeNsykt+2yttcEIkrJRaWCndMLwixN3C0cHR+0tXLPh9JZGFDqtUR52o49K0CO+fM6KkzduZ
lEzUwy+9EuFyNqb3JUHF+9IQNalW5dpTOmcmWsxhcfEZe97JbMP7dDS4KptHGZ8tlkJKL7WUcgrP
cmu3UbzrlKraIa9myKxC6a0wsDY9FdTRcBB67aydnjRbHyJrgnXR8OI1BtaUEZd/rDd8vLj4vXG5
FrRn5sZAVaHh3sU8O4IcIz5j1GlyfyhADDJCwVvAjjqcv5nrwUZAKVr68Jx5DIeh7t66lffW6yN9
9RoIp7y/S8HxBF5bPs5Ts2EDOK26HzGIuJXj0aJjuXDT58c4Xx5Df3wCmehiy5tUili8Y8Q4u9NH
mLhXNi2ou6n2qVs9gIbmPp/iR1NVcVeFI7mMWXe704+h4vXYczgGrixoYqODmEfRemwgOtrV9+Bw
WJYdrxvSvWAz0/ygBKME17N8L71xzMsXL4ynNZ3qBcoPPwXXGkjN/KfNKSNoKu2lcdwv1vaBjMsk
KKFEbjwzZI4ZxQ2JQFyyMRtSK3U/eyM+23W/M1v56Jg01RS2wLzY39Iu/Ilg8G6k1CHT4dxi2cRx
Dw4PFNJKzO4nhqN3nJw/mhASYrptrGwgFqlf0LBfq4ZeEUen+LZWPkJi3NH0nLg3Wb0vp/Jr9EgF
TOVDU8ENG93d2LLZT2btNan8u8ZNsao+UJ0AavW1LMofScR9vYZpTHDlMMXRW9R6UJ+iN6c1tjqy
jhFNL+xSLla7fOdVeSnD7DCboE065z4K8wtPbwp7zv1ppolxXWntbedk5znXH+fS/ZxN/3kKX+iX
/+wX82jbxXrQlOs5CCFT2uRDBVyfsdPu6tI+NNlLNw4vw6RfSzdF8TeTG14LIkF9H19Zw5m2ulZh
Z1NmLdHLsgybYmm9ghbcOg3vlvk5JDNWSOu5toZl3Tq4PWec6JPLKR/qFmNnPWPI+0wzY4uLs9vQ
uEyPNZWkcNby2vjqMgeXPgSgurutNCAvvfLJe2QCZJGYxDn9W9uBNVL1kGYzYqE0QBO7xra1oi6y
XHmzTANNAo2Ma4Z3Gd/aUQdgwxLfBl5f/hXuRkYXrahxAgPlIFxVOgWXYfhCfy9JgKTa9rY9IzJY
P/q2BzbUkCzRxuKJgxD63RLfLZ64N5t22tCA8nPMSzZS+rul0Lgpw/7kvtVlcvLt4mI44BXo/DoZ
OtwyUCJ2Vp+cLn5WTQQAq+L9OETUJ1QPUpb7PHaJ2dG70QzMiTXtxhsrezUMpwxofIiCcva+unE6
M8VeHAfQTheOOOi7Wx9aXdCGpP2491wmLLNhD31nXJyN4yRfWuneUYT6AJmEBXA6Pfqh8e3PGPxq
TCZzxvdxNPsmqWfuaUQCgqhengnbboAE5iRs6cKiTnsdFuOjrDSQcBmmAyEeIXsd6PqTzOf8PjPN
7vldHdyaS9en14IhDxqp/eW4vBanEt+u5CZICH2NUebqucUDFZLvpsQcL8RuKtgz2SCB3YR/3id1
65GmTXN21kBU4FDF/mvO3vbY5+bDr9fsZvgqOM6uiybNz2G97OD4phcOUaoVvDwVtRs/pNJBsZrn
x9Eb3pNyqF9CGDnUmaWbzO+KneNEdFth5tymuTxmVEHVWi7JiA9P/tTaR+nN2ibNuFv+Z7T810ZL
w0IZ+L9Gy4ePsv9o//v/FX+eL//+df+YL2kfUV0GLDF+tRX8fbgklcsOAyqLQw0Hmw7/9yIDErse
b6Tvm7ZPRQZu89+HSw/ipU6yFpDL31oO/q3h0v+fflrDBBzi+GBZWNJ7f+FTIvtY7uDSZFtlCYxw
armnjkKTajRfEnioPXu9VeI00154GsiM0QDYRtPWbp7st9GZ3ipgFTUr4TrL56vNrORwBiG4GB6o
MncZqJJN1cVD0ANu2LjwVhH/ySpV9Dh68BlQj4Y84GavgNGT/paOy2EeWEQYenYu47IkeGQjgqXO
JvcJLLIuPo5UakOK+G6lqpLEfxTaXhIMQ3Ifme69zMoHqU/1WsbWSz05FAQJuj/rOXkeR9Eda7Wl
LSBJBkXM9ezkVB3P3bLJ0/yp4FEWpJVVrRc6nimuw82BX7ci6gV127A5AVTLLb3MPgc3WDXSHjg8
GMWVDcs9p1Dqpm1357vpJY7w21dx+ewZnPF1CfNLpZQy4kqNii2p/BJZD0nprorlDWq8yFz7+B7i
mkmKrjsOCdWGABoPpLkqvv89oAncPD4ybKLR+daHYXQOVZ5qTOlt6M3iiPnjwF8e971KXzXYihqV
x9LSMdmO/oRAOeZb2ya1RX34BR0rUasH12oOJumuVsW8XBX4Kkl+ge4sthPIHvKk4O2Z9IJEBcU0
CFKnyh2PImqzc+NlPyUbrJ50WaxiZg15M6vVz0h9MIjJUZJHQyCB6FOBO7NVWG1WqTW4aztr0PZW
Spf9Xqpwm8ZO6sjSug68GrQK53tmzeEVZ4d6uECh6Ip4WLUk5iCQBjxSnLfCM+75RKlcnZ3l907h
X9AT4ceo7F2vUniFyuMVBPMmldBLOGWvmpEnXSdI53LAHK5kfG7xhdPjSMjPJ+yXCP3ZIPzHFuiD
4PAXnJObSaUDJ5UTTBsSgxXRQa7q+p4uSdqCskU5e8CDpfynsX3AFT0dGg0yspjrSPGNA6fmY16N
sC8mIosh0UXDG8+tW8ExSSTcTt8PgIt8VLntHTjU8keyskFKo44OMqZ2tOWDH3Ea5fN78WiBCwqd
rTam66Aw2nfXKtJjybEf1s205cPOYJmVPe3PYC/SHPpJiymIVct4sMqtUT0ZuGn2aEYugOVf4DfF
j/bzicO9UR/Z2Le7kY5V7lw/J4sfgrI3pt8FHzcKtbY2JkalKMND39v6Rfo+Ze9a+y05KK6lMq0X
UZZeJuMYIRSoPaV74+syI8bYH7TQuqcXYwjqglMO8WM2LIM8cEPEQkZgj+JvQIah1+252wTIzssz
nwgyQiljaNyYLwTABiDNBnZ9ILVJb69JOS0rxlR6+Ghz28z88o/LwGe35Yg39pyV7eotalIitxw5
GhEnJ5mkyNwmPkbLdO4zt3vzlqgj7MgLKzqb2B+s94XbRA+/d5WLgvo86PiHkjN0qFk0BgNpW5fG
wMVXdQ9+O9oEmJIBZdlCqjD0727Msm2/fJaLpm1mq3z32u6NmhcKn4vu3PX1jeNhMoEifjJaeXS1
9EJ0ndSteJ8Wa9njKt2XfQYUIQKM1OXDlhMR1jvppjf16AiFBn5uWkCsNiPKpjcm2tPl+KMR8BoL
ZICkzp/1DmV+jk1Edn26pXqYWlUxywB4ovsaW5DRR3oPLM6gDYXE2GIhg9CGyGcaj9+McZumT82+
10sXOwxbYdxnA/uUDkOdQmUvCpqdKHy2AUd7UkDtHLK2UIjtMAS2bUHdDhV+GxMmBe014v0Em7tW
kO5iPubAkwYF7x4VxruE593D9e7ge7vUB1goUY1KNbEcLfmbrQKCD8MZqWJZV5DC6S+LIm4WHs9f
DDTllkqrQ9p7F9l6R2funzSY48Yv+PhyrAZg5NDhi42jAOUJd+ch1g6GJs5TmH96CaHhAqZ5KoZ7
KoM3UdWTNMZ0Qr+XQqA3Aq5xY4AUbT5pUW42xL5xAljNxcGXA2SID7JCqmPBTne0nVL3hWrgtOLW
VQB2S6HYE5jsHFPLnVUKgLDJMLIfH7n0fkHcu+7ByeIvge4IehLQewbxPcLjegyTed/4Y4/06+Sn
eK4fYzooG++5UNj4MgxqhZFnLq0DqNLuFSLZeVCw+W48uLDn+Z50a9dksi053CbtsrEtQPUstZm+
rQIsqMLY+wpoX0G2HxTiPkpzlqJQ72fo95lHQK/He05MeOHwrCzhE7D8DGq+Dz1/zoY3EnD5to+Y
K0wLNJlC7fsw9wXs/bLCXUsse1xNcPmN6a2B0h9ScnG0yN95o3lw0FxXlXAA6JQWvqGE3HybAx01
0oswxbPlwYmsBicosRloncUuDj7zZCboWy5mgDShBEM85Aa82DHqr75+xLtZXloLf2LdA9H06EyF
kZVt03ZLlbd5Li3tUSzlS2dx1Y0duLnQgr/t2vqDXThQJn5MZazt7cF6dr2j3ufVCa5X7syPswrZ
D1ONS5vqy8nCFJhIaElQhDk/TT+mtKi2VpF/1g2GrTx5mjx5DaWEx4NmJXIAs1C+5o4VaD21oEzz
8OdSCPxZtscykZjRurXFO2Q0Ggc7nqlDMzw0vZ4dY/bMo6v/FHS3ITJweEGq3QMjZX2eQr5yEsCR
erlrcvfO0tep6Wd7ggDNoPFYXHz6/gbUxTKdd97cs9NimFl1DcQMeGbMebV98PFEMNARNmxKmh+m
4WHBOHEzNO53V2E9rGz9hzTLGsOAegTQRwJNbDqbjreSOJBrUzOe61g89DSAcBO21qHN8bCM7mJU
jJMQ/BNNn5g7zxvsrRsjtFeF9ezZfbE3pwTWsY5amBjz82YwyDw5ev5Fhph8JIz1bVVOcRAV98Ws
1+tZwgcOm/7gx+7b0g39E8BqHlAePQshjXEuR4vZhQmVRDXhVRGYRMavmecmqK5xi+RULheJOXs9
SI8iFZhdmz7nQRgbi3bnL+ccab8aqUrN+p6yV+mzd3bnw2jE7q5I5pcuMeTRmcLnrnO50/uHdIbo
VM1JstHrabtUhYcs+DPX8CBS+byOrNA6yGRVG9p0S6Qq341uXawW2625LvgZNUUxXZbyuY1gdpcs
2k+ku3CZU49yGXRQCx7+y4PjMPPRYGnyaT5jBAKV4BkvjZ51SPT85G1UbceEd3aqTMwzmBBjZ+KY
7TyFncnL6NETPI/K1QLNCHCG0A5df007gMi1q73F5Y9sxMTPdhMAdOlp5yjvXwfZ8Xi0ZYkoLcpg
8Ydpk3JijPSfUPa+F5HfGLUaVke8u3k43zKUFnxI3pomNhlcZ3LZ4sdQ1LvF8vsAVIi9NpVJoyoj
RFPt6kdlFaDlv3adxPJncAKJo3A/VfqX5VKAJrlPzl3Z3c49n+kQh2xmAH9xm+ElBTW7XUT4miUN
LGfpPxndTOavJLe/NFm1g/F9kvTVelV/04kK1XYiW9BNC8XlnknbCF4Br9tKKkqqDOOrWwzL1rTH
G2NxoJSX9aky2YTJft7YDWWPDlq9cXWoVOJN1m/k7BKkaJ9i0AZ7vlz2AzczJyz3i3HXiPkj0poL
RNjmRMr20epQkIpQc1dj7siVhENG86T9Yuqc/bP4FmGSI/UE9i+qXh02BnmGc0b0WRQIGjVWVoFv
Pam4o3BPwiM7HrOkyNbImKcG0llh71jv3I5d3G4t6C1RS7I8V8ZxxPr/iAP/UtRWJ+vquap+958v
nn/5H8v//q8/eSB//8J/JG51z1D4LYdmVk9QWPGP9bP7m2UYLH0J3OI+FIb9JxOk7/Ef2D/bFm5I
A2vi7yZIYWCFZrvgqWYM9sX/BtML0utf1s+8LMvlBSBFsHwm+fvn9XNsEjOw8Bqv2tkhWBNqN9g7
ooD6KgO529xrvl6utSXGAMNtDNv2Ry5EtGHDsmXdfOJOjsU+VXH12tuwmr20EYtiuI/orR69QBGO
4U2BZTlpvxLKOOfCYXVtxtGmnl0vaHB62cCmnmlF7Cz7NrPN6BpRnQ4IfV3PZbEhulZwiuYeF97N
swZyL74vksBOpXlvzTQGOKNj7gon41Jr2fO6mT/d26V2GP2nycy6k64bH0Y0EjEpnE2sjRsd3uBe
WPQ4mNwhcAFyqJQ1Cxnsb/qM+Sl0tQAt5a7V4jcyWmuegO8hfaWBbdpPmWHts7EDINlwFc4vnqT5
CubOwB7FoTRsWzvkl7kJTqtKstGMjVOWaTqF884Tt8drZBvLVx5NlGmxTu8148pMt+wp2j7XdUsC
L3T2UpyFMeAYNzR5wERu88PNeUE1GE/QrnSIavThjoE40JKl3jA6PZuG/hFT4b0eIPgw0LTsPETR
reMl/qCh+MjQGizmKkwAJ3VUOhFHCoG0hruhYboriXat4kiZABViK99zblHrfrbMYURKbIS7hgbb
B5G9fKURiHGeq/gRhtOQMnYJPj8hIzPbX+uhGHoW3/508K30MTMF6+L4xsq4FXpGl4GeN7x1GC2I
7ebj/EjlUMVvvcUvBRSDDCMvE7bhVmNhw94CrUgTb3qDiWro2JKEiAPLUHxHPYXlyB1gCXb9NH5W
1lweqq49kNjaJszGF+Nq0v0LpIIbP8PnsvKHAWd7U5kKX7Dy+5HHVqUOemnFZn/EWBfZ12YRG56d
ES+YPqGKM1SbOt5moKGgGSV9TpHXcvZFuTIKkzaI1sEb6Z6EZjwgHhU7aYwb1jojD0P7p46nrXAu
DWyy7TSFD+FyiSXg23iy6xtvRs3PyAuiB6a3WTt9jRPWf23OaB+A+M0zmrRYot8MNo+5nEYUb3pq
5ma8ab1k24/tz7icC7psOTGG4g1K502HMhCkDaJd1MPIa3UP14SPOG05Zs8r2owTBCRZ2Idcy5ny
k3PK6pvIo/lhyvJDq8u7IR0RzV2uMxbS48J8mDtGuPVm/GKtdXVmC0KFzZvk/KKHMhBUzrKmdRuP
YhXdi0FP1/gTn1yz/7X8njfUP3cIhYsT5HrCBipz9xLQBUFEPo6a6NA8riPO/xUHQHvdhEzwvUH1
vAE7lb/Itxuz+1bLNv2gE4Us3lrr6LqFSxmITRG9Fm5AUNE4E80uS4YnW4PFNkgJCK4yAWByJHeG
odoyLDwUYVvw/8ZinfDvLFXI7mzSAwGTa9WqycWmtYDPiXZKwLAeuIbYvOcL3VbpjqW6FURNZoCn
7W5qJsagGYF3WIR3Npp2iVzN3sbJfIW2ebSGYV6PQqyhkfLzteyc2qT4Oc/kS5zXqMpuXGSTMEuO
fdbckr95nbIyo8IgusIfS1nm6t+54V/TpeXTJocHQMIkV2Nqu8MCEJk2Y3vA52FiSOG9zt7pKumn
ekSsYrrrKL/04W9xKTxn2GM3izJboIud5t5CtUrwGCcJmVKztttAp1rdXsIf1VgxjoNuOzVxuKZm
92HIl+R6X4+iPNZDfU9l4FkzyuxmjiAYvaF3cgz0udhsTJf4PGIH05DTpt7WKWjLjR6rVn/UFGee
MhK60BdBa0kaNR+J3xzKod/XlpFSgpCRQKEepm5Qp8eiuF0ya0YLCbe5VfDxS+rqMpQlJQRJdMzt
+hshRPXOpWhw45ew57MNeqheoNVM4aGzgCDQR5PlDUa+jBqAmllXYvlYwY8dtmEmAGtdwxq9LMvt
M9r+bT6iizTxF0+Uir5F5+qW1YbvdpUdo/MYGfBfM0NpUe68orzibhijH7MzbAggbojDUkABGpOK
mFoLNMeuN6lWB5PuD1cbG8HeaD2bNgYmQlKlAMJkTskEksSj3QTgYxX7xou3Ro8bWOJTdBas23W0
7HLc4oyTOg54VuW6NH+Uy/A6JN6OKgqwPzCnm1h/TBNKAwukb5+wjp9h5z+BBR5At2jjKga37WPS
whMvs12aRye3tbujadj3M3mxRU0mJJJovsQyTIKQ+komzY66mkT8rBCzuAVp9sFp7MdhuvL4bblr
5KCj/fY+rfq1nqefg8Wye6nJinLGTvEKd8h7WruSFP6wF9lO/XRrkmJgOdYBFmxfCqZ4WIMkJPNy
75tGDppOrzdulN9MwoX03cXLTe/732Xk4kWpxGvqciWWrjRRn2UNnJd8behtk0fqrqzdLCNCotqz
HVkHUpvdAebYQLXCxs2Hx8kDV4E5tFXJA47u5jouJ66w0IVIxK9xEemuZJwIMLXEbDZQ4UWdPI0c
TeKJ22fjOluwleWWjXZ6DP3wDB6VmbPLcCawOtnIOrqZpzuRhfVOhq2/zuC4hWXL4tSfUV+yBX/S
on45E3sSzWcEPpTJiL7X6Efdya7MKh/VMnzCBGh5Zo5PsjdneB0MEJVfHKI8ax6W8Ltwu+zY8AhW
cD/TsOQxktA0KQDYp65g6izIHqLGKjvCUfP4E2fCeGUX8jXlQbbx/WI4taYexGlydLDh+MgQ0Twd
C0SCfaGKmIxCbBDx3+o+hSRMes5ymqPo+QzxFjOhhNluFuY1jaobp/PfZuD9ft9tpBQC8jw8aFG0
nxigKeEwqcHo8VvoQJJ985LI2niQKWlwp5lPJlFrWWyjykMupBuJuY95OJndel0l/SbRIy5k+1x3
uXvAu/f9n43nv7bxxGZqMkn885lmN3y0X38aaFyGjF9f9I95xnUdZg8+5CwVHWGyUfz7xtP9jWHE
BAUEL90CRygYdX4vomCbyb8kdFd4v4aWf8wz4jeQQrb6M98VGG3/vep2oeyyfw512bgBiIl5RM4I
kf2liIIBG9XV8HFURPR4da9W1OfcqGnSJQ1GpxnduklJE6WYLZaAWlNfDVls/M5yN8vc9pxnlgKy
f6Ot60H1MUesprAGVD8q3UZZrT4bewJWz+WjccL3EgzzMu+8IFR9wCXFwIMwn4pGp5fLmFWps/+W
qxZhNRoEIutPiB4UwTcH2rKSgBO/cZjpqFtlNdhVwEDeerD6XR42FzsB1O7kVboZc6JCnHqjdToV
/Z6WjJiMio+/qeMhYEiYRq5zjH0ilVQj01anepITCpNJ/qQUaomHtJuPsVgkj1PupG5Ez7KrGpf1
NLT3qe/x1239p+XY35mTOLtGzQTJHNtra0puARCRKaDNuVS9zuFL5ffHVgcQX0lvHan+ZxTGG45v
BTZC6x3wKFiJMtfXbrwcy771b3XN3XAx4y1rVOCDYYPWnjjjMGNe5ey8pKqJGqfmB/G4kchWhJkQ
id5SvdUIrzhquBFOlgmmQLVbx2qlYFR9d+s55b6bilXRd9FtzZE9V+3YownrfOp/pjq92ZYhTlh3
yJ6Xj3rhjcfGMHfSZzeVGVgwmR7fLR9p1STxtWIpwsiU27QxDJ259zrvAgMKIzZV3oPq9B5Vu/ev
X083yl2pmr9pBmEBHcn6rLH7Xnq6H+lRcqjQZsOsq/bwacGLQ5u4tOkVpwAFaZeqcQJ1WG5U+/hI
Q5Bl3aRzmtzE6n+iotlPg006m/0e/X50oQmoxmGtM8GoJaE5bLLBgInqkWl6BK087XO/IrgyDxhm
TS2lD4p8uA5kflyQWdHEyM3lCOFAaFd8OmFxhGOKImbf4j/3VUvezST766Jk4zGy5hVo721X1fom
XZoXoCgnvFv7NAmvBWsaygNQGu3Ox7Pim6yZiuU205SZEj/AgHtpROcqrR3ylorBkSCORHSgS2w8
OrEdweQD8CmRbQHS8hZpzfvkUd8HjhhyuF1EQcO6EKDxQbr0dDEULHv2ipwpRPwZ1+Z9mKIE28Ti
A6uuPmq6xgPkt3nNEyzdUG/oHEVWbhVacbukJe4C2X6ZcZWtdV7dKrtpyoIqAM26LNywgjRLIJfM
jXF2ONbPyYgDL0Ota3KowaNorm29ZpvQbHBgQRQLFQBLL5pgohYNH9ZM6JN+B3NBu/Si6VAJKo+V
IbGVOCYGSJKNXD4KHV+mHtF7a3MxYD9loMKY6XQutYAN2494WY4taRPKON03KelVHv2TDz5mHBbq
qFOPz1XdAg8cGIp8e+xPg0Wj2dg9cZjdaDIBaRM1UMdanUKRBCxDJt51bcqPWluY3Kqa97Iak91s
iIStMv0QhW/dhvLNrci6NyB+UoJK6wzRx1bqj1+yOeaert1Qk73ReA436oHc2wANeUDXPKlT9ciW
6uE9q8c4PE78IjzZ+QV56kG/8MRHWmE2Ni8GJwFbHQnSyjcxagPPcPtPv2ED6uQYIkN1kuBE4XKy
yDhhSE4aWW9mGCniLQ0YkCE5jfRd8dlP9Eb0Xv5G5nZTqN2xUQ7jPuYsw/F+7YiefVd0LFkJ2K3f
n2CrkRS3x1c6iXBJhmCmkzmMj8x4tM2x7vL4k0XnNBXl3h6VTHKPoPeUs1apDl0i/I7VIazmJqR3
IAQaCwP5PPVPjTqy1Zzdsok7NFkA/d7s5Vsfjx9O6tJo2dgRthX7sVf0EWz8OGMNd2cQEoba0a4b
nZ5kq3swPevVmvvzTNXlSvhYfwc32zbxNdHNjlJP6W1k1tkAaghv2RmmF0t0wahDvB5tFuG2hRsk
b1makPe4cResczrLv1Uey/ZUC4wVpoY7sJgyXqWUuzxeKFxbYopoM7T3rIQyUpviIqbCubZNehNp
FHNbgkK0SFHAJy7x0VSGmSQ7ZHwjQJPUP8LEPVoAUee0vlg8DHhF1c6xTZ5hVdvsm8nfRv1myjhf
5iURZy1kez9l3iGRsscJ7IWHpOqurWSL2WVcBpoML2FcH6k28z7jYn6NjsJ58iRFTBW21LmxDplW
TLdjkn2GAFZXDfPIhHpGyOLiVKPYFoWjP3sjE1df2GgWHFY2JtyNPZLGkZN2ESBxDfUxWXpoAiD2
XGxJy1S/awIYeZ5mMnDz7krnJ5GLPAUDTvUNbdf2c+d77w5O0U1rUZJU+/GVYXTdUPMSeG54bnu+
NJ+yZOvzCNFlhIc8SnealRySL2711zm3r0ZDgBGcsgzqESBGgsRhxJ27J3b2s4k8nMZNTt01+7qi
hoM8RSOAeQg9iXB/rVZdNm7+GbCMs+7HajcUhC9lhE6UGGyoC5+L1svPI3QYLOY45pVZq6q1u6Fw
ZiZSYzcwyQQjBcRTJY6TmkJ8Y0SFrF7MVPteSpPseMIuGV74Y8XWpDbM/qZMX+q4vqtESTlSyI4W
QEjBIohCeB1bqjGxWixr476jMCAwhAO2pufBG074zaERXeaMRz0n2L2T2vtG1bfO9LiOqtA1VdWu
tSp5DduOa4InHWgcsY9kNfGY608T2OJWD6EKxfhhbcIMktb2mIfYLw0P3SDVtwLkWFAlOoYoM9yV
NNCWhk160dPXDloAfgw+CaquttHntTfQ5BWy4J4mjGMx3ba6KrkVtN1WqvbW9tvbNqoJt3R1eKyu
XkGnKLl7AGXWu9FZ4pCQjoUGjG0GRzHdkgs3nYR1+UoOC03Qi/dtzC8Zbbw8825mVc+b9xT11sYL
GLNVaVLgu9Dk+5+p5l+cagxd7Uf++VRz+k7a5K9Tzd++6O9TDT0pwrRY+gA3FS5o1N+bV/zfbEgU
VI0znhAWdJw/bGnEb4KoocoPurrDTPQHH6f/G3FCJh1PQDMV7Gv+nS3N/9zR6AqJ6jAmUfRnK7/o
H0EVog7xLRmGCs459wDi+PQN2Vc7DfdmHT8uwxT+be9Hmfz/XvWiIBt/maJ0fKiGxSjHMMdY9ufv
yKHB05IYf44/ZxnDOs1CdVtvfGehX0v8mDTa3eJyFw3xxvDcD3ZZ565Y3nQ5Bn94p65/G9z+WDrj
/PpWfxzoXKF7kGAZ5QQbNMf9y4IqM8nI8XjDOFVXC3BVh/gaOWa8WFuni4ydm5PD6ccOi2HoPwv0
Dg66+Bx6LJET5FpM5LbFpZ1SFA1Bg+acgEfUuAL/Ve1b6z6JmQbbssqpJJOvS8t915Ie8XM1oEzl
PpUzoezCqv4/e2eyHMtyXdl/0bhCFhEenQ80yb5BJpAAMtFMwgBcIPq+j0/TtH6sll9Sr0iqKbLG
lJlkIt/DvYlEItzPPnuvvU4LBDl77DMy9zzn25bTFNh3uAokeEL995pfLfwdtfqvlAkA/FWRkGcg
YkcyRUCyRpXUIt17LftxkysnAVXKGdhIbZ/MCKdu8KI7PsiNbn6p45LURjXv8aHPSz2eLLYPY303
Jvoi9E9prWkXO7Oxy3TK2aA8DpFoY1jz43wWZlHvYuWFMJUrwtOXBF/s5aD8Ep1yTnTKQ9GkB8cl
N6grd4WPzUImc7s3qB1JlQNDSx85tsMlEqq7SVy+yaopfnGhjZcnGkCmG0b+59rM65VU/g5YujdP
OT6kh/eD/nOxZbrhKFLOkAqLCMb8Fa9iZfcA6dvMfCLwJm6T7iuFDREwGk+hcpywgEM9bBBRW6IP
ypUCCOJb/+1TwbACVsKhcxYPi99RXW87e0uHGVQrn4vn406UaojRlAtmSuJftfLF1MohU9PzUKbp
rqDqO5eXTnJbodulV84aTFfsGlt2DuwulwkP9eVs0D/CBFUqZ06LRSdXXh0yMBmvh8qUnGp1dlsA
FHpLMQIC2kjMgcNfbyoiKxjXmtxNtzrdw61+ZgvLfTa5VniGLBemuDIRDaQZk4ZohoOAXpQm9LGI
uKiyHpHrM5WDYHxGslfmJMdjr2DdemVa8j8tZWFy8DKZmtXuawE+0AsEpgmtfHG18Oo1ujihI2o+
liiS8Jh1ExrEa+6pDsm+s03cSMMuowxVmH6faIeL1j1eqx7PlYP3KmitaVHgxio58W1lz0oicQtU
Hwu+rVwZuGxl5eIZgsZPgmNRK6OXNcLvbNuD62WPsxl82fhU/CxzD3Wwpfjuqbedfm17wafG03jR
jUSy3PkR9nqzySUUYWo5qoy7WSaPlll+mlQdUzAPDkPY0UvHYDvyElajm2qLrA7HZTdp3nLE9gyg
q8SYSUFa34C57BNtF2gm3NJJ65Zhb+5n9kSbMQrOYRa+MYTSN89PYtTOc4nejUsG9yjjtFeeaeT9
oXYA9Yau3OQEzeDm0587EWJ0VKFuQbOu4kH3evmFK816ogEhXfLoYt9UJt9RTyPwILTvNg2LFcSz
EbuLytyoIl+TCxgAifTo6AB/+IaQfnLrMaNDZsm674N08SkzeKgUBV1x2N5dCplqbOeNeClnL1sY
Bpm22GcVybm0hIgF5g3YzGmmCsSm3tN3E7TujthL2DtXqQqLZ1VdbNBh7KgyYy965mL7MkkVuppH
BRmsl6blaYtgqE8YEsxVLYYDPiVqDoI3YoY421V9cmCoGBZ/F3E5f1vb3sNMcoiPEzfUKpTNkRrM
ZUn3a6XVag+tg9pvvfxsGcm+CLE+6WFRbRP93mJG4un62GbiA3YQi+Gyf7VVCbRUddAe6gh6GRuv
nn3EOgRposqjXZHeYlUnLVSxtIPD5mAO3Rsh0WARgO5JyuwrKsC6tD5bM2Qni8f6PlWV1ZJP3gIg
4g2x/mQ5jXea2B1WM51VgT+xA8Hit8xwvG59iQk7tqjGJtvGCFzYC1j+GzgTAUQnMsO1qtTug+kh
7CnZDstXoncVM21/EaqG26EDMpko5s4lFd3MdhRHZ2+esOttCkN6Gce0ZulyoK2zt8c1b7gjCm2f
6xjIc3rA/QZLOiFMehtGVRNu8h+gxuZvIw3ixKUgmapS8RC7vadqxnVVOJ44lGC5rnbwqapcFKqW
PKafvI29c0KHDvvcnvoKOswDjzJzHzsU9eQTdtgER4Tfsh2al7NdZCsMiTx4mv5KpiJbiFmnKJ3G
dLzo6Z6TFE0s5oLPOgkOHvg+VbTuqMp1t52PRqOdKZEslnbLm8bnsjpUChcY6yZNWbW9LVIm2DZQ
5Rta/G53mXFqrefM8votenK3ytPhNa5mvkp+C8t/rb3iV4DRbjGCjj2aDXpWW6EMSS4jLOVMHgsW
9U7mguKXed06cc5FpX1LY74heDgukol+P61KjfM9hfKVa3jqSmLHpBW/kun4+z9X1vg9TAMuEg9F
KZz5phyy0V78keQhMwLpCaNDAi5ge67J8hBRSPy15wwJ0HR3l89YOGk7f56oQW/ce+1nZAOKOuPD
C53lpu4ramBtVu+tPryntQu/0+heZiewF3Y8PDkWemgfIX+gKXCs0/1TllG5RF6n/0SEv8opeM6Q
TJNF80xdZksGDfJWUFQwuEokKOktbRxgNCxFZFUx7vl9IYjSlddBScIcjEg9zlqPAX5WWmrwe9E/
VR7pUHFH+J+/XJhvvsQdHA+8V7b2A4V4D0cFaJBThsu4aW/ltG7dYeV0PF2KlgME+ziLQb21FrL8
RRXUA3WiT1HHnNRrvB+1zWZ/yMGPUs6x5HEFB7Kd/IXUG52NP9+LCbOmaFPubTEJBx594UqTT1mk
LyVWBdZHFaNhEcglccp06WcajUgFZc496T9KddUph5O3NPR9GtMxNCHxz1XJKQ/xQu93KhrCucd0
l/lyOX+ECvUjev8j0ZCR6qT8LtS5Ht2ZquElbXks26l8ZwIdQcB1qEbapiPjGXrFR9IkVBqXqiPo
m5l8AgKg48hJ6gfNCU/jPKnGe+PmmPJp0CLelgCsQjQitBoXH3tsLPwnrfV+jeVjn0dPCHCY8TuP
BhUzTtZ0jgI7ID3YKsV18q9oCvfSyHgQurd8VtYNS/8KmvSpMa/4im4xO3QIxg9jm9unLDnEkb0V
kAYWIr+GQ4cwywONlHsJZaGLz7MmoIeGFEMPLbVg+LSaMbSWXo+5sb8fRFXw/cTmRtPhJLFyq7rj
5FfjmnTLTyhp2W0SiOVm3J4HvAhkWl1u1zae9Hgsb2lRngw3kGSpisM/p9m/d5rVzf+xR/Qugiv9
n6bZ31/0xzTreiaDomvqLvg+rIV/7OiYZnWdzyJ+P51eeNMz/tjRkUoUBk5FoonwcH6Xhf7Hjk54
/6oKuwQunD+jHP+RaZaL7d9Ml67OOOcAXoTi6Fqmx+v7y3m2gDpjZjk7Ots3X1lUdHTuyqt0srPt
ofsEfnMhOwRvo9t6jnZ0g3BnZDkyFxCpxVAKbllkdxH3V5EWfbKkhBHgPPdxp/L7TBJak23sQT6a
mrGjyuinpHqD3MbFGu/TUd6ayEtwtfMMkjOrCgIMi6Fqvwq2GQQGf6IYbRpC5QnADtup6jWkWxHk
PL+gIwJuLsQ7C5Rrb8G9nu9zH025C/kynz6jznFvBrofDal4AKgnbPPiJ6bTrwtJSI/QrDsXiT4E
+aOmkTIMf81I5yRLkmeXdo2F3ZL0wURtq8NymIEszrTGxSLjmVf+OKIHg+KwW9QwPmpTCOewcN4J
Ujw6F8MCXVfMIcyIlmV+1ww/NNg95A5WL5JHxG+mc5shJfdotVjkI5yOHud/Jsi2Zx0UlvK+iWyi
T5RIM0O5V09UMBPEazL4nHu2zRM45WYf2p+6w+6mjAm8YYvYQXKEIZG00IEi/72Pz6JsAMR767LG
kx7T4VGa8Fss5RyJ2bJRwe0sYZlrKtveKlrl1g604I1T537mVpzlkfNSRSlpJUlPghN7/DXQhuK4
eEYHr+4GuzljMvrICYUiggJlR6pQPYuzF+y8HmGeHsh86LFua+19F17opz7ABTjPOLxLZfU28Xx3
YQDirx2PbArmzZDBxMHOiu+j2wxSbHstsQ4t4rKlzOStspXjozjO+Mw1X7ublPG8a1vQmBPFdZGn
XXVexg7d5E2TYMGFObwk6lbCAItUiqudyqvmPtKJINio7iPOd0AL/m7EC0+9ZrEip/hK4Wmx7PDL
Z8o4b+GgN5WVXlem+p4PRq9/sp3T13St8RL9t1HZ8HNlyNe9/hW3I5NSnh9ZxXzTzPij8dsg9WGd
kVBjZmap1Sqj/zD1r5AygnMdQpTQB8ATUf5JUF17S8gJtO2DULGBXAUIpIoShCpUgN8Ji1F7ZcAl
wuPCS7FScz3rEdtTN9sYKpwQ1SEmNfIKcHq7haUiDD73LldlGlS4wVQwymBMzTM9P8Yd6k9116g4
BFGdGxhJAhLUEqxCN2ADrWQWRwkumZJeKAEEy6zkmDHfeSl+2yKw5qVW1gRttf5Vsyi/qWwlIDSP
JrV7u6rW+4Xu4u3NMmQd7vdagRgECFuyeSRvMZpirxcUzsW6e+NjqX7RkZMctuEkWBp0CfaRAuXN
C8J5G2gFPw0OvDKoT5pT3+D4ACRUh+L4+3iksuzsTfFbpI5OKKI/szpM6+4I68U+zf0qLz1jM6pj
1+X8lf1Dq47jHJPSRkb1a4qpjsOctcxMvnKq8GS2+GYjdbBb+dVSB30PBct095Iyv1OiiYOhhbSW
etV9TPVXWejnyJFXxThvJDfBdQIuDFC1vWRXx719hMlSmEe7nykZy4xPq0GyZpTiLbNg4EioO75d
32Ml7BU0q7BuafR7WVzGFK1fDBuK38S7w2eRP4Gar01X5+ep1F4CKxlWwvbAVY3H0ZO7Ku8g/XM9
0/XhuYSmQSrUw3gIMjPSPoC1MN/ZoDqiar608QBWgt6EKnYenEp+O8CiuBj3T0XlbjrBZpUmEVV8
eiSr82Ro1meRPM5e9NYl8cugSh9GsdYz6x6zJD6zMw1tbKZZ5mhZppa+j0XsAesCPIn7DFKaE37V
XGfVnzA7TrvopwkAvGuQDxk/fY3NhY3QP1ORMGvGvY9stMiTqFmlDjT5pgOlRmRIAdVHL0Omofyy
Ne7n2vzJ9NmGkytnPIorI6TliPuvp3adJLFM3AJVfjbwXC8JHY3EgLn/N94OlzyzkZ/hReXfMzx1
2FTlMTed7SzCL/UXWX1+DvXCB1K1pY4wQZvpV67NYifyQyg0rIUXGFguUdY8Rq4MeV+pLp27+l2k
5pHN+i4D6rugtoJUJfZQGKDMGKDUv6m1wieWoBGKiiSxbhHEG+/YkGChwaPBerMS2SKtEbkSI6IT
w9kVVXYsNOyoIBAhboSUWPQ/op2TFUb8fuGaA9QfsmyaOE9+TDOc3v2U5MHDhu6FkbHRq9MPt0/3
jSdujU5A9X+WjdWV6a8EbK4Yprpa2JZA47U9BUb4+ngEhdf8278Y/yvK7Ul3ClEySPPSzQxeQB8u
rHDEjWbvuihjvSSMDyNIHqHBkOWMTnSdLMuxepAB360Yhh9c4GTSj/ilWXuFd1PjHEZcgyRBk8Vc
LbFWyOm5lvru/+u1c31zTMxWWPn++rXDOHZnQgVkLJ22WnpNuRqU8PP7rbbK8DExnX1Xu2fm37ui
G0C2b2RyKZgATL35cs3mPXIhaMnogJfpOlX15zRtfJ3nMp9NUBCNqicR7QJG7qFMp+3//PLFf/HW
Y/TizbeQ5oU0/4Y5UTS4bTP11teAzJa9W50HI7kOk4MDCxso86C+CCbos7NBCWgb35Gc5JOifksG
eAoLUcwXPYWTKqp9PIjvoeXDzIP63A/VzsuLZBlC8VpYNTvPjF1/HslxGQe0aRTQhAK9glFLVG7u
pYOfuH2oUo9VLmaH4AnwCwWoZrr/57Ty900rJr9n/Gr997u3h6JuP9LvoMak+ZdVhn/+wj9chZDe
1QKOAI3NACL5TP3ZVUj3oMXmC2AD/YRUAP/1xOLYrs2oY3KuCCyEf6SkmFg4w11L5yvRpv/B/Rs8
zv/0OGHxZ7iuqSJSvMS/2cD5MK4NABkZPES8eg2xBKLi2kzxA4qI1l2Gkf7pGCAy16RtOUGJdR10
xcAsPxymHULGwOGAcHWVXeNu2PYuE0mX8Mdkrv8a6E5LBKnaZCVqH+la7EY6ekdUtdfGj51dYpYV
f5iz0kX5XTYnJ3yKJucnRsWm5yMX66Du5oVRGeC7/OxUl/O8sfzppS1Zqs8mGQ8rUtYxv6rWbo0+
bIDnXvYRIZpm8H8ZoPdqvGWvbq5hlSJ1mUYzNbPiwW7yKybJx9p0qm2QnLGXXKJ2Uw3iOS/MaOWX
0ZPbWlzI+02JtEl4dm620Dq+26YGXD+Ow0pzxuDed0fOnsb69mkfoQExT5CunjpvmHae6Xv4HdLo
MceOntp2u+3M8UiK2F3IGA4fql7D5QCRS27MFBBwJ4xHTDv9uiAFOoI70DHS3FfWs2FVOaYHLVvN
Mr3Ek27sIxh26hJaNhVhAlxddETt8qygqj6M9K2phaso+mUCm96H6QhdbY4yesWpl+x8Z5mNhb5G
HSvQTUhM91+y4P8BtOJuCzl+ZgEXelpi17Gfd88gRm6VQiNI8iwnp5CnTEEeS92/9KY7nK08ytZd
nHwz9vXc97LlkNa4Xiwbp0aE2qhP49VLTMJ0ovgSHbelpi6vyWRdfPEU+3MAvaq52aKK14PnotY1
86kztTU/ap9kW94tO7YLQwXqkaogLmM5rDurY96UfHJdBhgNHtYR6t3rMJBFyRv5qVfdro7BPPgJ
lfVD0Xw1TXPXNQ0P4JpcDF337jqIxLAEp0UQLyTglvNDmeOYLuOeJRz9KPaO+zuM5LnPplPnTcmS
TpBh5yhaQAdpZW+PximZfR0MTEsFDjcJ3lQsn2HoLaDl8Fp7ZzXV8EchB+BiYiQXPRPfZJq7plIr
tnzQ71LGbbRDThXyakrPpFAza14DuwhWtjXKvY6/hzKgpWuyAqkZBNK8MfhbVjAbzKO0p12MWwVL
TdeBPsjXA9dPfr8q/IvpeCmDwlqaNUuB2LEBs5iyQMIzExRD760aYpVByZZA2rkc4jVi8CBeUK/m
QptWxEK6QyimXaryL9xndMAbkcUt4zeJ4zeTQ9E5aHi6n0J4HaYid8RlehMZLI8aqIeY+s/OHDw0
CHgfNN1xe3O1axsZrBnnKT7ine9XCc3IVmMTnugx3Muu2hHHAqGUvct6qBZaCnFW4UbAjtiKP5I4
+dFqq5PTNiO/+83bAKokU8ySZv6qFcNEB2YiFdWEPFK38xTpBFfWU6bYJ4DTNIw8PZXhZnsD7Q6i
QrFSIBoBy/Bg2HS5+IZBdUwcFlhNz56DAf2t0K3HUdFX2NzZyyq3QsYheviIDi6k81rHtENFLQQ2
DVHBsNl7WnZbA3AnG2NBH12AoYPtjjCjODBI4h0PQ/ESoHSAsEHdwIQ13WqurFKRZOIWjR+4zna2
p26tg7baW4BnKkWgiUxe2Oyaj3nX7EvwrQdRze4xGGoA7u2BB350ZoPVI+NTCJbm5XdVOTAlCOux
gg02hmLhJM1AkXbPqnxOmICCLg42fOXPAETHQzElktPC1aECcqG3BNkHl30RgRF3ZSgSj1FcRb6p
FZ8nUKSeCGSPodg9OXy5lZTgbXJF9kGhPWllHx/MtHw3LT7eigLkKh5QARiIxlouhRJVQjGDXEUP
8kq11Z9N+iQUW0hvxg+e2V92lXG/NcG1cgEOHbQjXd4hFF77xPwl/Yl5r3KqHdzP1djiKSTx7hz6
3Ntikn1hC2EcTKoelxQG+YssYUU8T32LgmR+Q7YjHKTNtJG1Hk5iGMmj1rdrHs99nX9lpfU+anBk
69wFk1xhq9arLdJUdCrrAb7JYC9iT5xcq7vBwHgTlAuuovmVlgn8tgO7vsjFTc+qIMOWi+IV2ugi
v3kckJDzoMTZ2CfZuZo8uio6Y5/xo7gnSk3ZhPE8gmTZT7V57Tpv3Ldt9+qOKWKeSOcDpjVseyYu
Mq+lVaCgwGsDRKlcdOQVF6pqcAHnGOonfe9TwHY7KFKWA2MPGiLC9Rek+ob/804y9lRpGkk+GRWr
sAE3VQqSrDpQFCLWl5Kgz5bM3mPbZwnr5JyKAkofu2AytmOIodiYfUZbl5SuRS0GjvLa28GHoZ2N
I9qvoL2Es7ymHtDtbCKtO7AuuxvNjIa9wn1h/wjMmSHSZ+2JV20XBuQAPUI3vJ14ZGvNp9dCUsZm
Y2gcpmnfF+PVDHFE6IOD9AJncJmcTSRFwIaJ4hHRUuYPziOrsXWfpwf0h3QhpP1pGd2FswIUTI6M
AuxVueWu429lMnbtY8cMNLPSIRxOuJNEMgEBBIypc95lzF5ZJP0yq+1fWfMraGN/l9RsrQ2LD0Up
OEAZeb+lab1Phv0eJUnMZPYLFjgPba17Gr10vmTYdBwDMZJvpVjUEbJqMCybivpkxh7BY4VtqHfI
I/urxYexsCpeLKPcczIN0Ce6OtxSU6jC6OXWrFN/4xiU4JGgfJCO+1AV8S+ImxHQTO/WYz3azGlD
eR350TBJdFgV+nqqBnOFK2wZm/mXYQa0jTZXEwgLGXgI18E4rSy6FNZm2V2Qu1m2jYw4iND62s/R
gI052Aa9055KB48jl8Mfqy1nImIzMnf7aEb3Wd28IyxQwGCiMga5mTDPyU8qm3vsPEm9zerqJ0a/
VU+e13YE/h5NuJOQURa8+RC6dT7XiB+2Pl38kYcTyI5s6RNbWEd2+iHy8Bgb2Ec16e9cronLpCB4
UkjYb2ROl1Yo272VlR7hLYl/GrXZxjSwqib9YFX01ODCbLZl4KtsSfmc+R+9mI5w6k55GkoGLIxQ
TqG6nOlQIN9NatoLE5xX2i9pdE//HLT+zkHLwYn3/xq0/qYIwfzT1/x5xiKe5WJSRAsRlrCZiv5y
xnLpMiDPxXMY/BGz2B9bITq3LNwJjF1CrZNUPOs/tkKW/q9Ssl5yhcmX60xZ/9BWyPvbrRB/kK7m
Oe4a/I8p+Zv+UrJp6goJC4gaGWGBwALG20NtIqf/6TjTh7Ci10zSj+NEBnxiVPPKfnQ7ylFdzdz2
enfq+pFKUhkyCLSPoZ7e5YF+6QmzLRk82dFMZLJoA33ATRMeJwwfpGetHQXyLw2Fh2FqHb08pMpj
OmGV+YnyBjML9aELOxs+I52MDOXKOwq9GF8UvKF/s4f6u8H/sCDw8QUv7t0emUlm3BttTz+UZyO2
a/WVe463If3B0z+h8EnAcyG+MLT0IjcRLaZWirGhlOvIdNR1ERmvazzqRVmKE+tNlx4tij32EUBY
eFhUDjnmuDcLHo6eVXarlDwnuZhww76iXOY9I2mfZidrphd+zqMNRHTGmlYwY+nDKmkxT+YFV3TS
XHtNNPU6cTSxqYptZkiO9lmsq1nUKwu3pBVInHYsIDhSEuDhxU/LXuAuBmrsmETPZsEEKcp7ol/e
c2eAE5rnaB0iOq44QoH6AORieEjGdcTzBDrEROBTkHAJk3A3lJK2RMDuxOaTbRmXYlcEzEuZQXor
TyBlhtg9nFpnYgjLY+STQ2UTDnU0hG5NEDd04/q5T1/s3Pa3qeTq77Q/xdDk29qT8ggnJMEes07N
7SAtFHfhXHU4KGviDg3B3nE/4aRxXPpbTNXkwjULfZ5ul3CQKNeA5BpGmoL6F0unByb53QhDNcyo
OmLI7kxLhjp27TpXWBvuOomf50F1ywjVMhNTN9Op3hmsbZCfhv5FU500gUk7jal6aggo0Vgz5uPN
d+Z7oRpGIT2Ee7eCPQwB5aMeGHUL1X5jUoOD/4uQSupCYwSy1+rBZexIyM1cwQvVojNTp2O4yadF
vU4sy3PIBwQNmcAF3mGsXX75bFtNTSK82E5OdeNG2+wFd0nct+/kilyiMPWGofWxKR1o7qrtp1C9
PzMFQCQVVhmX3hP5BmIkBR6QQNIXZNZq+Vnr3Q7Q7W3mJFxMql/I14OCcICZ3ZeadeR+q6ypsFp1
L6fuy3Qeel/jC1VrEWBw6mztKV7XqtMIPos8yOhSaB5/NUMLSKz5lbah+AmrdbkdGtdivmL7OWXx
r1AKcAyUKtRUKcGuSXYN5UqtalkyVN+SR/HSbJX2ORB0MUWqlSlW/UytamqyVGcTDUnxEQbh+Mwq
x10GLrbcxvqQ47j3k/TOC/LnKAufaG+GNF/708bQ45v6J71ncVqmd8Zt1ryXUdO2VhM+ETY8poO1
I9V81sEM8C+kRrNzrO46QyPLQuegqlEzNz8msqby9MBUvI9s/qsS3wgbWvzYdxP/a2jpHYuMQ89l
MdC8w+TOtMSjjxT2Ic7LZ6k4EHW5dbvkHMTeexuX/CYGh6SoKGdOb66TX8D77rn6wkEot1rOLRAU
jwtv1Q68Q1ggvGviGFXJa9wVR2tXl9Mm6Y2nAohhlopjG0ZPTpWdWnC0BS5gy20xsXrPeFr3hte9
WDK+7+TI0xJ6X3Wn99lZL8R94GqX1JxPLW/WnBrbiFIvINpZ5xxr2W9EfY0d3KB5fEtMlsm+vnXd
F5fReLBxXJboTHifvrs8eYIwbmX1M51rl1a6t47W1yyaHvuu2YWDcSCN3yZf8Oi+JMjgIUtJobhy
XzveVxC5r045X2VTbVn+r6kOXM3JFnzYRb2Ozpr43YhZpsUw8XWr3eRuD/0jb3Z+G52KiIYJ8ejl
+Z2rDbT3DVfBOZAa5VkLureeydCe1ZpcVfLY3Pl6G36yQ5dIdXHq6Q4/J7E+4A5xd+nybsfsuCnD
8cpRsRehuDMZ9g2XAbyiIIcMYt8WD8xcj4OFkKav+sA5+Y0PJtNi20qxnAspLLcZ6Ewg/3EoWG6l
zG9+srBs+8n38nu3ql4dLcKO1C/60nvgFveudViRx0AWx6ZOPgp/fhIFM4cnPrGLPxsVm6QhlBdn
cOdTphrAxtp77V3kjsQFVzQIqi9jbf6pYzmr7DTDBDWHvkjyR81aGcZcXmJ6Amubx1HjYeYsXAu8
PgVugZYeqKwH8DiH/rLl97uUZbxzbOgETc2WPW1Yj2o9rmstqJcaOt2Gy30IcLlFzTAnRA4c4FZK
6c9YJuUy1RW8uqr+aTL6u+hmuIO4siGW//ey/dN3+7///fMj/RvR/k9f9ofNyDAd9HXTwfmBy0+S
zPizaE/6hUQ/9a0u/0gZjf7vhRJlHhOR5L81DcZh22V90BC6CP/tX4SrRHv+EUq/p1Iz/xDazPsv
FlHK5IRkz+tgmeaqRdVf7AC9QRYxe2AMGInVbWNAZxS7Y5+gYJ1jZFibqnM9o3x9GMPhXLFAcno+
vlbWZwc9159o2zZhb403vPHmcqLOvVC97rlqePfwg3JZCw+l5ly8ocZ8rXp6TNUMz7RVHsiAagu3
t+TKAMPTVMVbDpvkWEcP9AvgGVRd86J4T1X3fKla6IsRuLLwd705yGVKUf3vzKhOdf3ArfW+V232
uaDXPvadT4NC+i0EUi5DxfRYlPOHG9t3M01SC/6WDtumtkxCycPEZ/u9N8ZW3xaWtw2oIYG2xjVA
b2hB1+ZNn1fx3g7sYOUm5KNrulr5UQ+nZIjsvZFWDwkREypG8HU6VhZAxdXNYxLy3ZvhLktif03o
N1w0XffKDodQ9qQfK+ZQLm/pLWjcbm14MXJnAR8mWPiVFx1tr8deINJJWbunokvXncRrMMAApku1
fuES+Q60NUAmsMINCVSkT2K2guQPTmC5JHqNNNWmF8eMyYSq1fwUn40SKUrM7j2l4hdh4lAlv7qR
obXq420WZsZWr+e3cqKaCGXz1BjyoZltsZW6z4U4pg82q9m+2BYA3Nnw9zhe/AXBcwevI+na0Mcg
2tFWWxvYFDBLs2Bs7jtxsWJy9IWOKb/Nms+gz9IFOvBZozlqBy3rpEVTumPeuRazuNNsjXgmQzgR
ALmqbZbsyC3D3k7k2RqLazoP9SHF4Lks6vqoQ4RG7tTNRebF5R76DuTtSa+xfuN4AE1/qxKOjZhb
CSncTHbJh4E1YCFrNKxCeVsHjfR56M5f0zjG22lsjwTLSZY3qAsyjC5xPXzP9gEaC1NJytEVp/2x
08L8vnPxuk7dZ9m9Ssg0u1LG6QE31caezK2RJVuJxWjHkVCtfO+lc3E4F1qyjK0Rfyvkp7VhkRX2
44g7rEMmK2imjUe1clCSY0dhsO9baYQkoEOAwQWMJk+f64dAzgwRVfNa00V3ZRZ5yicgbnGptgCQ
fysBVJbwaTC0xZ67ZbDMrJIdecSK2PbiG42o6rjAITNempoMb9f6xo7zlXc53rcjP+rQA5JnGOO+
HudxlZRzRFwdtKakLiCuxbr3Adtaw3fUWd6uaox60xjxsSY/a8+U9gJ53pte4DxMpb8t9czGc+O9
4/rwt02aymPCpb21RMy/Ku692dG3nmDx3r0VGYYmpw+2fujoz00qf4munUitoJa7Q3sKst5bhXw3
4Abho7YV9Ts6BcSaaO21mbYB9hKxTLJ22gfJ+JCU3b1jiOqptvH8NzJ9D8tnHXv2Qx/oS9BF4R1G
HgyNFlE3kY3HGFD6Kjd/8IgA5zLOTl5Fx0RY6bqp5T4y9WVbyasQo7v36sCAbSd2eo3oByngx+E1
HYmmLKbR98EDdI+eKkaYaUjQjRA8xYDtMlX1CaClPv2cyyJmopSEoIbLD0dJomoX/G4wye7mV4kh
PrLwOXXgFxZ+wRBjFIaziJ0ajlUeUEsTYVXXzBGF2XiZVeFDFaRPoXC5/kWPmqqEqFQ5RENLBPLA
NyW8CLLUR8A0eE/pk+Amz0ggefq7dDSfpNOrGr99FkbGm3S4uVVuCT9DBZyqqbfu9NJp1RZnG5rc
d8s/lVowPKqaC5u+i6iHL+3Ac6hUFQZzItRjhllneMMvAgyNVP0oemODCAMPLIpJ2P0u1wChFcTG
S69qN1pVwGHZwY7pinFcMVvrmfQ+FNdB4VzZQd+HcnzoKzCz7NNWejx+ycg+2IKfJKtzuJz68EL2
X2xmjT+rM7vt7PYwqu3+zcvFq40GV+Kn9eKkX6dWcYmNmenIBLcJD4NORG9JcKxZtQk1A75x784N
EjXxm5UgdWAR6Nq2VIe1xiB2oHIos2HXKOwSYolu/URO9eY7bElm0ybPRb/aGNCWGyS1tYwJXHBB
bfgh92KFmYjP8WTeM4bIDfFVjtU4/+S1EZJ3q7sgQTL2neaxT6rr7BZM52nxmeUUp+VkG8thuMtn
KVdkJGIsS5a+GdVaz2Uy7VndNk02sCyqs00orVpRzBeeQem37rHQ8MiT43mXK90Jd46H96Qbvc95
ZgmIyYzOObGfdXapHVUPSf3ueflWD0fIizDO6f+jBzmIANzguA3buaZeAcNhnQEOmyj6XloJgz/I
xnIhvLDcJIUKU9FMFb5PeifWECNZ0bQavdX5/2HvTJbjRrIs+itlvYcajhlmXbWIeSSDFEVS3MBI
icQ8z/j6Pk5RKompTJM6F01r66japIlTIAD35+/de48FtyGUkSDAhjgilAPKR+oGldM7YwckBTUd
2LFZOhz5dx4Dvtb0S1yhyJ19T/fXWhN8iBUCKrg+H0TudGeEO3RBF68blxScok+x1bPXzD0ntPbC
tY7Q3op5oUTBLKOjMes7chztNK+2XlrPadyzoqfBfkA1tjQzIs3wV/KhM07TsPpsJOvI7FgG1Slv
EcJFaEf1cl81hDNCdgMkV9vjQ3ZQSV9ZRsGl6WHCMzzeXqg1+jxJ/MtKT5AMA2KE6tUubIXw7b5u
PoxtGbMhZMwgyGwhTSdE+029M6u66G7q7Xg5VupEN6R6KKfoYxmLk94qDF4I/mexAr1I/hBTR6c+
VUYtCHq1JQseX0yZMx+z/QezRTc3FG28yuCP+uk0J6tqHQWDsUD+8FhikU4aq16XTT3RfGMwa2rs
iKEOEDumcNDKaTENwFVqC50AVL/5SJ7NzB4RIaA82VhEgyyCHvhU1+EubBRugiRhemw0n1IR3+sD
tos4Jn0n86ynOhyceToNuCoIH0CyGdUELI313qNnoyZ8PCPpoXZIzmzmKd2uz2J9rlf+rdm4t0aU
QPLMENW0IZurFx6Q5c51N7NXRqeJhSe2dSfClcPDMHVEFUW1IB/EvI/GWqKdEVnbKY6iggzvxQAm
eZXm26joNgT4p0s6KehjB2JaAw9qhKSlxImVzPECgR0k97bX6Bs0q1YhrS+OSOdnzLUMpXTbH9Wj
3wlnRnZeyKOZL8eOOUsrrxiBPx0Cb23TcWSe1QNqS7AQ0TycbCaIZutzl0cItMm4AEPQzHsXLGqH
0QdXHR0O0ZoPGgXAAqHEbLBaMt4pM8ei0bhtNJbHtIBAHeZQFOWgUkAmIbQc2TGewbAFuT6hKavY
QKNRcZdG6t6TlH6n88H6SLBnod4+1KX+OYaAShp/hrXGnqmVLSCS8H5y0C8EPgFzlhmerkOTLHnK
S9xWeU3cU8ZWualia8dadq8FChMPwHVoBi46vUIGMICZB4W2ADfvsffTFSEHZKt7zgKteLlkVfRn
AzZVlDCUzo5EXvfcihCDkHEQ+C1ciGPIL8pN1PULOtikYroWiFIxErRSwWJrigEDvqGa6Ixp06b5
ro97EpQDHEiadmAVJyWIT7L2iYb3B4MJW2H2lJYsJaY/7VNvrGaWWfU7yp2H2GyoxxV9jVfembVF
NC7DFlGsW7TZXjQdq34/bBwWrmVao0dAf6FuOxPpXlNEB9MOTpraEwrpMu0ugt4g2ZGizZ7Idw6B
u9umjwO0f/DStjtULDNmX6yiOuoudc88b53KOwemu1akJ3NM3XxXdYO9VkHHodTA3xo67VXh5Xsi
axCsDHmAPZ5QWg4Q7jKJcRSH1YMzCkI8SoVVjTkXJ5AzxzQ/mVFL/oZuAXu1potaNwhLTEkJtpVw
DewFqpp91481zB6q/1nkEoCpNcBbhHrhMzPZBaO5Ynu258zX0YSE5c6YNKaaecmgscsvSqtnqtl6
jDxJrwUrWytbHKvHhMHeti08MnAze4sRpMKPV9JQUvU7RQOCE1FPdSNrhiAw6NytA/CnKEdMteUd
JptEDN0uA/VLeHW9BBuiHVu7AEDqPzoduzrTfjQDEj2oujkj3LqfPx/u//OHwIf6OSf8U16MVegH
zav//NdVnvL//5Lf8+1rfvyOfx3DTxU8iqfmL79q/Zif3aeP9esv+uEn89tf/rrFfXP/w38snydi
F+1jNV4+wixqvuaby6/81X98ERtCcHz853/cf05pS4c1SZWfmlctDdVyEKj+eSfkOrzP7v/xOf/H
/L5uAFv+9Nu/dUQID9EdVdCKRnJMWMW3jghdD0ZkKkIESL54qC2GeV/DEbV3zN3oOJMz8nrEJt4h
vLBIiKdjgs8ADPnXi/GSnfHlU/yTVA85Qfs+SsOyoALb/Dzb0B2gcK+ExTU4xQQhvjxhjXMOigd0
Rq5bEPiqb8AzrDK8yVSSWCyBdu2/u2o/CfIgtv6Pv900dUtjmMgVwrf4YzvGVjy1V3LGZ6IRHqJ1
ZkEyXw0pUENAQb50ovJRRKAy25gnqSw/9TUpeMQ4LMvKulXoKi61Eam+UhPJbqp4o811lUzvh4zU
La89+jKBNNbzz2bIQhkaTLl56BkpZNZ1ppgwOgsivtXmaujrJ6fC6+E2jfSgldGCcHlyWaPpIDxU
64yyKXqVVU4k3AI9B0mBpGG3o99znkyfJmQjSxHSxQmlSGYQ0YpWF97voERdPWIE1ug3VWwHS9Oz
bo26dXdZFtgLJhTz3gv3hlMNp2CAtu7g7ymcgdLUUFY2e/08t4zPXMTbgsiLWdQd04aa1cYunNgD
CrD+oyFGqV7q8R1XWDASDYB1++QCoSGYfznSgGBu1VYHKyqfcs5Re8EEYGTCeJE6q76Z9G2oFxde
U9i7ure2o0srp8GMuvHdflFItLTfFwPTkXbbD2V8dDzvrNStu9Rk03cpCkTRCAZx2mWv1i4htOku
FXnKgKHAmupdhgJfTUWspC2UG9sjoyCvn5TII2asSsJZ3UX+xjfqT9jBva1fs0yS7eeL9zq1dmhV
Ylsl0aouE3a9JCHea4g3DJIQ52gdXYRyemSIRCCj4W7QNxbLuDeqbSRMqH8op7DoDfdh0G3LXCXk
iuGtpfvnCSrCdmyI9Tbim0SDXd8l/nvVGHiHtAVCw2StVcuPPVi8bfNer4zyGCyG0IVPYyjd2um1
Yo035iwQ4uQK8qAZLD4Cf3KjbhmziGNoCp1tIrrHFK+TFqcHbHPQ9FQURFri1GvCd9dNKnUj1b2Y
Qn4xBFdEabsxdc6rJNiFlv8+JkC/czA/cUuifGsSqMuVUBaVaJdO5uabCbIuciwMIl241ypH35aD
+VFRK1zlwyRz1b315LcPjcdQ2vZjRoNCmYMjOVR5666btnpqlAkBserhS27vhcgx/4QR4XvBqZ9c
upYd9Ffappwf/GYW2A0YI/QBazV0wOWY04qi6xa3P+Ko6Di5vbYOpm2cUvZ6xRHf6XWau/bGzc29
RuToDI3dPVEdKLVc4gFFksMH5LyxcydSGshmwUHh18xE2Tgdugh+9FwD8DzBYl7lnmqfV2yTuFZR
JCvLQg2n957bngpmw/QY08tEXETEgZzscFvZJPfbYRrO7MrPzvwCx139GNcm1LmqP7c5m+FBgxU0
7Lmm686pMR1NPNpuo21uiEzjLDe2Nf7v/EORFSuAOmIYVzmPotFLzXcQPJjYDtUoOHdx2pWUFeV0
tGVlq3SLym9XtLjORkc/b9XoTBuDA0qAdVE2yAK3yMSQ3oUXk0VIfRGca8ndkOjXRTsdjeGpqIYt
z/ip7LK1ZeabNkfoTHA00d0QyHCntw3jHzIqucLroS2X3pjdKLa4poV1WxlgCZNq6Qtaxq1y1qrt
WRDpV0TknjQkCzOSDWAQjRA4Bux2xoUfwidzGsCJHCtCB0bB2J6lUb/1BJWiP91BeD4Rc3TWSmTc
uE+LcFvQ37MJAarK4TzzvUsCpw9ewXFgMfXxKTUiEobCM8dK95PpXhZM0IgPPVRqvtUNvIpmuVCH
hvOTf6uTzqaV2qmEnzdrmfBUiv++sKydH1UbL5pWZGbscl89NEN0p7pi7whxnlXRWW3lexzNc2BV
ankUibGRWfSjHh/UPFs7ZXRq7GzhZ6zhvHOb3kJeDSsWC5TaaMByPKF8WXsTa/qOhAImboQEpNOh
dhCkoaG/C0b1VOr0VpWP8goohbuVb05jzNkn42mOgn4v32laxofW0/bhpN0lk77xeNeVdWZj6xwh
sFECB8xt7bI+Oab9/4Xar46sVM2gnPqrQi25/8fl4x9mVl++75sISliG9UzUoeByUTF+V6EJNE78
k0F18qpCE++wMZkuGWSm0C2+6NvMCn2UEFJNhXGer7Gxp/xGhWbKCvHHEs1GhIUSS6d+4mF8nml9
N7PK+e22l+uoo1txHjq47chn4exsqHP6le+TiR7SaO0JTBnXpJSRMRt+cBBuZCML2+Qp/pkS0Fts
SEqZ2bWSLxqTxTkZbwbdhwY+pnPFdDlLFA9tFtz00OXm1jieM9WlTRsRleOYZIIk1IaBrFiKif6l
kzaoP9DNZ3WDj2Cgeuu1q6gPb0r8d8uu7NaISu+iis6ybyW3Y9jYq0DTPgV6bwEUjD+CrdtoZn49
ZR9byojj2AlUpf5grixWlFVRxFclkLttpBDNC6A05miojeFKCQ3tGA6iWRxTXC4eZqO1Fk/HQpLQ
Y1srt63ArRiy6U70lVeAbt9ncEtXRhzaq9GYWF6CRT3EH3QZ7F8NRPynGmH/mROv7U5ZWLQyiErV
olXoLqyCvLaqBhWQ06yYdXV/ZXlLmlxkWRp5vWUD3NIVuh7hDdihb65L5nqJuypJAs4MsA/Ym1Ys
y/Es0rTbXMILWigGQuIMBtUm5gjCAUq7YulJ6IEK/cBrPRC9FhZguAg4IsgzRj/alyNubg/AEiJy
iVIIg2Ze2nj/VYlZ4B1g9bSST3rSLlqfFEDZnRklnKHrT+FoX5Vhbm19RQzgVghHipi74H+EjDmW
9VIHVauRB6Y02D+BQDCkvXQkFSKzgsNQm/HaE0T8CLLjOoMjfmB47fzWrANtj69ogQQEVYpTnpW5
ftVROzud8BZt7a6BGNxqYCqQ1tN7AFyRClzbTaGurdYjBE3SLVrdWgdBFK5i00Tp2+FYKdOrNCow
vAI8XdPTBQ4cBSTzooFAE5J3p04vcXQocI7chh2Llt/MdjKIaJ2xbJxuqYXRwxREF9bkkb/SmTUB
CNzFpV8JnNz+Cc/gMgDrEUu+B2rnzynADw3HUO1ZyO05W1s+uhCx5h5rV2OBN1Rj9Ih+2Ttht8BT
RYhoA1jEBTDiMvVrEntVj9OxAkASTE60BfuAVrB+TIrK35EvejSrKT9LjbSdG4BMMmEsaKLTUpBo
k0LIe0UEZ1lrrSkTJcUTvFYvqL8yoV1nlU+v2W72Whrny9wPr4tK97ErRVe+rdfzAuIYojq8MmpQ
NUuatnqOV1hvxpXVaY+4a5Vd703rPvbmo4E3QWF8MOucgm4k3RFEbmYVb3JnpJuCnUIREfnqjoHW
ouKb8vuwh17N34X7YBBkQ6UuNiwirkzrXgdIzVRWDn8pTtPS1y58Bi9NNZYbql7snFTkaUR+99Br
HwyruskHLHKCOOZ1WkSXfor/VFO0x0xlUjEYePy1SbOR9GerfmJk0PTtB2JwcF131jmI0bXbkfqK
G23j+ytP59hSjfsqLt1lE6QAOEiGUDvr4zqs81tq8gcqRZqCSnIKaGcimAG8k3rahRo0T9i+o/kY
+bde4y6jJD2Jpux3JHEx4eo7bwMRWNqePsfiqbTJBgl93Pe6do1SwZsRBkk53/XJKrJBVmSECagj
LfgyxN3fpBekrK0HN/Q2BqElhBYPo7M1a2OhdjrmkYEmUjdVd8lAcQ8j0zjSo8sRwqXVIhWQl4ca
X3RgfMjS0qQRaQebgqJXToRhPwr8STohiTPwH83adfKTMRUbXeFDMkGShwNB6WEiZyZ3DfH5JCF5
y9HFoBw61nuvyQ8M8HMMVP5N7PK7lCC+tvtIaj+LEzMLMDaYJGb2UJ4rIwsmqZRIeJ6775Ugsy0f
9qkg0FuNjRq4FLw2tSQy3Wnvo15V9zr0tCQft17YL+qmSbbVBJHVlvDzEtza6H+ARbJ0JyTiRkkm
uVctG+jTLF2Mx0ubcx3xi5c7s7DkeC2iGaoioM+TfAGca6bmyfvQSq9traP1TF+zZyLaROGhCyuA
woy/ish4Gkv1c2PkT2aGwr+z8WuQ2IJs4KAE2ufJItmc6QV42bh/BNS9JniKWCfGRQyfmTIiJ2um
26zCOKyPzXn5Xul073wAJjMJvBJGQ66VU/QfvG6CgYtcyyJwwU88YFWdcj7UxqnISkZqCrom9AEG
jxeJ2dHOzECKZS0nMDdB82QgJljnKatAHamE9A+K7CxbKdZIVg/N4bAh1FWj+9k6iyyCX7iBkazS
74dYuSDmEAgYwaC6lX40nPhBTXztvBg570yMA5H9BpdjrNIYsB9iaxNGNhJcYJNpGm0cm8ZFzTO8
Cur0fOzLuc6NOC8w2iGThmstymie47Q6A6F8NKhuMxVXI90Ep57S+eS5DL47jsiBHay6wbocKmyL
HKw5dWrxCpwljecIchFWsxS7z7KNA0hC7mPYZKfQS9Vj6J2rOj2nAfk0BQFQ3wlKkJ5290rRXCSF
2Bsekc5Dl2/byJr2vbmMIs0H/I3Cl3CxY4Xk1x8CLF04gGZOk+0tEsBocCvkM5B2jSsUzbBUD+dS
R4zkeD1JZXEnNcY1nexNh+yYfgmHWqlE5iEA9SnVyaUByMyXimVVapdTnGak09hXkXKmEI2zMqXO
mVwkQO4KuEPz0Rv45COpic5zw0J3yI3ejDgu4bCmnh7SxF5HUlH9/y3aX7Q+YP7+S7HadVg/tq/7
ss/f863qJ5CAul6V1TOkYgmF+be9nFpfRXOG68Bl00eO9rUvK95pqlSx8enalknj8t9Vv/oOHYNF
vLOpEXGgWr/Vl8Vn94eqX7ou+CWmhkfDeG19wFRrMzzGPj5msbsCaD7D5NrNB1utZ23InNOvmJjW
Ri9mdWruSpdYEaiYvTkT56lOj7NzNCZ26lmuFMSzBjcuGDeHhTDO6KQW0w3pVQ53cLeD1PeJPIVH
1Wg/NVNLOGEf3A0HE/Oq4e40LzqkNIkZu0SQw4t6kbpM3EMhPhkkAOp1Qc+T2A900glpsaCDCVUl
lto3+6M6nfdIEuCM2bPG8gsii27tkmUISSzqcSKnynCwLmS8UW9SMwQd4hQnKa98HBusOMjYSx4l
NtIsWOpW3i91xVV2baEzlZ9l9YjNzSLzJ3MjLNuFqy1xNM2AktDhddlloa/daU2vbocYMRArpZsD
r0Tt7lndexsIr4hllDW9IY9g1EUmI+oFzXdqanIOp9q41DqOHTAiPFlYzSJTpMsU0eA8k8H3blBd
TP2NsPx2b5AOhYbxSic4l3a0Uy5sJ3iq8xtH61g+OsB/uSV2FSEwqYEz1WfW1sgI/rwKLrtChzU9
Scs3bSyHvP5CBveXCYSWUcMJX3U1UpJircqYf5W8f2My7J0VKh2uWD70iMh6r2R/NYkIMOsGambm
o7hhZtkqdAFViRVwB23ZCXWUvsNxlST2qWuzk/Xkm+HWD4ACSUCBN/ABS2QBP4RcP0kxkDiDAk1X
Y0en2gB0EKZTtiQz/84f7GsDVedqlFgEZHTEO0JKSCUywRcY3lQoCg40Bdrw2ipi3BZq+Y4DTY8p
u4sD1N/4lJ3UdbGqs56qGUW+VmXataWw8Q1pcN6WxrQBE6KRKc59H3+KJOyhh/qQQX9wkMUs1Oxa
2fqQIUyJiHAlK0JCIyyJj0DHsw3gSdjPYAn8dPNcBdrtmNWSiC3mZk7TbfxpWereim5uSR6Xy4zW
LdZGqOM5dWEuoaNzJdZihG9B+1mQNR7TrEXEZCjYcwxcJrkf8QAMBBaXkDImiczIdfUMVkm7Fhy5
EQYgPwgIGV+hNVvjOAW/LvEbrg83oBjt6qBNJRJSiemokXSkEtyBuBJKkAnMo5dYDz3mGcErOUsl
8sNyMaonEgMSCIAgRXBS7SBZgRiETAgyxIQdYsAQUWCJVDBFXI6CuoSMeD7HMpCSBNMBIMk9+4ow
hOCy1OLuYE7DfeSqH4ukFpcx8tgZH9W9ZsUnDk67SXBe0NetBNaVbd0yfu5IF5U4uxKunSIBdwmk
u4mzz0I8w+/6C5KU9z5++mUk8Xi2BOXxkB4Lic4zOJvzXGUrX0b5pT6KP3KQtiKnOPKq4UgcJsEP
sbaEqNcTCuczBZUM3NoICf7LdzG9gUo2CUq6BSg/h1VDtbwK+zGaeV4SHnXz1uvS65JmP1Dwj0QW
WPOQLsSYpTYckug2lg0Km05FT8di1CZsObF/45dXnei9eVTgmdbSkvEJ654IabUDCrMXvWyGkHk5
E7I9YshGCdLIc/opxpws7puIXopvcUYiiY6cWe/WjHFQl2hncitftLIR44e0ZFTZnMllm8apy5Uu
rqygI7+5n8Z1SWBWBFMVy8p7cj/UueFm/dJKg4PVT+cRMmWSLpJtLl1btCezWYu4f9EbGquV0c68
jJ5BLqZFPtnJ0daItbKnYj4Wtr8KJn/n9DGSTwtvQMjVWqbSQ5ZKNxlSrWrtLhGlyNgxBu0pfdgm
oLsASIPZfhK5pLvFq0761FrpWEsiGCc42EasbBmWNryhDhtP9cHF7EaTO2ddpdYlyWHJ6e6uV5QH
x6IyFkb+iKPtI9rV0kItkBMXP2p0psh6XGlFde/X3sQy4l/4RTWPC8dY+1a3dergEcdZvMzN7Knr
EEEXT0xKPwD6HRY2PA5SXput3zNFbMajk6bmlWv22XnQaQcND1tftEC6AuABQ83wna0isbKbljP9
UpX57OwbsJKL8dZRGOQZPRFRsc0UqfHxdCmTkkGOUw8FksNFm8BpUWpv1aVkD5bE7pcoc2dIcoNV
o8hn0gSjmS6fZSNuhWa3b0DLjo9N3ftbxQSJasaNu54GBf1fsdEmO96LET3cYLFyEfGnD92xmKx0
2cSYgDsTGxU8uKs4TLRDQxgdE5PIvKjH4XPYK9q8aad8LVorP8Y5vQAHH9vezsdondQEbujetYEH
gPGGt7S0cl6bIOuKAsWYlzs14bQnzSILt6brSVSu+1CUdOTgk3JSAwdgE8BuHwXhchqcoTCyECvF
NS3zQxjY7iZPIOO5ztisfC15SOi48udyarSVIl+piYeojJHnpLJ96ISIrLNK32N0C2bg6OYVjzmR
BM62I39NxMOlMWjufpymLWEWkLpUenRWrFHLNN0C3BOHFc5bkYG5emqzT7EXDBtEsPQZMPoZI3Pd
znyCNXqpZiwbIGjoMPh6wwXZqNpDqNNwagZJ89FLR56CxRw1qXOIWzEnfuTguKQmhki6k5RtrUT5
ONPoNyYj2mLkOEvkLAUZd0a1CY1mHybqSKRe3xH7s24UR7uwI8IE6qB+TLmlOz/wkTDFF6MCdAzu
0skmLwWRzwzysjtDW+4wRq6KWTk9aRFizNxBeI8UPydgASc92dLTrAmQqOeecRnEBbEuanvPqGIT
2447e39WWewmStAU8yisa25nqonA32pAm+Zq4I+crsC4Q5ri/T5Onoa6qO/yubCIlxnEwIKAMhLB
cxUtG7R6h1gBS/h/66Tyne7kD2qSb3IKqTU55WHWXOX/sy/6OgX4+Q/6VXmKbqo2h5Ufph7Pf9az
POavfkpy34RN+xn1i0zvVXFyIvjgnMMLWUhCeOjLPysYwxk2EMiF9+b59SXQ67vL9GcX4q/f4x/F
O3/8OX/1Dr4Mhraf//kfiGYsW8bg/a3rgF9dY6JC8Sh+eh1IGtM5g6G2ebkOnNL4hW/qOmg/mYL9
7v3AyMqUji2iVb9cB8xZP94PFsF9uPq//Ovz/fK/ch0+5S10UERgfphn35/vhcuf/Cv3wquf8N0z
4b6zHI0Rm8kA7sc37/IPjhwNfnl9mTm+qZvAEByzfu0CvFK+/fsC8DDYmm7T1Hi1GjjvDJ4Acvi+
rgZv8CnQ6dT84h3wpxcAsyEDZf4Hcer59eopAAkGR8S2MLt9eX1Zht/UjaDz9//dG4HYd7YGg9gN
RIbyxQ/88YEwVcFZFZjZy+sNroo/CUf5H6yKOEVt+m8vH/irhYHdgV6fyubxchne4C5pqODu/+bC
wHPhYOVlhXm5H16tDza3i+6Qj/Ty2CBJfXO7pO7aUtv6KzvEn64Pz7skrnZSRb/d998/F9wPqmvR
N6a1/Px6g/fDz2zev/tcUD1yRMKG9919/+N1oK5EXqlaL5fpzW2YVDls6Mbr9KTfvRDyhgDkaJDg
8uWdvlogrHckIEmG/dcL8RZvCNJrkV3/rQeDDQO1s2kAZfxxp6ByQFiOf/+lrFTf3J3AOUJX9b+7
Y1I6WVht6F6qP70RKCxIQzBlgMGX1xu8EfSfMFN/94HgRrAFWBguxssbfX0/cDvwOBD38OX1FncK
DlR/+3ztvuOMRNC5bv70fnDfCQ6VBuLCl+vwZWt6U5XkSxz3310YEGeo4IV+fh3sd5ammpYQX3eS
N1hRQ6f+gx3od58LNgoHJ7JmsF08v15tFA77CFsmN8TLY/MGT1ic/f8wc//t68ARkwk5hqiX9/nq
OlBo2jTrbZtQwufXb9wPv/DwvDjMPiWP99W//hsAAP//</cx:binary>
              </cx:geoCache>
            </cx:geography>
          </cx:layoutPr>
        </cx:series>
      </cx:plotAreaRegion>
    </cx:plotArea>
    <cx:legend pos="r" align="min" overlay="1">
      <cx:spPr>
        <a:noFill/>
        <a:ln>
          <a:noFill/>
        </a:ln>
      </cx:spPr>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plotArea>
      <cx:plotAreaRegion>
        <cx:plotSurface>
          <cx:spPr>
            <a:noFill/>
            <a:ln>
              <a:noFill/>
            </a:ln>
          </cx:spPr>
        </cx:plotSurface>
        <cx:series layoutId="regionMap" uniqueId="{DE6F7765-0D02-4B18-8AC7-8CD5AE7599D9}">
          <cx:tx>
            <cx:txData>
              <cx:f>_xlchart.v5.10</cx:f>
              <cx:v>Ganho</cx:v>
            </cx:txData>
          </cx:tx>
          <cx:dataId val="0"/>
          <cx:layoutPr>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_xlchart.v5.26</cx:f>
        <cx:nf>_xlchart.v5.25</cx:nf>
      </cx:strDim>
      <cx:numDim type="colorVal">
        <cx:f>_xlchart.v5.28</cx:f>
        <cx:nf>_xlchart.v5.27</cx:nf>
      </cx:numDim>
    </cx:data>
  </cx:chartData>
  <cx:chart>
    <cx:plotArea>
      <cx:plotAreaRegion>
        <cx:series layoutId="regionMap" uniqueId="{8671570F-A959-4E8A-BBD8-90A5CA973BCF}">
          <cx:tx>
            <cx:txData>
              <cx:f>_xlchart.v5.27</cx:f>
              <cx:v>Empresas</cx:v>
            </cx:txData>
          </cx:tx>
          <cx:dataId val="0"/>
          <cx:layoutPr>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_xlchart.v5.35</cx:f>
        <cx:nf>_xlchart.v5.34</cx:nf>
      </cx:strDim>
      <cx:numDim type="colorVal">
        <cx:f>_xlchart.v5.37</cx:f>
        <cx:nf>_xlchart.v5.36</cx:nf>
      </cx:numDim>
    </cx:data>
  </cx:chartData>
  <cx:chart>
    <cx:plotArea>
      <cx:plotAreaRegion>
        <cx:plotSurface>
          <cx:spPr>
            <a:solidFill>
              <a:srgbClr val="FFC000"/>
            </a:solidFill>
          </cx:spPr>
        </cx:plotSurface>
        <cx:series layoutId="regionMap" uniqueId="{7D85024E-A40A-4138-AA05-C850460FF396}">
          <cx:tx>
            <cx:txData>
              <cx:f>_xlchart.v5.36</cx:f>
              <cx:v>Estabele-
cimentos</cx:v>
            </cx:txData>
          </cx:tx>
          <cx:dataId val="0"/>
          <cx:layoutPr>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_xlchart.v5.39</cx:f>
        <cx:nf>_xlchart.v5.38</cx:nf>
      </cx:strDim>
      <cx:numDim type="colorVal">
        <cx:f>_xlchart.v5.41</cx:f>
        <cx:nf>_xlchart.v5.40</cx:nf>
      </cx:numDim>
    </cx:data>
  </cx:chartData>
  <cx:chart>
    <cx:plotArea>
      <cx:plotAreaRegion>
        <cx:series layoutId="regionMap" uniqueId="{3A8DE203-C1A2-40A5-8DDC-F8AD0564F2E1}">
          <cx:tx>
            <cx:txData>
              <cx:f>_xlchart.v5.40</cx:f>
              <cx:v>Pessoas ao serviço</cx:v>
            </cx:txData>
          </cx:tx>
          <cx:dataId val="0"/>
          <cx:layoutPr>
            <cx:regionLabelLayout val="none"/>
            <cx:geography viewedRegionType="dataOnly" cultureLanguage="pt-PT" cultureRegion="PT" attribution="Com tecnologia Bing">
              <cx:geoCache provider="{E9337A44-BEBE-4D9F-B70C-5C5E7DAFC167}">
                <cx:binary>1Hvrbt24suarBPk9SksUSZEbuw9wKGldvXyL7Vz+CI7tSNSdlEhJfIN5ksG8wvzdL3bKjtMdu93p
3jjB4MQNML3IRalUH6vqqyqtf97M/7ip7671q7mp2+EfN/Ovr4tx7P/xyy/DTXHXXA9vGnmju6H7
PL656Zpfus+f5c3dL7f6epJt/gvyA/zLTXGtx7v59X/8E66W33VH3c31KLv2zNzp5fxuMPU4fGft
xaVX17eNbBM5jFrejMGvr4W+zq/bf/2f69ev7tpRjsvF0t/9+vrJ116/+uX5xf5w41c1yDaaW9iL
gzfE5yHmLOAPf9HrV3XX5o/LHn3DCMc88umXZc6+3vv4uoH9f0ukB4Gub2/13TDAQz38+2Trkyd4
snLTmXa812AOyvz19WmnR5Nf169fyaGLv6zF3f2DnF48PPkvT9X/H/98NgG6eDbzDULPFfdXSy8D
9FVBPwYcgrjPGX7U/lNw2JvQ59T3Weh/+XsJnO+J8x1gXj99uEdQXr/6uQD5T3sndfc9Ffyb5uK/
iVAYUUSC51BgGjESkq9Ioa83/WInfy3Iy1h83ffMQr5O/1xorM21vv2Rzst/Q7FPIoL9F51X9AYh
jkgUPC4/d15/Lc/LoHzd9wyUr9M/Fyjx9TDe1d0r8OTtzQ80lZC/4ZjiiHD2xTmBRXwbWSIIPAEl
YcAefRt/ajF/X66XQXq+/xlYz5d/LtDEXfkD7SiM3jAEMR6jR6ieObcIkAwZp1H0GGfCp1D9lTQv
A/Rl1zNYvkz+zwbjT6X7lpQ9+dK/ScrAdChDAY/IMzYGQMACi3j4aDOw/uWmX6LM7/Toz0V5GYzf
dz4R/H8841pd/8jwDoaAcAT/0ceTDgf9W5/F3gQhgfDP0aP+6VP9/5U0L+v+y65nhvBl8ucCI+5k
80n/QMeE/TfIxyFCLPjieZ45JiDAIYkoMK9HPJ6xrr8h0MuQ/LbxGSq/zf9cwPzrf9vuR+ISsjfU
DyG8U/4iLhBPcMARRJRHXJ4lJn8tz8uwfN33DJWv0z8XKEeQmsgfaCwQNaIgIj5Q4ketP3deEbg2
nzL8chT/a3leBuXrvmegfJ3+yUCRw6fux4Li+0HIUUi+gPIsovM3AbgvHIRfqRV+GlGO/lKePwHl
cd9zUB6nfy5Q7snJdX2X67uvyvnv11bAWoJ75wWp/IvARG8o8gkNgse6GH8W6v+eTC+D8+3eZwB9
u/TzgfQD00coTCLgYghqLS/iA6GfIOIDM3h0ds9CzL0ivyvOn0MD215ABWZ/LkDe3o3/+n+f7mul
3yYDT57s381L7vkWDSL/G50/pcdACAJCfysWP0tP/o5EL8Py+84n8v/6+veFnwyc63a81v/6v80P
RIe/QRwKkIyAKTyFBUPk59x/JNH+c1j+jix/gsvvW58D8/vKz4XMlbxur1/ddq8eK0Q/DiBwaSwC
f4ah4/Lw94wLMKiIgf0AGXh0ac+ymX9Hspfh+uMVnqH2xy/8bODV16/O736k07vvkBEINOD1vvDm
ZzUBIAphQKIQPbJqH3LUb2syV/JviPRncP229Q84/bbyswE03JmvCvrvszgoEEScsQiqky+aFCSi
kc/9KIoe15+xuCv5F+L8GTAP2/4AysPs/2dA/ryd+VvfN7ker9OHhvE3Hc3vrz48N/Sxn219QiWe
POhXTLe3v74OONjIb23o+0s8sYh7avalifvFTn7bcgetiF9fQ885YIhCvfk+M2I+ptAZmO4elkJg
hVEQYsZJCOzwPpK1cLUCGtnoTYAJvV8BxsigSvr61dCZ+6XQf+NDoxTBCsEIKqjstzb9aVcvedf+
povHz69a05x2sh0HeBi4R//la/eCErB2EM9n0FqCMiwFpwDrN9fn8CrA/bf/19S1tcN+GcU5L+XW
9LdzqMXUOXwyoJGmNeYXrBi8NDLDMW+6/izrDNmaplrbob9oc853Ae22lA3zqqfRknyjyxfkw+S5
fDhgUMfnlPgRSBkAFk/k63PZFmFAY2+m1So3pV4N/pwJtR8NwqK1NVsVnG2sbpQgsivPdB7glHjy
rO9HtItcsaWN7C4VmmMdVCamytAUcXNRMdTGPmvUCWm3Lp+LvRuaE8Xa5Zhyfa26kCZZmRfbRuMx
tfkyrvyuwYnfKrPLlbz2l2A+bsM6v1J1eZaHNE90UXVJFwbXOVV4y0OXn9opDI91G6U2m85DOTV/
paJ7FTyBELMA33eegMwSHATgFb5VkaJLFxHULXEJYK8WW7H9w1DTke3V1JktmZpC0EEHcYWz+p1P
c5oSNKk1XfQcd71k+6os13kezPtiCbwkqOp8PxubcCm9s3723g+kXvaVQdlZ5JkTZ6b6oqPBcd57
eD3MeSSmvs8ORdtSJ1jZCc2L5SiQY8JQsY4azd5NIEVsaBjty3qK3jnrC2cKuVtCRpM8DP3Ey8P+
fCEejb9/iKJ7DTzT0P2LByHF0ECF4sW9EXxzyNWyDE1ehFM8LKKYZ7Ot6sEXeTFN52UdZsd2DBNn
SLm3mRo70btiEsofaeKZttxjM5V7Ho6H0ZLjfsbVKjC6TLNqzg+1picLwtWBjkN9KBr0sS5ntH6Y
GmVVJdzORdqR2T9DhldJjb1+5RT3z+b7oSEkEsHk643jvRME2+qML6VAZU4/L/VwSlrbn2nnH00u
7/f9HHZfBhL0jx9p1qdtH+B9Jit8rB0Jj/2yk5tp1Juq6LtDFbHu4GWjH1d5yFdjmMcl66qPpCbR
CjdVHoPGgs3s9/PRIoutZXLY2vtPD1OyyOej3shyV0R1Gk6V2XvtMu7HXrV7lsUkK5d4qXJ83EeZ
Psq64a98AAIP+RQ+ioCRQF08gPIGcM5nB9yr+FCD+c6xYp6foA7Vx0URnYJaFsFNqNe5341J57Py
cgpHIgam6otm8Feq8Ic0I3O+0rMmb+tp3LXjyM6Vq7sYy+W4bsPyqA/76nioFji4x7W16qpf/FZU
He0OLSqYCHPXrFXLpkOPp3L9/bPJoCT27OFCxCEwhBgcPjziMwdnXVnRYCyneJ6mT5gXUzq3xXzI
8CK3eQ4m5c/CBjN5W0zZB7y0V0MQyDOPZjeFZGrne1lx9jDlbOQJTk24fph7GBoaTQm1XZ5ki7+u
vVBeZYMpNrascMKyqrzyho6uPC7TChscY0vm84chssu296w9npp5OTedpTuFXCkeFgtdL+dhVJh4
hAiwDnMBqfRw2uTOP6U685KRTzR5+PgwRLqMVl3E8r1Vi3ecTYOMMxrSa8rJabWw4hLh3q7bcEh0
TVHqcSY/sKX6EGSTOvMD050GYb+ZM7XKMfXKdNZ8SODIcLhJnzau7S7rri7TIQ/Rtg18ug3qOhDO
d83ehWyKNUSrlR+Zc9oifKJlmF/lFO0MybszU6r8qi+6tA9acj7h/vb7EJMXIKYhpgiOL+Ab0fv1
b9wP45JKP3MmtozYeNTRWd7g6qJbulm44X3eRuRD7mJvKEoB/jrafRnCcRQ+y48rROrdjHW/t23p
Vt7sihjC2hlhlh09DKhq2FFY427TaH4uR5arxNboo134uOZlhI8aq9vdEo17qechDWSotnQIg/eF
O+kNR0eG0joBXkr2Ph6zTR6Zq7ye7ftiYZ+ajuDbqtuOOtyMfdceclLaIlZ9WpSDvyu8rVcGelfV
HLdi8V22K0L1dYgUTb6vziD4AyegEaLwogzU/hkDmwFy9K0+Zy9Ai+5QF09zWlBsdmUzRbWYpsLu
GpLRWniLHbdFSEXZEnJe3w8suBhQ6J+VNsqPDVMbA1fe/z6oaUz6ObMrNdIspkBqLlU1rbuSBu+I
akvBmmnZtroT0i/Ibqk7uwbnubNNAQF/SXPSlaeMd+68CYoo8cLMS/XsokOA+6MOI3ymK6PilrA5
rkP8jgdgIh6fljgrlX+kwtuFRnQDFGoWqsX6bLgfCLJTbAbeJ4qwVI2sPQ6CJd8yp898Xqm9MdgX
fpD5K9CUE73X86SbmytUzHsvGOhpORXjCY3MTqqA7B8G5zKyr73iI5k5X/fZ4B1MFXqHwYWVCNHG
G+vsdFmwPNOLWy/B6B8IqQUblmDDPYVOo/tBDXMQL2NYHc+dG1ezbclJU8w2LXlvznzf+gnvveYY
a89us7yk8Wg0vMsZ1CekkKXoyVgfdRZPexe1dTLUbfdxkvN708/6fM779lBwX8Uuw+3Hvh4vGtRN
R0OxlGcPQ+eWtS8V2jXatbPIIrKflpAcptK7YX7X3nz/1IV/MGJoR0Uc4g8KGYqgkfv00EWuRu1i
ojoudDIT25831vUb3We+KAHwAzGo3de8nOMR+ZUoGmOBVFZbuwz9PpzrYdOM7WdNmtkXRcfHTSWj
d1nLIbTr4raS3FsXHj5rl7OuynlStUO1GvrAO8fLNG3GAa2lXPjRw9CoYlplEg1xUFB72YdhrCfp
3n3/keH0P88OIN2kwLzAexF4dRMylacPrfg4GYaXSvj3sX7pLh6GOixEWVB0PiEcHPKZfRhqMoh8
LGisKWu2gQS+SWwlr8jkt0dexifR2VlesVbS3WSjMn5YpRm12xreuoqHKSyu5qzI1oGJiZPdaumD
+pKVRS6iITWZys+tX4/nXujXcKdu3j18HFSD4rEoOARJn3yecYgPcwfxbhnZqe6ZJ4Z2wClw+nWb
jXPcDioO7Dxte6euSqsvVJnnIpDqtsxUD5RQfeyq4+1QyFtWTb3wqiV1Ff+YkaoRyomBjB+WkL8f
gNHG5m702OfWIuH6qotnjw6iqJaPcwgBLey6uO4gYjZucqLNl2s1ySL2w24d0byK57AeYkfxmnc5
imVteqFqDbxzYidsSzP3kY/tJJZWHgfKS8emPS21/VBqsqmi6pqpcM0Vy0RAbB13qhrjrnTgw8Mm
WNmJHWvWjGuSedeuVWdyclQAr5AHr+GlKKNcFN4YiL6r3gakXxnLgUWR7KqU5XvtXVCq3tolwtsS
Eyl0O34cdVMllk7vvBZyB8/UcanGVgSzd1KyIIuNr2uBm/myxJ6JJ7qSw7RG1r2FGqEovcuC54Uo
Wn7Ilv6sisY+nXO79oMeC2ADCQTjLu3k1Ao1d82q0coTOsjWGrXvVDiECfKli8MaDcInatnU2NUb
nw9VbCC+x6EVKtRyrYJwFVQeF64wZeopsuFlXgpruFqFfX7ja+F5EbtV1N/KxZQrJAu8CsYm2+bn
GcfDCtfefExsrkVNjJ8G3QnkPOCdmoRFJbts0Zw23E8NJmXMTEu2tbaAvDTrQNdTogkjMTK+t0E2
FNbKNbHeEc7yYteSUSDT9WIq/BLy6TioI7s2sxEoizpB+jk/8vpqD08WpSOuO5GhTAplkMBKe+t6
8U/8PvhceL2/tyiXq6KodOy59lwb/6L01sZaLRjrNxT1CWohSZ6t26Ke7Ape96Kc6Snrl0WAPj3R
q6kWJdeCLCg4RpW7ctq26YCJiSsD8xAQoxUFr7chaOjEXNYphmR3Y2cyp9bGnmyv+Mium45Pidxk
XXig4cyScfTH9TxrfdH40edaZ/uJ4OJkhrLBooFgTBjgVJQe8qIORY8K7zRwbxVpPw05XZfFKIUD
FzLIXmQ5x5vFlStjlMAoOPQzPzWo7NLBoPVYBMI4VcdzWV15vn/t4QliUf6u7gqxFP7GUiuqC1kE
g6hHxYXpopNxlidzwJbd+M7wHsyw5x+cpmveLJ5wlU36+0AVfixnc1NEHwJvMImclj7OVbCz811l
6u5DA4JPc54Jr7PRWbPLQ+2fNItkYvKzSiAFxryQ7hxV/JpWLtjoSfEE6hiloHmHRe6xPKkZtqtI
esHB+vPntps74c/tcklkuRnyLo81h0AYmmFOuslHO1/nRRyE1W1fFXg3tRqnrlGzmDIapdOizng3
tQkd7Ebi8tMw1e26LOd9uBQrlrUmdYuFLC+vnah5+zGUi9qUfX3lenra7LLdxMAC9TRvGgWW1rIQ
pQFULIRVnG9UvqKyumNeOtWhWlk3tmnWNv6a0POFZXo1kprGy0KXjUs6K7HQakK7vs3edmdN5eo4
x47FQ5N9NLjbmjpzcTdRtALydwXUwzvwKfAOc0Q21EZMQNyXXHIx+BneZUy9zyLNjqAEcwyAfy5r
kGvopScU8lyyqLgbPXM2zZ4YKVHCb/S6X1p7iOgCPh31AAI3G2LkKGy0NoroHa3XNlqUMBVcpomy
97lPx225qFXTZ3XcF36ftH7nC6nGyyEr6aZCvYKL0cQP+zsjDzw4lwv9XBYkX0nZhmmujROBCiCe
ZM1B986tcLa8G/sBaD6agqTPpioe6KTSSIPlBh6SsZVjuBqm7DYImzvGZP2+qbIU6nytqKVrTtvw
lAztpeepc42oWufVsR7MmRxXagov2g7JJOvl22jERxOxq74s3dYiN6xJVd+Ng5arZp6nxKNzfpJF
cyXMgO+ymhqgc20Vc/bWsGnZMJQx0fS1PG+jHlwfGdcGzXs1ykjwsspEvYxD3IYOTuUK1QEoLgzO
PQZ0r5uBEM1L7KuAnSh8EWDVJqX1msTx+qxc/GArywR7VXXoB2XiugraNGo3bdNFKRSA/DXyikTK
W8Sc2hY1OMTJyWaLlTrqTEbjZu78lOuyW4Ep9Mre8A7+p7Z1tO5n/1PRM30yZnlawim/gGB7pewM
hQEbhQctvQOZilr0fnZmUTQd41Y2qSmru74o7IrLJp5qPcQRJktSSkjA/GW+ZJByrZqwuwlNzsRY
tpfhhM6y8G2ZuTym3XBFQlWmE4uSngzuYJCXAtRZWnitiQ1v40llOlF1noSkHWOCTRgXvIHA21Hh
AS3eD17/fppmDoyEf/KV2eiyWURWtRAfuuHGSnNkodIhtGaLaGYbpbmEAlYvm0awIlv1LYDiyjJM
JlvxZCpmsuli30Ops81yMJA9x6jG04aOeZUYPBVbMgcHn2Tnbm4vKn9ZB3DGMqppqqaCiCrXJ93s
sXiR5afS0VNdetGGL3WWNnQigrR4zwfl9ry5rhuE4rzsS9HNaD9WzH0ZgsVAaILg1zdRfUQj7U6L
sIIM1DRHqn8LVch2n1e22bc1bvaQVxBBZ/Y58iGs8zChmLBVpOdCjEXkryiLjGg9OsYQtIakTxbw
ecIgatbZNbJZDhQTijat5SOcRvu+rJf3UR3qFWuiaiOz+dKM08cMl/dVi2Zru/sUd/DyVHqkjXVZ
qZWstYBfpom6AKLIgzHWM3s/9FAmbMKdjmq6hyIh8IdbCYUIEZLRbWxrcsFxiYBV9P5Od44Irs5o
15ap5ayF/B4CH4VYH8kx1aOXNiCysP0UiaF0n6DaRxOMwWfqJcoSVWUybVrbxlWVZcnAZAB8oHoX
vseuijZ4COoEunlrRfGUUg8NCfV6wbN+Ou1LEnOrd/1gGmGIX8WkKz7ky3CsoPCoCzetbN8c/Fom
i84/FhTO35SdlFEhIgR8aIIvLBPwmIVEe+4X2yIaRTWYW5nTjTdgqA53F5OrLqpxnhN4jfuSL1Oc
zVMe14alE/U+o9HlSYGzNEKoTqYgQiLqbVpJdV+BP2rd2MfV2AZC5jvES7cJ5vEmm9lRAbwrzpB5
P/tMbxe3Gw0UD3LIaOrBSlEsbktqe+lc0vOaiXJUcY/DcVUrswDsAsoeIBK0SFLneBL0XuplJdSv
dDmtg2wUJa5drCRqxeBGvKp6SPUjBCY5ujaln1kD58FrBMb7ci7lvrgf8kZtJkOi7TKguJm6bqV8
U4isD6oY6FNfhiaFCngNPYNeFBdo1tOmaq2XutlwoUOvjNsWrXjAM2FdJmO/ozLmtVNC6lyoALYO
mS1XCyMnkL4CS22BHC3jqZvhDNocz4LZaOVVZZCWTr2TmT2aar4pZXbaNBKlpQmXhAxcrj0eTkCT
3EnloXdOpd1g9IbY4qRrATc2DWvmlVrkPpQKTGl3FKJUOvh0DaZBYtUEBjyy+jgxWoi5ByIfkiaP
FcYmnrtt6eFGBBWcdi/DGmo6xU3Rh+d117diGukQ4767htwUHI5Uc4IaILQoD+jOr9qVC71h5UpI
E+pF34ZFVyUBSCeq/UjtdJSV4bGDt3LispJZgmaFDo4CG2h1JCiEBsiCkIRkTkH6lrQgJND4bhQh
2LHAQaPiqSiCpHLzWUlatwvdcDKzfNp2vkyzsuCxXijwQiL3anHXTTBhEeTmoEiUDnygguliTOkQ
gc9XkNsUzu2o37N14OMPy2KSxvIj3tAza1wGpRlGoT+icdIY6cWc2PHI4Hq72OGyL+rUW6RbVbkK
414HEESkSYbK/xh4U73zdBMKJtXHoUUSStSTjBvEB9FwfJItH6KuOimVp4Tniij2IC+ggbuufT9P
NUIrl7sjiWa5r0sIRagHexuLY52rJabOTcnMKIvzJnJpkx9CqW/l0oi5oXzlh0We9nPEYlUWMTRd
5FXjb4DXn1QkzE/zcb7E4FT6uW1S3cIuFkEVLTubZy+p/OK8kTEpl/Dcyn4SHi3wuqHVIhYNGXBU
8emctN7Wcii1V8NREKBrlNttQBoK0c+mwdiWGx+3SQT+ZaMDaSGXHcfYKJkEs4ptFnlgQORMe8UH
YOBJz/DHDJo+Mfwc8bJCeFPZgSSewid2fscWSO/d+8xEJaTipQctRlMLh+/rCQu3cYGOqsoL1l1G
L03Tn+YEuds6n5KWekaMHjotRhCjLfJD32u7WzK6WfyDj0wBSvWWbSQYgYeb6yZGTupkaGm0tWO2
pg2HDMf1KYS5q6HH12BhMjEcstna10tM/GZICldc13kH1HyKXSgy6WrgpVW0qk22I3UGVJNDgAoC
TxT5qGNTvK/6etNPcAHPQP49emMBRBjsIKzHOCfutsz793nYlSKazJEpy174GSRC8GpnMjj8tjGj
0J4/bVlWX1TQMyvKYo8rugiGhiopCGJJlrt3SxdezBdQs+oSBAF559FqK6HfFTtvUivPwS+1IztB
dPU/BIocQ3c3i1kG7sqZ5i4HSqrrFcmzZj1O9qbDc7vtBr3NJ38lq3Y8RqfM+L2ACvKwgsaGgzaM
AScJLdOt50EXYrTh2usKJEzZQc3DQmKZk1Pl/JSxPAeB55h34PN0SVlqJE6UhRSryxm4ibBtBWrC
WFpNN6ONjoDUvM066MEsyKbDFNnUQKknQOAXoWFDVLWapuxt5o6LxYPywCLVvp/qWlRaJdARLU8q
Pd3ayQ3QQ652fGZFXFmIKVwHe+DWI0SzzwObLtWs7F4zuRqt/ly0c7NuPfDkmf9h6OTea0YJNQ9w
Rfnol1CcYKHIuQ/dQsLHdKapnYo9nFeoCHi1lyB5KDPg/LUMr8OlvfZ6+HV9aZuYR2BnPIytg140
NDuyFZsxeCV8SmfsxZgASNR0MTzCauyoSxrmkEBdfu6boEysri+jcPSFLvo5rVQGuW1hKbCHZhIS
GMPSSyekg+Po+QNErVPgwdDDwhFJVAZ9rRG1K4wKcv9FuJ2tzrVXpaMJVhNqPmi8i6ImSpeMuCTz
slSyHLhZPkcppZfEK7y9WaBC7XdhBGsYRDXdquft2ybTDXyyTSLhOq6D8jedAmCkwF/1FNoY8tr7
c+IdySygW7ChCly9w0eeWnOvx5BgV0jU+bDvoeEWK+tm0QIZSCfoMkceWRVyPs1bucPGzIn1/YRU
UCLooRUVa9l8noFLW/reo/W+CuMyq+RurNRJyOr3U9VWwEfy0zEj5Yro4K5G/LR0Gk7bYt76Q6GA
U6tBZE39cfDmFW8mODpQqgOsq49FcTJOvU38ikH2pKY1X3ACpnBV4XxOXW57YevwaB5xlfgSyGjg
pI2rgEOKZ6qEuOwTdG+0CNqiOFJFlsBbp29N7eTpeW/9dteb/ryXw8FDbbWf8/FQf2r/i7sz25Fb
x7L2E6kgkhqom76QFHNEDpGT7Rsij52mRImkZlF6+l6Rp7rq+DSquguNbuD/ASOAcI6hEMm91/rW
ziKrhUuw2MLDVC82K6J+SKNO8W2k/czIZ9uRZ69Oy5Fu9SrQIRCOJ+a9TNqDGYd9E1AF4aLC6Wf7
Y9P2VTppfb9WgdsaEqAvQTf7+axycJD72LuYMdpR1st9P+FEmknSHA2hr6aTLL9ZR1RX0Ohk+dp0
TKJzU88yZn3WADBBczItqV90w6bAWW1bSN7Dso0m+uGG0jvOYt3NlciWQLQ7LwRiMvHGz1EkM5eb
sKv2li+buqqDtKAoraPBsdR1+CL7Xs6QhfB7tVntyJzWOkFH2uYqjN5ZAQe4YWOY0lpmupX0Uc49
KnBoG/DEpqw3cAcVKhs305cg6t6sg1pAkkXudKOuUoeo5Iz/0esEh0Ag15SuNIZCbLbz6rc55O8X
swgIvFN0X7Fwl0x2G6Ix30u5HfrHzveXU1e1yWYotE09Beliir7uMO/hS+XL3yJuppR59cMYuxi3
e7FkWtBHvxh+1tRH5a3kFzEkG1XrBzK08zGZqzal8yT2Wkbnse9/VORnG0uNChqbCKOvPCYi5XXR
p96ELUKBvKjMsgl8tEJNW266cdCPQ1nsXFKKfZCqUR59t/BD2ANdmVicVo4KbD/dt9otRX72/QAa
fmBTrP8u18Tgyvd9khXBi9FtmLoxLvYNifhd4OyYJiRCJ7T4Iq2OLdxFbh8CGCHMw5sUek+kdCgh
y/rSzOi9OgV9YPQ2S7JC0eHRkxjsWYdw3wVPXnGQYpcqqtd4VvXBYw2EQB81toDEH7v23luwixkH
NQniQQj1dwo2vnUnTVAL+lXQYz9GiUPmNYua/l3Nvn+ab82gGsJd5EguobikMeyFeCwubh3q7Rrw
YNOJPtyarhlTNzNQAlAnGEMrPwNQmUl15ylhs6qrS/RZrdzHZfvd1j0k4r6dMtTEkjyxtcvKqCOH
rlbbvq2TfKjrDuVstSc4vFJLpwU72vrhczOm4FL2EAKaTTUH3UEBOk+110x4be69LKaDglCerdCA
Iybva0r34zJgnwyqt5oW2TjV8skP3GF2qzqUQSjSwm+/zp5wh+GJdUF7KXIHvSyLAm/a8Zk2uzFZ
7gpCHhJCxxR34kebRwnejMof4dEoFDkgtj5gYqRYJ+cRywvHRT1hHfF+lyQ493UZoK55x16GHwxj
fo3pcdH8fiHlUYnyqURF4jhuoFBg55wHLMC6AzrUkRF2S2L3q5lcqqspJVN5oh1nh9aFX73be77C
F92Hq7fjffcbjgMvjcARZZZ4Wd/zc2fHZAez8OfgrR8NNMAcrdc7IaiRdal8GOUPC3iZY1/pfZ2g
VjKhHFJ0rwPWMAf/UPJLPYfrth6mL/GwptKqy5rMdFesh1Wh8VLyAu7uFdI1JA4bnqiCRjd38buL
0S2XiUSxWluaOdgfxwTy5bBUkAES2e8kxWnMC7uVChZDWxC1rYS3tcKP7+nQ55SEkO68TQPD4kkk
40OzoqcRTl9r8qjkXD/E5aGLUQrFpS7TuJMGFFUKee2j6kNcuxpSFi7kbuL946BWnlbJQNE4ey/a
K2nai6BJ2dj+hAMhU1HUuQwdfZj5qtMpiH/qSmcdJ/dhxcd07BqZ9hHKZVib4H7aoshmSFrSdQ3O
MvGGgl9sBOqVUYT1JW7K77xagt1YCeg3t2bF65ctXsWAqwMGb2DkeeYteSbK7igq5tT4DvYSR48u
vcCCXfGXh3hcjiYy8orjYzjArcc9EBTJRvTOy0AjirsQhcsd99d1I806Z6qxaGOW5ASAZLhjgqM3
k/Zckri78/hc7KoZHZb3aubmp1Q4gYgNhzM27jG1nVh2Cyq3bRwkH2GhTrTl3Vlpl3YjuB5HmuKh
aWsDnbJB2Q5RfSPZ9Js325OJFnOgRQm5riLdndEkzEgzDN+VS5VtWeoz4+8kvNHtkMDp7EJoAmVt
urzj/nyZ21Ffk9jkLarCa2N3emj7K4zCzbTaGRqYiWBLK6tyiv835D7qhvIwyGi6L8NqvudD1O0H
jpp1VO+jHsIHpTp1Ldkantaw+MJ7r7x+PqiJ19siQNMO2P5QRGV9J1AwX9EfAHsIxHScrIAjXYY9
NCBjtqYs3E6QZnmcecMexhqtBPk6gWo4FlaUj9XaqEcPhWzqBjHubx+cax0cPa+HGzNNTT61CrZp
E3gP0LrmTThWUe7aYsi9ue+3cVL11+T20PUB1mAx3/lV2F0Tu4gTXvwXPWiSyspnx1JT/iTi77JB
zwyTvEkHHGdnEnpB3rGgPUdk40XzCO9BmAuN3cVf6fSk65eFN+0VPfX8VPisy5dmLXefT/01tCkN
Sr1dkviHHbHwMz+vZ26e6zDonoPK/qwS459523fP3NAYHKNOtp8flEOLXVuuzwtTV78tkreZkgGC
dKv3yTqx53CGnzqV/lZwlKC+Ym7Xs8ilXhmYJyrxFqIXwa4se/MU09HL2OIFdzrA7VI1WfTFOm5/
0rKSKcBGfSnCCcbO6kV5pKS7S4pSboq+eFil6mGgx+9sCqJvHRyurO34vqsC/mgCmBxuin4IdNS3
QyfAonl3dfFNKn966VhJwAbEj4p7JCd2aMFPjXM+dr3Z3fTTcxG26hjcWD3d0nOjdANAlo4/u44+
x17kX7l3oiX0i0nOX5tFbxlc4nPAoJQH3nxcFX8uJDMwS0OwQyOWtevuYgVbeYDpmuE3XnbzsIEC
1L10g2yfKnRKhFzGcpneLBEWJOWdH4c1jgM9HxeZyIy0VJ4G1E2R8eW5BDmW1+EzVyzzYosGmfVq
H3nxNfEqexd6oodhNhebyqvoxaung6xx6XFRRGpmPbzqkGRtvIa4t2S5mSLYUoH1NkQ04i1EuXX0
Q8uzMvzZqEBmjbLetVLd8zJ79Mg6XkF0M24zsKY4Q155nFVJc+E7mvHS0QtwW5J3CkgcbPIF6kVt
gWCZXReqKLVh1+7m1gsfl6g29xCgt64dkiczmqupmvg0BckxnEy95RCR0uQGedBRnkem241ehmu3
fBopFLYHt+2ZrTo8tiO2/SKsAZDqTPoBP+kEvoeh07RlpVeA0gwMSOX1G/ZfsY+r2DuMpZpQK0c7
6SX6SpbB7rubh2mjL6yfo0PYAJFuBhdgJZR3gES/KJQLd7bjBr+V5rsVPf+u79uHagCgIrvi59wT
fvf5YFy0j1vt7RcgghvBP3qcVsOq4Li38W8VZISwbhr4AhxWrKPBucRZlHhjd1clfLPQRB6XqAw3
XRLtExx4m6qfxx2PcKM2XhznREQHJuWcoZsG/hI9VJ5xB5x1CVhc79wUoGAW6em9GKCDrk41uReU
TbZOzXKKvbjKSFSiF2hvKK9w/dZgHR9KHe9k07Lv2rC8WaZUk95/q8mynOEPAoJQrnoKbZQTpvjp
88GW4KQ9+dZN2jzGWgZXQ6WX8/GLBMiy9WGjHEtKij21/TffxjSjWv0IKOoILpfokYOoTG1yE3ZW
CLV9PJwN1blbe6COU5VHFfXvkgRSTNt4Il8rYx4iH1xXHA5F7tcw+NFsde80GX4k92Sdm2uFUzmY
a1RclpWQPaMR5mpcg2HpeF4sOt4qOQLhM92T1h9Gmv1Srcs9raLmRczeD68Fq+6p5a50aCp4VR2a
khbnOqwySUN18b0ubSYWvi6DCc8t7/md8lYs0aW5rEX5wgY4fHMlyWM1RLDiVlKlHuMSFaskO6Ob
5GImpbHjjdCiRwYBBOguyIjmESjM+ijBIl8n7k6d9eiB3hqUipTFxcSBvMQgE3k9biI6hZuKSXFu
DDXQ8OichoU/5xV2qF3CluVxdcGhWJv4Trp+3tq+Hs5Khag763mrbv/vmOnAQaRBXwUPtYWRmPRs
hTY/TGlTxtii1Eg3/dIWKUFT+SKbm7augvm8mCA+uY4SWDMTDIo+8PZ8EetrHfg7r6DlezaEZL4Q
sax5KVuaET9WsIo8LMpxqQ6zrc3p86EWCmKDobBUZwCwyQjyn6vfuHgZiY5NpmPY5djPg03dMnE1
pUhQcUBoIkm1nbRMnvuoT55t+5XCZbsPVn5dCbZ4s471dnJNAOYZLOPC/fComLxDN4/esG3Lx36/
ws+XNSOP0MW8C/Hn7TgSdvSsYLD0u9cVLveu4HjPWcz1RpcjVKfW6DP39b4A3pMtq37WkpiTgUSW
i3oEhBgE9l5UY3Mfjqq5l0Tvaf9caNed+kqAn/Xl2zyEyx0W6eOEMMhPjka07WVuTO/QW4Zh/vc6
x87hAS7655mQ8IZ+88fxaGCp55HQYR6hwDo2XAIw9scdvluYdpGHLq7jzUs8+9Nm9ZIxd0wHWUtr
BdcTvF/gN/4DzqEB+5txz4lDkdLFqtlGXnSMB6iNWFdVPrSt25b+KHa6jpeNDZZ+iy+Qp7Lo40wN
Q/wcTWIHqEEDtwnVq1y3ftRHR2ajjzpZdtoV9kqKgQLFNU0+u1ijR/FsXo/+kndxpGGy1dNFuE00
8acEZqOxUfjEEuhRnSzf66KGCihNd24FoJfRvw8aIvdL5z9pEsnzjAIp6750cRlum3gkz8IQbIjC
gwa7lskRpmc2IDWRllMM5c6Hlp1VItlICekIVEV3jmsNrU4ola1In2yh5cNpICDiklbBF+GijbN6
beh94gqTrkPB9oGW0140rk3byasegL3B6++Gu89nVLQkBXvJd70x6mhL8R6E0wj8zEXQJopxPxer
3QEOZBn01ebaJk1zDaYfYEPNfYK64VIXaG/6NTxL2uABNlO2kkaCKJHTAwVo9MArPpw4Cx9kMF79
uCN3iajn51k908KnL59PDHtqEo/e15I+h6iPL01okFZQa/J1iZsDmpgJkl1Z7/qwFY99uOjHf05A
wuMB4PjH5EiMAUkBZdAIeEgR1bpFE/6AbrdVMfWTAEBUAnwBPdP7j5GKkjRmpdsEqhlOyS0MURIj
U3+UOjeLwyIqlkOUaJ4z4Y9bHCk2rVoTQlVdZ8hoYFYK9qqVrCFKkDhbOgqy0DYhlBcrIC927ARB
+gZsbMHdxxy0fVwNF/Qn9qFx6h6Zpeny+eA5mGHGAaf5fOqr35oSRr2m8XQSkuf91Pd7O/HoBCin
OHRlUZ6SOGCHxaj2qPtv4YTjamwjoIb+aIptoIYvGlmuQXH9MN0eih739sqIy0qYTkBZiqreMgZl
k9EavHJkXuppCE+8CEHL2Algq4he3diRVNs1hXxd7VeUHOkagV9F0zyBREQ9j+8TfGVxsvfi5mbB
+ScgfCS1XPFdPdnhzbhJp7aqzV0zrxNEOesyrxL2OkIhznnt4u3nncfKBx4P3qWV7gsVTr3CkkF+
w9XyOLA3B7Dm+vnAAxRjSNbQrT3Zoq7vrBjac1UU+RB79qkZ2jj95/fPf4KG4wjUNfLqEeU0jGiE
NO0vt48pY+tPN33ExXATu9LClGZ289tUrd7XMRrCbAKGk48+PkepYT7qBJsbpVCpGsRs8IapbVy5
BrkIFV4K3nQpNpXyYYk7k7FigrgTdOLeY8FvdqwdWhOAE4UAANeQLwkihbkZcH71ur9OddVsBbGQ
pls45ISwhwK5gcM/f8nB7SX9smKQSMT8XQJWgyRh8OeX7Ld8Hpp26FI72gkqamTzKllyNlm6ESQM
tsYBcuwp2msiqH+OTZj7vSjvB5zN96UP8M363XAswcM1SdS/udJ6R9v6VS5RX3wd5c3ymO70WAGI
XwxkRYuvk0V0V3Tvky++raYZ7gjt4EO2PTBS6+4ZCse3Ihj9o2j1G6/8I9GwMpBBESeiQXDCtVIn
aAJv6Ij00z+/JH+OL8XcpxRDvYIYVwUxvT8lfGRDaaEm3Msem6oUQtJHpL2fJUGd33o3gZ6ADphC
CT2ekfK/uAU/80O/vB/46YzjjQDezQi7Bbr/eAsGJunnsvRxvC3Be+2V31wUHCatkrxdVZFWxDtS
WKp1t4EJO6eAEN6Dmg/ZNIz9/l+/EBAoqB8RDAGOY0wE+OOvgm3QU1bCcRbU/HB9h8q+PFRTEcJo
G09R4YP1DtZxb1v6+1X4a1r44ffX+3vu9bttlg5v918nVP/t6b89W41/nwOT//6ftwHXf392+Y/J
2H/+rNsP+tun4ef89QffwsC/PPlPueR/kDz+fYb2P/jgL7HkX1LZf4wlxxwn0+0S/uNo8p+ngv49
oPy3L/5bSJlHDOs2SkDRQpa4fd+/hpT5XyhQAgzciEOcgQmLkcb5j5Sy/5fAx/xGTHdEJp1hqubf
U8rJX0Jsd5gkEMPNwnQ18q+klDGI7U+7Co4RLCIEAPlnHDj6U4JTU2jgi4BJEcz5Os/PCQRUZGlE
lA/OZDDHzMX44quYQuC3qmkevTDxoKshK0ZoH2SMzu6R9gkIzjpKy9BuonEZwY1TvSmAR/hNT0+t
zsGWk82ySptFtMtq7bJ10FkQuOQAeVPmle6/NF6L+ooUKe3hKcdpIe4xTNk/V34Nk0MFe8TLOAiE
Po3aEMGdBMi1muIc+UmZAzvkcHsBU8MqbDKFQletws/+m2AeX/jDWBj+fwvmMV8mWzuhzf2fgXno
3+v9Sqb/IZhX1lN0CovhVzBv7G+QFY73///APGFgbyj3C5i3DuUzYdTlMGJekMXKnOtltjiYiTL5
CX5G5kEMXpu4P4B5CdKSc1v8Acwj7IBi7H8DzGtXkZdabCLrsYws8M3/m2CeI754reYaqV0uX6FX
V9kaYsGg9Zp3bgUr08AgMLOXBu0Spchpw9JC0jwpbXNZWuQ+LZJsqHncrmThmkIXxp1SdcEee1hG
3AwTE4JHslTIM3IIHU3VI3jqZJmyxE7pIoD/06pGhgCZlQjJq3BaIbHr+nn0o+cQRUtFHDrS4efM
2jbXqovAcTqE2wt5DzAHFJ/ej67s70uPqS0gMvwSnqs3a6IP6wiqF7HudTsJu2kRnE7XDuHXTkzv
FSjKTSn4G5rgB1ZXSOMVnoc2aQSubfCNC5Vs4pYm99PqHzVY83zt4BBqEX0Lglinnb+eCr+UaQfo
I/dIvWmS4ejB9q7rE9RakcHVfAh8eV8WPMg/Lw8f4nAHuPij9JafkyXNPtQ03HMVlRsu7QTNAKgG
QK4lY9F0hEL/tNSD2oGf2DUVYrlwiYLhPtHJ93BdoiO1l+iTlQJQm09JWGQsFP2euULmyCCs6QLZ
cnP7OwG7UDVQyPpd1RQ8V00cZYRHczog2nawFTTPtWgOpEoyf0Sba5A2x9+8QKy3SL7CyKxTsTqs
dp+92AGIO8HHo87wjN+w4GLGdyqwIdtG7Utaf4fHe6+ixv7WGiC7w5JIWCeVlzvP6jtPVMO2qZd4
I/A+KeHZhyr0g7T1QPTSVVcbzJwGDbIMOZoL5ODF2yDmzVj1SCtj7F4OMrC6WxqQOCBDTnGysGxt
++9JDwSVwHVjHaB4i3yXF03bumhUJqbIh/A5PgTEI1kJAgSAB8IvkwqK7dz5xeOIV4vCMEwXMA+V
6KftWKLxofVxVr3JmQtwygiWI8WMkQElcQfPtXs5ZUoVj66DrkDnEB2CrvU2nDEgoucPnvC/jwUi
K3BDTTxWadPrAR+YNqxOsnqg0P3ccqisOmCzvlQC7oyr0JiiRqyWQ2Bt7nF7bUvzAoyftfVP+B0v
4z7gLVSLwCdpOP50ZnDbYgh55uvhy4hbvIdjtJ2q9oUP7Aep29TO7r1aKfrkUIw4ySe8I0hxmTF0
27jv+9RC6UYw52OJpyhd/Qntk3CYKMGGrOgh+ZLA7O0XL6H6PJEeiuPc51aqMh2D6qBaePc3IppL
VL6lX+1q6POxrrfLiusMEwNsLMZcptNMsQp0jiEU78qxF4Foo3TwrVnwVZb+MWzu7FRsXeid4glH
vgGgDlo/E/29IY9yADVgpnyaCgHRqr72iUBIu/remcNg2Jh6rb5Wq/kJIUfnSNPkSC6ztG4VsmxF
fwiAXaLwOoZ+81EUj0IBjBg7bGfDJLarUDA5AOoRJr4kVlwYI3KbeP4BhCEidhRc8TJxsV+bxoJi
YV9dh8ih88GwBoBDdYzc+8BBtg9eW+faQh8a5RuLOEDZNgI9T5vfBp2cbpbOUfruqQvTIFH9tgvc
lS7YW3AXp6QR72MYTZuoLp6mcCvaJDoOK15bIcC36Guj/QOZv05AvBovmVChYXrGavpHIFUHxcIi
l+jw05BXCHlA0IQr9ZWX673S9NmCv8Avg0iiQ7jSzVxl/oAOdQ67+yKod55UVTYg1AmfGWVTXE8Z
Xzpkh+uSZHxY8AsHa4xEBvLXtL9P2gWht5j5aUTa1246DPUs92sI/Lex8cMyUECGwQKhWmR1PS7b
hr8m0ZQPrHsWntJnyNbDQYzL3lYNO6poPXi+Lnd+q5K0jNUPr++fEnik6KP9OueWTDvbo8aL0KTu
YBlvwwamPEaeIFYAwc2fhjYHHbLXvlU7QgywveTGAS0lXkd/VwJu2QyEgJYPv0es37R2xZ4A/g05
LnjvLwFcPgCgdgMJ81oHwQcvyyqfV/udBvQyOnmM2uY1hB69tdrXEKYxzyJZj6QiwVk0wXZpupc2
jI6wOO4Emw4+jGTwhMlm9kvUFDYzS/9jFt2aD7hIYMxzywuGojZqXYe3qk9ZtR66WWV9VT7rufw2
LrY6DLdzrUoobrejnZfucULCb27IkNbWkjwZnNyzBpCnwCm+3uI4uLCITthyB3YnLyx36RIj8MKS
GTteM17J1AJN6KNuU4wM0JEXXhkASd66u88W6P+sFfxjJ/hvuw97m1Xf/7/RL6Ktg775T/rFXyee
3wZEoVH8/av+2ijGf4kZZSxBJ4i/1ANRA3LC3xpFnNkYbxX5AcbsEP5roxgS+JP8NtE54L+Ms8If
1kBTxzD1jCbEB/r0LzWK9M/yU4Q/M4DEOnhWpNk5vf0Sf9QYkrripPQRkaGxMbmx+tVRbzvcNlXR
NTYDtJf0/Ye47brYfdU8HKrbdlyAgUpX7nKvwpbr9+1PKEXX/raJt+Yw3vZ07O2Mm+s8KsThkPWd
e57H8pr099HtSNB82wgKn2ksznYtt7V/h3Db0eAkQfoO4dMyLXHCOJw00WrybkJ0C8n71AkQtu52
LEU4n7xJPEVw+vqKgecXQYWiq0w18ipBAiAtsASlKh0f1SDNOfiGCgojGTBK6abjZiDCgPPhqFxv
h+ZUJR82IN+i23GKETQ4kot4QpweoLBVgCMR5sch77+jb4Wzy36MOJ+720FNSQBobPoib0f4fDvM
AyDSQ4DD/XbMT/sGZ74CZeGGTds2LzKxV7Ax+bSuB2LT2FoccqgcZAerMSoOiAceQoJkpioEIjDz
JgnaAQcUyo85ZAjyIoCKuqTjD8GtTFG3gkUL8Eu17GhmlHoE4tcl3X4EvnPQt0SXvRU+8RzmVjuw
7KiJBtRG9a1IWlEtzaiaULAbQKQopOZbSRXfiitM/unT8FZw1ai8bnMeUn0rxmQ8batbeRagTnMB
chMOGBf0w+/8VsrZit70qShLGOZdrComsOQWuvGlwPCPdfyYR9SK9A0jHmi+IDuUQcw61UFx1N4b
7b2PiAB8aaXP0l62fk7QkmShmeV2rMEHCoRnDn7wbWG6zrgty8xeebOI40QkPdRFe98ESKqRNUL2
Min2JfE3toZLI3AFewIMuiMO3jsmJRS6D9LY6QeE+rCZ0/Biq2WL0krsmhKwSDxyoMlbcJg484Hs
YRIAoxhHkATfobjarZnKCJNUws0Qjmdb4F6JS0n2/oAhAchcpW0ZQjSMjbvMiZngaHhfu9IDP6PC
vabDk1BmN1r0YCCdDMJFCGv74Af5t6Hw41ROIVhaJNPReyGp6AmZxxGyHcrgoCQ/Reh/XQsokmtU
zps1zsvYA6yOGQzdaPwMIHY5hc2zU0ARAtlnErG5cqqjR40hSdEAN51VCHnx9ssYySbv2W0uGb49
txCIp/kCMLDD6xEXWNvlpl015BunJaqeCfm2mny/zYCAMAm42EPJ0SDOwYQ6k5ofa31MjlZCtF/H
G842fh+T4sPw9XtUYuoMiuC0TeY3zBSgOMAz3GKnoS7eMI/lbvL8O6Srt7qArhlesIqA6nVJi2wa
+KheIQcyV54FqeDGlMwObgHarox7DKGbhG9rD43NyOr2HIIP2+ANSLYLwVArGiGvClgYp7gBKZuY
D36b87C20YYUEtSK1Sor5UFHDcs0nNvNGGFAHOiOPQZ0ICpBggUXyYCh7jzoBuEtjw8/ISUhIhl2
qthujpodlVakWMbIwyFRQVs5bkjkFXtMprpW9VKfevJQlkO/m1XVYWJCq85TGGcBHOpc1qLIlEFR
5Ko23tRUtqc6Zt0+Yiprw4IcA9smuwozUmLhr3f1V0uJ/ebJ8CuJgZKPZj7bxTHENsD69U4/dRg2
gEhByUx9sdH4MCCzjQ4rYNukQPDO82NMlIi84Li0471ulhXTDGy/nRYQGY4sUJiHGcIga08rkHVd
lu2ub1uyAxSOVJXEz2Nlu+cYJ5UuUTdukJUa0xJ2Wao0eMdgxl0PUh5Xt3PAmGcEdltmoAasqvnW
k/ipDUz9VPnVfMbQFoKFlSwAfto1rxh4sj7BvrJKHh/8aPQfscqffAySQ3IHqfMqxlCbMRphU3Ea
PEi/rS8QG0VAdwl2qOuEiX6YOqH0LkQIbiObSG3M3LcnLJECWbMyeJSJhx6fITvhmeakgAQ+r69G
0xs5uz6QyuV94+90UYBN9OIiM9AkowkeWL8sQCHWL7TDPJHVbnWFT1ksbKbE7cHeortCI7gRA6CS
lWESEoGR18JZyHo67lc+N9uwdP3OlAMKfV6MSFxgDqPz2kvV3HbeGIFd4mOLncceszOSTLB/Z+/M
liM30iz9RChzAI7tNgKxMxjBNZm8gXFJYt8cO15vXmw+ZEkyqayrutQ9PWZjowtdSFRkkoyA+7+c
850ZJ12VfhqzUA9zruerUF/MaQgMuc0YxpprMEYr9MU2b4OZ+IEuDdRijskRlt+7yyWXjlG8bhL3
lpnrtqjGfNtpHbI9Kw1P6TIsDmNr7xQ2AAej9SeJIsgNkPAOGUvYrvgeNHaGBRwblq3hl8BImwaf
eeZucgYMawp07TDoZ5fxzYbpdLopsmrejGYbcn2iBhbiO9QQ+yb3wmSTTGV/sObyZLh5yjPZ3nHJ
8AxUL3hE+MCE07UGHrnhpHJ5UxHkul3FpdwwjjBMP5VYfBE44K13TRyDzsg9kHFvxIoxdiyFLzXD
PbPCPY+WeMYSQsedTfOGAqVRnuRmxWVitx4fpKD8CPvpq81Lzveh+45qNTwZlhkd4gLXo21mzy67
52fa0qSIq41V4IFxahQ++LMEIsDK3DpV/9JZi992Fm+RFt0PQf+9qS5pENa7IoI/MST5wTby8tYo
GDXikY5pI4rTnPFsZ3l7mnQ8g5pU9M1WcNVj7iCr5XgTYXLCl4A5FnsOtq/v01xM29ocjhLmqa/1
6kwxCaMkUDy9ur2yIy7bPDG/efGjU+A3Q+l0IxQrbFZIEdII+ykWMaLQvFJsWPVqXczbRJrNGVCI
6cuaj1tv1GsrBbSXmTh/K8v6hv7WQWcO4qDE8XrsZjfiE5Kd6yJ761TYgTSw71stQZYkinJV5g1D
NMz9MsJC1htTs0bQB5Igdgt/QCBnZ2O1rsfoh8W6ZGMMRbY2AiEfsMp9CDFvCqf4gXlkPI1ZefK8
9s2UzXNyHr3xs+inxcwTfwntXLa4UiRnWTHbEX2tdwu45zO0wpu/OqF/HiT7++WXROjxLzdnvyZS
/gcv+qURcv8mWIstWzEmqWQ3mGx9f2uEWPcsiGaXSEBgo8tf9evGTP+bYMfm/v0VS1zHbxszSToU
J5fn6DA/Ibnq3p9phOTy9/9hD287HIawg21zoQsL8x+gmXhPrECfc7US4Z2bOdkp5ro2lnu7q1D0
crL7aU3Bpy+3u4zBP9nK3AEMlUibHOYXSzVQLnWBWyr69yiY/HoZCMxL/YCUfNvpdbAxUZisUAZV
uDKaefX6mNE0rjj/920+vrUMsjYycu5xizFKwK9FVT4w4pipWTGyhDhqOQvV/NVPOBJsHtQ1GD9v
NVL8L5gLPequdQ6w1zHyO+VxWeXM/YTV/ShqSqZxLM27QezcSWAGzsS0sVV/yqOw2QvHqrZpPyC4
Rf9r6q2vWn2gk0pMZqVAUJuhfVE48rJOZ05auTcwdwDamXwL3YhRPDFNe6cb725y4JJoMSNG1Srt
+YPGMLxPeusL8afPZGcXlLLaCKMa90hoPlLJZSNH/ueuyddVS2m5CEBzATMxQGmzmWL9wDXtcWuP
98PAzRTb7qFJ2x0++rVXs2ZzDP0kQX9wv0AKsjogy1kg130/lFs15pK2htXnwDDb6q12W+ICxiCW
BPvYvXHT5hpbATXoYgcY0VzDIHRa/MiLQU3beBXuqXkOP7AWeH4nFXdzSAWND6Gu8nSFWLPDfsn2
0ws2lkE5JYPnvAEg4pZTsktR+J5ci50mVqKS8xUpWISoGt/9+IkSzrqDQtGukzgzbrzGyR8VbVOU
ObBvaVk3qh7PE1W8P9lrYzLYKcxOeqKLFaMWstUU3s5plIB5OIQHfcI+qNO4CxhYeg69p9m0hKRi
5+uOytQjIDgMzOoGQteQN7dhG2zzRDj7usesPSfGDQrKctOFKJPSNu9XJV7PVWpbMKOc/gVnmb5K
KcBXuSrCjdVl3yyWM940YuXv69VYddPORKoU98ZNYA2I2/LcAocxnSPGVqGWtgfQzK9VoyircvNp
mKuvob/Iqf7qzDLdiDT9AaDvkFWu3A1DvQ71YNFTMf2t1FuZdFtvat+znuF6UsBE5Vb7mqbp7OH/
jDN5cvPurA3dtzhr4WCx6LGbKTot+uHcZfOBViPCBzw4XKHiLhbZzaQrZtDRpe9HSA2iO7uasXPh
F++mGrSpcPfAAw45m+oN/okXy57e3LZ/t7smvunbj0KbsYmOdX2E6rtvp7JaW5lOLx8GzsqyjMmf
LcZ4bRVtw3QS2zBSrDtYmeW8ZTdppWfwrdBVIstK9lGTrQoI52u96PuVFmTH3oF91ZR8otDf39cW
48K+cG6rEqx4iOffTIv7MUCBD8x50yQeJbM2fw06roZ0lPoOTkS6aj3rhdI7Qrk4zmep2XdGzQnW
J8WjZ77LEoN+aY0Pwore2oBaTJWq4c3pj6PXpqsysvZSH1i6w46w3PImNCHw2ZBs5BCeupFBje2l
m0ykG69LPnXT3ONWHjHcFdT0KNP5aGfF0e3LryDma73m4uvtz5g0tmPiPXiVfYgYaK+T2XlimQi2
JAzxyNXNYfAarPumtbZsgEPoBE69nRza/n6YMg/DXgDeY7F9M/1sHWeLXIPtbdX5WmamkNeovU2I
bXNuYk5Apari+psOjWq09H5tlNY+MTX0CYw8Wk87wpcxKEWY43SzB7zpKcxChx7XkQgfrBuwP8am
mMDgDEl3wovRI5NKHlzBWKKvTuC9kgehiyc0d9hpPSdm35pjNXI+HRW4O6PpXmVwgJ7MryrrKcxL
471XKKDj2vKQ6qIpYjO2LvQRQHQaY4JpzkNjYvCwwg/PHeqHZumNkqVLqpZ+SdE4DUsHVS29lLd0
Ve3SX3H0c0QsPVe8dF/R0oeZS0c2WWO3EcUCHaRdA5c13BhLB5eKUd8ZWVXvJtq7dunz7KXjG5be
r6MJ5JfcbLOlLwTZfeHgAjC29Izu0j2KpY9slo6ytIarPY0Ug9AbTd0fOi9/4HhDaW6biL2HG7H0
pwGNKr6D8tV6Bqww37qyOJlLR1stva1Fkztmg9qPs1mdsPbimV96YWzs8dpc+uOORln87JiX3jla
uui/irx/r8gzSQyg6Pnn4+7/9YccyV+m3X9/0W/TbrJtLKJryVmgmrIcBE6/FXm2ZZFUr0thuvBK
PCbrvxR5hLEhueNVuiMF4KOFV47S8md4A5mrluRlSyAEfyxf+lUE9gcRG1kVv/z778Mb3J9o/z+I
+wRjbnSldEU234v3D7KoMbXmsRxrFAdiCtcdHsOist911VwSgWE/KtLtlAxfvcXQwUyCoxNX+y4P
VpXD06ACyMXR90QU5/8y2JA/3fNFhIXnfxBsmHM9+xKwISEPfwQbml7bbUJZ/HfBhkW+HQWOpv8j
YEO9jMxtqMw/DzYM9O6BdcVn4EbM/RskJcY4cGwBF1vB8dmWGaWxlernWYlT0LwDXaweWyP8rBMO
DglebBOnxtH22thHL4/2LceIlleuz8yw5bxO17JwqHlytBUQIOa1M3j7Ppc9DGPtyADwTRPjgOxD
zxnPhyY2Cyyk5kZj6uf3SFoYnkCN82KOTyrPOyp6iDaCfnwsvuLZ49SNyt5vIucdbjyKXbNlFhNQ
0RaqgTl5KaN7EQCewSA04zmuvmqbeXLEYOtszOFOK1yxd+OBpTCoYNAylNJm1d1RbspNEI6MK13m
IwZGGGNsngwDL4RRfLg9O2CpG35jC34DqViXqHtFRm7JIF17O4/uc6VPOLun8BNc5jVEjXN1dHUx
VRZsY5Mp58DyXHYqgrPKVkGv40ep8oRJIYORRDofGkhzyIaSWtEXg55z+bBCgWNtD0Bgasf7MhiI
TW423+Va95DVQwFK69NOtdgfdes1MORrF5s/ShNuIW7+mstmmUp1KOAD9yOYjc9ZgU6oWptJsvm6
PNbrHBTRWkQIY+Dcs6rAGWiP1qltSoqEZnrSWax7cujZKnAxSmO4IzfmvZkZXCdmciQEfdO18r4V
+J88E7REvughmhvNYvgCgHxAhgCGZyjHp3GaDkR0iI2JVuHGw2e5LphAMYl0k1UIUL4FqhHIr3bI
bhtRaCBpnG+TgcBrjLXkppj4O8dQwsarnCejjwN+tDFdJ713USig9qEe5fsBtSiIjWDhs0L5MgwG
rwGik7VX+KBjUtCTU4e4xB12lSnuslanDgisRy+uzNWAwMtXmuat60GdmxBWS5gJCqFiAyBRrqOS
6xluVg+2AZJdFfff9NnFrd8yy20WsqJsQJOJAvcw5oyCV6oQ+Q8wWHfMIGO23YuRifFgx0vlM9SH
elzswAFOii68JB2+4cmNASql+W0ZVsA7QSu3FpijmErTT9PqKxD0fDX77XWMDd3vTRw30fziVID7
tGr6Dq3+OXbNMyoNa6W7HcViH58RpvPk1KumwNU4aUDGO9t+HVTxoeQa5FS7qXRI0lXrruxODj+z
erBkzD800MyHzhZqRVcUgI+ks4HYw1Q9Kr8NhbvrAmUfp1ZZtGf4rZHh7ccYz7Jq58+4EU8cet6N
lgUQVFDFmbjXMELZTfEhSP5Z6/BtijBzwDh0Z68qr70Xfcqx99jf8OkUWHBT6pltrXkJO1PcRhLM
I4qRc18DcAbSdkQtYvnW4hIqamyUeIBv6U0yv29cgWkQZJL0Poc4fdPLGZ+3/uxqwfs0zKei4elw
ovhCedhdoRsZvjfTu9tVAT2mjMt9VosvtmEKcRHz6wrJx9pMEQBNMb7LLL9XVq1uol0gxX3TfP8y
oFsx6H/jLm8ZbMw8QTDyNlr40hZ0s1gQIOyEEY9kMxvH2cVa0A17K7mEbniwnWmAhD+C00wMTpex
9W3MA4C5utc6L6Bh6geZmmdFcRkX5fDWmQICBuupJP5qsig9h0toEH6gm4RByQpx3ZoFBQi3lPOY
4yjflo64uHFp4roSNgdvdDGI6DnUdefXn6K3b20LlAt9JdCXFGaCLOOtyoNhr7B/daHHJtLAfZOH
5qG3u/yoONA8ADmbMdXBXbCZR66FIafzrGQVFPfYwkpfpsYhCLpkbSMpO+ZxsbrVy8k6zj2zXED4
yg/TcUIvA4MHssd9FqYfrsF7H+Xy50ENHFzkz9mUH6I4BpzNyMSttYdxDIK9Fab4KrPqBJ3zi8Ot
5qA39xAv9LWqK+dQRc5TZIi1Ut4hDaaMKXQdn/Ai3g4KFGf+VYxl5BujN5xqHu2czegqS1ivAz5c
806zz3Af0jZ51UqSNOpJLW1Fcwmz/pp6iNUK3NzBFIcXZ8R8FQIQAF+Ma6TVCj+b05rWqkeo7Qzt
WSSYL7sWR1/mfU51qD/St4c4XWdCir67dbuirdZ3eW5eGmky6kc2qrLMO2XkXezK0n0txeJlhGlC
52Nfp6My2HlZ8wZlbqsnJ9Xoaouf3N1bww8WYPpRa/H4eKQ3mAiPEuAGW82Roz+itwndOfabMcAB
ozvJYZyvrPKMvVKMpfTxjmJ0h/W9Wrd5/pyG6FaxdYIP0Bh0lUIvDzRMUOsDa6vqn0qkfT6NgI5m
86HW++SJtfaL5iLhcsSsrnppYhLXI24zT4986bXWZRhMe+3k8UZTKIuqeFqTDka+ll2nB12NOtuI
kZydUkOd5UBDx/RvjbUPFsXdC7LB2kqHWNqgu3DSozUAbNfDF1t7M6pl51ab+SUtu/4knPkmnejN
+cTFavjhRvFd1lBA2PbMpz7rT+M4kkvlzB+9BtGxcELWN4rDXeR4uTOvS9+E0R/6BClXGt73nnwG
V41i0boNvOpmTKYbZXyaiflu8xGXTrgRtcC2Pds3jj3r3J0ZKgwWwhZ8PBr/rxDw8GxqjJmGUxXj
YgRhOjL+bx/aydgxBAUF03I+Z/nwobU7MD/v/ADXAm7rSWcqvAphuioPG08aFBNPiftDw9YSMlJL
WT4cqtohHQdJBFOb5uySxQIKpN+xxESsGudHxxjMg1XEn/0UQXf9ZK+3ZpywUnO0n/r64nL2PVnl
9B52weeM02+u44sRF8s0CidRNW8JvmH7EsorTe2pgom1ycv91F1Z1wWXrBl8nBM2LogG01MqULLN
Od/1jMh6agr0dHP1qJk5GFtdabT+VbyyNNCiWdhuo46bOmQXug7xwh4FlMzRrtRt3UAu1WnUe8WC
GDuWODC3/OLua7Y5s4P4ovHuruLYftUD2txGuNvSVi/0O/cTAsVNzZnMSDOBn58kEF9ZqPH5emEG
98VyVFvprTlvnYAahNXTqiiKj358ZJW2mjIdzzHjbD1JxD5OqTXaoju2QwDzZRz3I0QhGBstD2Vd
Io+B5+0NyTlhP7CpDSveGfn0ZMzgPeO2eozZ2lQFS1oHa1Y/Rh6rnRlGXrDo1yyAkfqXMU370dbf
+iC4W+4X2DgPdhBw85igPKWW91vOv6uZB+Wh0MB2jYHgIA0yrn/vyLG8sjIZ35ojQQRuRtmYMSVx
vRdvsp9GWQ+rpO6PZZtD5i1QRVroVXw5Oj+UO5pnLwKGWSHMVHA7d9AZD0GZq4vmWAt1cVgXsqDQ
BvN4TqzyW1+P4OI1dUsyS30a6/BFFxEyWzajfy2S/r74+Q8jPf+wE0Jo9i8ldasfydsfXVvMC5aX
/DJhsP+GYsi1PRcBHJZJbwlm/23CgFzOXhxXLoUUeyaGD79OGIiuXhp+gVlr8fVJ+v5fJwwOX2Lv
w9zCQf32J41X3pK2/Ic10hI4itMMK6dBV/VTufd7Pd00u52JOy+j5xpu4zj5ZIXBviTQj+7ARBAu
/VVFCG6nBlp7z7OK6vhoAj+HR/ZZNvabYZCkaP9ICWbYJsSUgMOrr503smlOozPWhvNC22s6m14r
1I56xXYjS+QKeXwMOkOE+z66NxJvHUtj3NKdorcgOQEO3bJRtdAaC5HZvgt2LC8ypsrmNz2AthMB
vGLDv4NhOkeqOfFzwpAS+nuWGtHOgz8AxQ6moEM167KnYPM+oU+CymapeMAQiosebJfGjqnbRyVB
AhbO4UFUb0mdxd8s8aMKEYsjIEfsxbw5gacIMaFEAJMSUmfxGAcWgtssSG+QOR/CJBe0pL6QeHhH
xDRjGfe7OMtv88iLVywEHU6yCAHC4hezUoT7Wey92guyyx5hVpBwVQkq/VGaF1LvLtAYtBWJApC+
FzSyLfuN7P1az/RTUTXAtP/tOJfBpqCTUCEoLv6zOBd9QkoyPf1fjnOJrZlwt8DcixjtX+Mt+PL/
d+NcqOm03dCjD/8fiHMxlzgX+f9TnEvpzdMxfgImzXjLsr93OhkfRYf9MwY19C/iXFImn1X0vWEO
2i65OPngsaMu9oQAHGeBcceu2i9DhDhXwNJGlF8509WWKWsD62HdLTepsdypNAwv03LLGst9O3Dx
plzA5XITl8udHIbhSM3ENb3c1xEXd7Pc4GK5ywMu9Wa53S2ueXu57+fl5q+WGiClGJiWqiCgPCgp
E+x8KQFYeiRUGy3al9va41/0o0IO6etaz9bT5b+o2CgZLZTXsAkh4xF3t6qFXTNOfNCKVG07ypeB
MsbIyXtxpy8gf+ZS5XgZs4E5cOiKmmwNuI91mElargirRzQGfh70T7E5xbu+7+herOisVCaYEWFc
CUdyfzwrwGHHJhwvB9klQXusc7iIS3VWUqbV5UA0F13mMD7CqfvolnoOQIlvLBVemrXaqjSKL5mY
L/VSBRZFDEE56P0p0L2VTWACLB95X1E8thSRBCUoKMMmWDTqy+RSUGzKperUKT8BQ6I8XSpSg9JU
LTXqtFSrOmVrtNSv0VLJxktN284WvYogE3Cpd7ul8g0lNfDQFo/ED1m0TtTH2s9KOaNmHgxmf+5S
R7MX95n7BSTiXotyXy/19rwU3ksBvlTigpKcXLeVudTogmJdULRTkn7iWXkfnhgdxnN5aSjvNcr8
bCn3P4el9rdpAtylG4hpC7qlPwCf0e2aQW3ipXeI2vCAdUTz2U+QFGq1awfkXNZaP7Kl86CXY11G
M2IsXUm59Cc06deKhsVBPji0H93SxzQw2tYR3Rpbqgdi/KjjNXumCj6JpQsqRXqY0vgLv98hrNxz
VcMCNrNBX7muvNGXXgqTeoj6d8179q7ln1k73ORleTMbJgMLF66eheJzEsofNHAtmZtUB6dnnz+b
6KoKpU5p26frdB7U0RyJ8QTqVCk1HHqLiiBDy021W6P+Jgp1cHVYMuJpHrDUeIF3Dikf9nweb4cW
EGKXN+9lZvfrEn76NlB32lRf7JJ5p77IPTrXQqLmvabjMi+B8QOlHZjcpAcHKXEfdRlKQLycxdrF
cUNzO6FM172r2VXnekK+oqv5exHlOjrXXRBJX7beluRJJg+Fdk0M62JUDOmUjG69ktKoruJD3iZ3
Y4SoO4oij84R8LGZHKI8OaF2Q5PeyjlkHjq/VnP1LRwRR6PpZQDXl9lmkeYZyA5B55LDXPMGfukl
H0pibrWVphwWH3X2XAVk+sCoOiH9LUBedi+F20bMMqsAEfA+iZgzTvg1TnHXIHEABYgSYsZ9ntVE
Q8bWwTW84VyAW2Z2lvoSmZnfFXUC0X/aZkai4XuNaVbKdscyf0c4m9iN6aGDyQoiyI8bjZgZcBFF
WYAIa8wbVNNvTTbco/pzYAcrb2dW8j3HQg44rqXsEVl10bN539k8Zrmb8jQMHk3WXmJsB5FGsmsO
d/csy1eZzMkReQQM0/haBlPIxCD7XuXTc+9OaFeinjG001dHs+B5ThS5i4Ta8vh78i7rw6NT8dPn
A4LGohhZ3s8Rgmbmd6LvnwMDNbaIpwcGNzm0PqQJlUKBmpn9LRFFF93JETc0+rCJOJzbWLyj34X9
FwCxQxYPRLocUDmyI5kjsIleX5gvcfgj9zLwzFpinNHhbEqwiouuuz/O7T7rcSt7yHr8CMEvnaS6
DJM28eQwEAMpudIT/bVpwT1C5lBrsyCJAEcJIX1GdRir4GaCKHcweyy0ysY7qrfGJZjrbVCwmWDi
MY/ao169I/H3Sbp40TWckTPWAyJoirnfUZSv2Hsv8QnlNemza5d5j3MTQAIr/RjqTwh2mfr858TD
7otXkjAOJb/zQRr7fsGhggBi13BRaGQqkb2Ww0CILvEQdNSMdXrdvi1iCTttfM7z8RwyM8aTdrWN
9KY1nOODzM07L+UccnIOdmKFXOu2RaMEfEQ7jnrxkEXAIa30JhuxGSIDXk2Ju27jY9Snm9yC0DO5
mHbIxcMDbNvlOg60daJfzPCQdR6MSPS9Y7FBmEx6i4bbFLcEQLZVgPhGVerFmMuHhQOX2zupyodc
Sz8Zu9HZ5yfT430qDZuVwOecGo9Z3p+npMC2vlyhASDMQu5phG46DTRWy/IraDZFWV6Dpjv3urq1
MRqMZL8Qvb4fFDW9bew08rXLqkESC3N7AEMWmzhF9yhMN0aH5q3cDY68HTzvSByXXyvUM8NA+kx4
iyoWa6R1Cwzo1Wxbv9f6c/vLr7fHtGHKU5uoFynsbc5JUZveYyGD4yJE+flP2Ptjh2iErw9dwXAx
f5Ua81pyJOkcdondPguhb+YiK9Zw6bZqQJKT8JjRA7AAK72tWSLvRZ2rNmays82bzi0eof/6cx8+
eKlzozXJh0gpD/Q271Ysnx3SAhBL9J9mvm6x7lZ58tQmhC7XQmvXkieTLuPeTD6KpEEONnwkaK5X
NkLZleyTJYWQ4G7ZZu2q7auLd0XyqjB9Ouh2p/yjGdtyQ17KFWDzBiDw+OIoX0/gaCsnYJg+VKT9
Nju2pcZmMPCSTPWuwzvzzeWYx+xrPYxuccd5T96HMT7lyWhsUiJAmE77kSLMaoxcDB21BqNgukXY
Jlf2LH6cUeR+NoAcQWZXlyxgBTfVYN+YbJkrtNUUZkDjUF+dzeHLCqOvrq9+5J1aqz7iYcuY0Kba
AySdidYOlY4lDKxTJ68FIleaSYalxt5h3sbt3GFWbnu2Kwb9rz4Uj6oLvk8DI3pXn4nWWESMcFiu
/O28Uq3m2Oz3Y1EeiIChd9UHAwM1F3reOlcc4nIVR/aD24AYhWGpSG3SdnkX3FcjrbltxPe5Vn14
+vgtq9Vpqo3uYYi0D2SiG4flIspC7bummme0r51ftsijcGgUeASU2FfODe70FD2k1x0bbXiVfYMO
Ln3BltVugLRKQOBsUKtMu4xQFP7Ss/ybehbPWUQm/1zPslJv4T8Mm5ATL6/5Tc7i4omUHrWZMBdN
8O/Nm4hYhCUQHyMYtqHg/zZskvrfIHlh98TCSR67uRCmfhk28SV0LouYBTG0hxTmT8lZ5E+5yu/l
LFhNl29YSs/Gv2x7CKd/P2wycm2yXFA8Ky30nmTiIvD1MF+zh2jae+744FTiFNhB0fuKdE5nMK07
Z/rWhw6wE23T1Yk4TX15AMwXrvJKPzl1f5dY4xtAbiR3In2m96C+K/sJ4MLV1gZxRnd8jaPwq08j
fD2i3sRddRJ9wWoczb8WuOk2BqfWmj1xA7p7r5MNvM17CsfAY7szc96NpNVtjNS4lB1B69lZmp1x
q0Bn8iDU1rplM6Jm1Jsx5oS2LC8pyq+t54TUv3mCdi251BXtWxofyMh4R8hwUmPCvnQ0yXejIdEB
IF7wz78Xpp1/z6cjLMsWDuKQ+UUNe8KQmL40g9GRGRY7A3J1ztpGc5S3Lm07v4BdT5DCUayXAVZP
A6Ex8zUScsqO+bhN+NxGahG4UKHWeUOZTO9cF3XjT4281m10lTqwzsFG0qyEvNX6+TtuoSfZo2IT
OkoCr7cOSRdrF/Ugp/ZSKoGHZX7pIIjZYSBW7HRQ9GbeW91luyodfnQB3Yk50pY69fwJMeAmXoB2
tguq0i62ZIR+zbX4zJiPzG27U2AADl0S35Bnu4l6WZOsO55tkpkIsQRbwNS7qUvfqpx4a6uU/T8q
UqLQ+vI+A8HCTFIn/hOJDLD1DXpVn3U9AzJUpjjdnqZwaxbetGHZRzUw6Blp5SOERnzv1oBs878f
KFE1X25gkfVYed+gduzrTJDqHtyHZeUCMYnyHRmVx8FMPOxw4h4cBNHMS16UTWpWnMvXNPFuS2ya
57JqcVNG477tGYSFWu9HfZfs6xR2gxsyYGgrB0YsetpYQfZxt7PXVncGkFi8Q0Si1cVX02XqJi6q
fDPEJBxXxqPxMeZZuK+JU0Qi0eaw/ivnBInle+5wW82ptSJZjdAk7ncYiU4jXsLE+NQcltgp+5kt
eay+08hjhnvpjAZkvFL9Q5zUiHWLHF/2GT9YYNPTx82mGcZuJ+10HTs5S8lxufjGeFsv2gUjpggR
Ki02fZvjCeARSUNsYG2zeHQyA4BMgIFx2hgUvas0ISPNXi60gAwPUsYqZsopbfvQfGlz+5jJCuy/
ZvlxYT9PXmUg5ElIyYiFtRZh/jn0NudG0J2nQr9vsvlhCXiBVK7Q8/tdbrYrutdsoxRQ9xJmTRlV
e9DXfUpRTtMfshStfwQ8PYQytdsRezb4c6gK04ADuyt4xHV8no3vdeO61r8hA9h0SG5t+K5z91ok
JPn6wmJaU1F4e0cvPIjo3QnrtWaBu1TzijYdQcshJfumzxDlU/RU8hsa9FWNACgavs/U65kWbWzt
e7P8XUiVkq+y2cUa5lKg3bgXphMMHgQTDzED6ojxEnJTPnO0Jc23Tmwd+2qo40zdVWvf7fabpbrl
mws9XBL7yb7U9EW5mPh5QIzyqmI5lK33KCW6knrZ46DxDFpajNIVEfXC8r0sWitQKWPVbETQkF9E
BfleCqChGCRTx28TGziMt4P+649vnGkYM/1GQGtKB+Kub4ko35uzuytN5uAu2wCE0HPPcBoVoBvK
jSJUUmoOLCAPA+K2c85V3tA9TnhOazU+yixNTjACMFvapoMlImER4PaEoBntsJ5kZd06Q/EszCy5
YOIjY1UrrvQS6b4GhJWGmY7AxlzVQ/g5VWTghbOQUF/MaheaTfLgmPPLhHYYyUccbdz4jqfQO9Yz
f9A4ymST2az92qLw1o4Tx3QV7lXAgcFzH7BJzlLkzbN9Yq5fXAh357dZos5B9Y8EWTefjdglj6EU
EfvBivAiBzRsyMbTzx0zwTmBQy2EoekyZwL0VB5UZbOZKL176t8tAeoOJAP31QEby6CsYXjTPsP+
3UnZqJU0KSuLECQmkUubTAPrA4PuFgPwUTjp+5RMJA+oxA8VXFK9J6JdxHcz8qNVEXlMZQARMMY6
VOVAlPOAAmLQ5jdTr41Dbs/AZRMCIXNJ9IguxuemxkfN5RCeNL0Y9tgnsl0w9N/MvpabFjALCx2C
5OpI3vbwRKlXvUfJ0z9SpbANQfbowr1dD+g3uLHm56RPOadFqLPhdK+KoNsEABG7o/6cV20IPGH0
dcvFdupkaj3i89Sq8ZBgj13NC5v8rzL03yxDGRZRAf7zMnT7pso/rjzBJi8v+a0KlcKgyHQZ/zmW
IReC7G8rTxag7qK5Jk5Ftw2dL/268nQASkqDGlXyP1g8br9VoSZLVJslJXUoVFGbAvbPiKqd5Vv7
x5WnzfGAnZftqeQb/GMVSs8/T5EH88xkaw+wBAP9iHwP3gFJTjqRA0WTBH7YcAE7Q4B5KXXuKBNJ
3rQX/oKG4AEa9DxgdkON+JppnjxoD2551W1QBarpbr05CM6FHb7/b/bObLlx7cq2X4QTGz3wSrAX
SVF984JQSkr0fbvxQxX3O+rH7thph09T5Qr73S+OcJ5UihIJYK+55hzTqK7AVrSdXeEEMZ1B21FU
jsuwawMKD9Irbh2g1xwSE53+t7A07vNxYv0nFb5ppgtUU4wp8djQpxsMxeytdWb5HXTsE/gkFodx
vZw0kb4OoZGeS2+486ztYMTixp+mlzlxQw5oiJINtIeDM4wPwqPGYJ7FbdxXEnC/ti1E0x56Q3tD
adjKXL4gAQEhlsSCIqxQu/gT4G9MBnk0eCKhAmnLxhHdJ7HfHVzx9yq7HDgyf3kZm1sNlMOS+e+h
TTAYzbWz+zdp+q8dTVTB8N1r3k8QBUgpVRXQ1tCt4ky+z2b8ZJj8SV6hrxY0fK/KSH40Ez+zMKud
68CvmHmzggU1yq8ig/DUwJo4ZynQTN6tRwXp8u4T2lhxx73oyCB9UcIzH9/S1t5nbvbhNeYOjZUS
E5v4e8WeOqhSHpamWejbkd6T1iv6nR1qHyh6d4nCLMxIFGeeVYABgGjEWs+ZrcoedGKHw+i3Ozer
2SD1Hp1kzdpW61mTsqiVxsaWNhW1V9ZvcxehEdLSyowsslMsM2rOH/bkvNO0NKyMlhPZkgL+s+vJ
XRsJd2Cq4i5SrY59r9h2Y6ECnrSAslyOYuPQmSI7TcY8HoZqONZeCPt5SasNummz8rOHtKJMkFEg
Rp341iIrfpmS8kN3xNZn983+p99T16qtUp+zHSzjMYhicnMGSLRswfRcqHV5izMzruBqzPmIXBQt
P7ySgibNj7sbqrBoD9MxPa1rwIwIi/pLmKX3maCLQS3q2yYEAM5xYtOqNT44RnKfCfLYgGnW1e/4
pEd7mjMTlvcmH/LEWvX4AlplEGAs27o4BlycA0UyRvBk6mumTAVQuqKtHM1v0/iocR04RfRlqJMh
bgRr5AdiKXUqe8KC9GZeu5F1QdiBUHR52DstpnB7uEjECkOpFjFNebFJR6eV+93Gz15tpXD0SB2V
0jxAylBd6Z56pYbkShepBpziWDwG7grd82TH755SUfjXNzOyyqL0lQKhJURwKRFeXASYRikxQ+Pd
G2W4M5RGAyswRlVHthlq5rPOv3KkyYmuou2USuWRyD1C6T7VEAHpkGswTNdf8dZuZofidFSM0K/7
hnP8EfoG2S8lKNUT/0lpTFDgcVWjOtUlQysR9CHsKFHt0SKTml7p0Hvgqg9of8ROjJl2MItvC1HL
mH5OxmkgLhZ0SvMiVsLpSEPUKpQi1iGNdTnTcYxYtmnc+VtX+pmBkDYqRU0irSVKYyuV2pbHW+xS
VHIM4xPhLhfHfHmnK4WOfd9W8W5eFsp15opsVM/fS5D1MqXvQX5fsahyVtD6PHuZXiPH2ZSX/LZX
2uCESFgptbBSumF4RYi7haODo/eXrljw+0oiCx1WqY46UcelaRHeP2dESZu3MymZqIdfeiXC5WxM
70uCivelIWpSrcq1p3TOTLSYw+LiM/a8k9mG9+locFU2jzI+WyyFlF5qKeUUnuXWbqN41ylVtUNe
zZBZhdJbYWBteiqoo+Eg9NpZOz1ptj5E1gTrouHFawysKSMu/1hv+Hhx8Xvjci1oz8yNgapCw72L
eXYEOUZ8xqjT5P5QgBhkhIK3gB11OH8z14ONgFK09OE58xgOQ929dSvvrddH+uo1EE55f5eC4wm8
tnycp2bDBnBadT9iEHErx6NFx3Lhps+Pcb48hv74BDLRxZY3qRSxeMeIcXanjzBxr2xaUHdT7VO3
egANzX0+xY+mquKuCkdyGbPudqcfQ8XrsedwDFxZ0MRGBzGPovXYQHS0q+/B4bAsO143pHvBZqb5
QQlGCa5n+V5645iXL14YT2s61QuUH34KrjWQmvlPm1NG0FTaS+O4X6ztAxmXSVBCidx4ZsgcM4ob
EoG4ZGM2pFbqfvZGfLbrfme28tExaaopbIF5sb+lXfgTweDdSKlDpsO5xbKJ4x4cHiiklZjdTwxH
7zg5fzQhJMR021jZQCxSv6Bhv1YNvSKOTvFtrXyExLij6Tlxb7J6X07l1+iRCpjKh6aCGza6u7Fl
s5/M2mtS+XeNm2JVfaA6AdTqa1mUP5KI+3oN05jgymGKo7eo9aA+RW9Oa2x1ZB0jml7YpVysdvnO
q/JShtlhNkGbdM59FOYXnt4U9pz700wT47rS2tvOyc5zrj/Opfs5m/7zFL7QL//ZL+bRtov1oCnX
cxBCprTJhwq4PmOn3dWlfWiyl24cXoZJv5ZuiuJvJje8FkSC+j6+soYzbXWtws6mzFqil2UZNsXS
egUtuHUa3i3zc0hmrJDWc20Ny7p1cHvOONEnl1M+1C3GznrGkPeZZsYWF2e3oXGZHmsqSeGs5bXx
1WUOLn0IQHV3W2lAXnrlk/fIBMgiMYlz+re2A2uk6iHNZsRCaYAmdo1ta0VdZLnyZpkGmgQaGdcM
7zK+taMOwIYlvg28vvwr3I2MLlpR4wQGykG4qnQKLsPwhf5ekgBJte1te0ZksH70bQ9sqCFZoo3F
Ewch9Lslvls8cW827bShAeXnmJdspPR3S6FxU4b9yX2ry+Tk28XFcMAr0Pl1MnS4ZaBE7Kw+OV38
rJoIAFbF+3GIqE+oHqQs93nsErOjd6MZmBNr2o03VvZqGE4Z0PgQBeXsfXXjdGaKvTgOoJ0uHHHQ
d7c+tLqgDUn7ce+5TFhmwx76zrg4G8dJvrTSvaMI9QEyCQvgdHr0Q+PbnzH41ZhM5ozv42j2TVLP
3NOIBARRvTwTtt0ACcxJ2NKFRZ32OizGR1lpIOEyTAdCPEL2OtD1J5nP+X1mmt3zuzq4NZeuT68F
Qx40UvvLcXktTiW+XclNkBD6GqPM1XOLByok302JOV6I3VSwZ7JBArsJ/7xP6tYjTZvm7KyBqMCh
iv3XnL3tsc/Nh1+v2c3wVXCcXRdNmp/DetnB8U0vHKJUK3h5Kmo3fkilg2I1z4+jN7wn5VC/hDBy
qDNLN5nfFTvHiei2wsy5TXN5zKiCqrVckhEfnvyptY/Sm7VNmnG3/M9o+a+NloaFMvB/jZYPH2X/
0f73/yv+PF/+/ev+MV/SPqK6DFhi/Gor+PtwSSqXHQZUFocaDjYd/u9FBiR2Pd5I3zdtn4oM3Oa/
D5cexEudZC0gl7+1HPxbw6X/P/20hgk4xPHBsrCk9/7Cp0T2sdzBpcm2yhIY4dRyTx2FJtVoviTw
UHv2eqvEaaa98DSQGaMBsI2mrd082W+jM71VwCpqVsJ1ls9Xm1nJ4QxCcDE8UGXuMlAlm6qLh6AH
3LBx4a0i/pNVquhx9OAzoB4NecDNXgGjJ/0tHZfDPLCIMPTsXMZlSfDIRgRLnU3uE1hkXXwcqdSG
FPHdSlUlif8otL0kGIbkPjLde5mVD1Kf6rWMrZd6cigIEnR/1nPyPI6iO9ZqS1tAkgyKmOvZyak6
nrtlk6f5U8GjLEgrq1ovdDxTXIebA79uRdQL6rZhcwKollt6mX0ObrBqpD1weDCKKxuWe06h1E3b
7s5300sc4bev4vLZMzjj6xLml0opZcSVGhVbUvklsh6S0l0VyxvUeJG59vE9xDWTFF13HBKqDQE0
HkhzVXz/e0ATuHl8ZNhEo/OtD8PoHKo81ZjS29CbxRHzx4G/PO57lb5qsBU1Ko+lpWOyHf0JgXLM
t7ZNaov68As6VqJWD67VHEzSXa2Kebkq8FWS/ALdWWwnkD3kScHbM+kFiQqKaRCkTpU7HkXUZufG
y35KNlg96bJYxcwa8mZWq5+R+mAQk6Mkj4ZAAtGnAndmq7DarFJrcNd21qDtrZQu+71U4TaNndSR
pXUdeDVoFc73zJrDK84O9XCBQtEV8bBqScxBIA14pDhvhWfc84lSuTo7y++dwr+gJ8KPUdm7XqXw
CpXHKwjmTSqhl3DKXjUjT7pOkM7lgDlcyfjc4gunx5GQn0/YLxH6s0H4jy3QB8HhLzgnN5NKB04q
J5g2JAYrooNc1fU9XZK0BWWLcvaAB0v5T2P7gCt6OjQaZGQx15HiGwdOzce8GmFfTEQWQ6KLhjee
W7eCY5JIuJ2+HwAX+ahy2ztwqOWPZGWDlEYdHWRM7WjLBz/iNMrn9+LRAhcUOlttTNdBYbTvrlWk
x5JjP6ybacuHncEyK3van8FepDn0kxZTEKuW8WCVW6N6MnDT7NGMXADLv8Bvih/t5xOHe6M+srFv
dyMdq9y5fk4WPwRlb0y/Cz5uFGptbUyMSlGGh7639Yv0fcretfZbclBcS2VaL6IsvUzGMUIoUHtK
98bXZUaMsT9ooXVPL8YQ1AWnHOLHbFgGeeCGiIWMwB7F34AMQ6/bc7cJkJ2XZz4RZIRSxtC4MV8I
gA1Amg3s+kBqk95ek3JaVoyp9PDR5raZ+eUfl4HPbssRb+w5K9vVW9SkRG45cjQiTk4ySZG5TXyM
luncZ2735i1RR9iRF1Z0NrE/WO8Lt4kefu8qFwX1edDxDyVn6FCzaAwG0rYujYGLr+oe/Ha0CTAl
A8qyhVRh6N/dmGXbfvksF03bzFb57rXdGzUvFD4X3bnr6xvHw2QCRfxktPLoaumF6DqpW/E+Lday
x1W6L/sMKEIEGKnLhy0nIqx30k1v6tERCg383LSAWG1GlE1vTLSny/FHI+A1FsgASZ0/6x3K/Byb
iOz6dEv1MLWqYpYB8ET3NbYgo4/0HlicQRsKibHFQgahDZHPNB6/GeM2TZ+afa+XLnYYtsK4zwb2
KR2GOoXKXhQ0O1H4bAOO9qSA2jlkbaEQ22EIbNuCuh0q/DYmTAraa8T7CTZ3rSDdxXzMgScNCt49
Kox3Cc+7h+vdwfd2qQ+wUKIalWpiOVryN1sFBB+GM1LFsq4ghdNfFkXcLDyevxhoyi2VVoe09y6y
9Y7O3D9pMMeNX/Dx5VgNwMihwxcbRwHKE+7OQ6wdDE2cpzD/9BJCwwVM81QM91QGb6KqJ2mM6YR+
L4VAbwRc48YAKdp80qLcbIh94wSwmouDLwfIEB9khVTHgp3uaDul7gvVwGnFrasA7JZCsScw2Tmm
ljurFABhk2FkPz5y6f2CuHfdg5PFXwLdEfQkoPcM4nuEx/UYJvO+8cce6dfJT/FcP8Z0UDbec6Gw
8WUY1Aojz1xaB1Cl3StEsvOgYPPdeHBhz/M96dauyWRbcrhN2mVjW4DqWWozfVsFWFCFsfcV0L6C
bD8oxH2U5ixFod7P0O8zj4Bej/ecmPDC4VlZwidg+RnUfB96/pwNbyTg8m0fMVeYFmgyhdr3Ye4L
2PtlhbuWWPa4muDyG9NbA6U/pOTiaJG/80bz4KC5rirhANApLXxDCbn5Ngc6aqQXYYpny4MTWQ1O
UGIz0DqLXRx85slM0LdczABpQgmGeMgNeLFj1F99/Yh3s7y0Fv7Eugei6dGZCiMr26btlipv81xa
2qNYypfO4qobO3BzoQV/27X1B7twoEz8mMpY29uD9ex6R73PqxNcr9yZH2cVsh+mGpc21ZeThSkw
kdCSoAhzfpp+TGlRba0i/6wbDFt58jR58hpKCY8HzUrkAGahfM0dK9B6akGZ5uHPpRD4s2yPZSIx
o3Vri3fIaDQOdjxTh2Z4aHo9O8bsmUdX/ynobkNk4PCCVLsHRsr6PIV85SSAI/Vy1+TunaWvU9PP
9gQBmkHjsbj49P0NqItlOu+8uWenxTCz6hqIGfDMmPNq++DjiWCgI2zYlDQ/TMPDgnHiZmjc767C
eljZ+g9pljWGAfUIoI8Emth0Nh1vJXEg16ZmPNexeOhpAOEmbK1Dm+NhGd3FqBgnIfgnmj4xd543
2Fs3RmivCuvZs/tib04JrGMdtTAx5ufNYJB5cvT8iwwx+UgY69uqnOIgKu6LWa/Xs4QPHDb9wY/d
t6Ub+ieA1TygPHoWQhrjXI4WswsTKolqwqsiMImMXzPPTVBd4xbJqVwuEnP2epAeRSowuzZ9zoMw
Nhbtzl/OOdJ+NVKVmvU9Za/SZ+/szofRiN1dkcwvXWLIozOFz13ncqf3D+kM0amak2Sj19N2qQoP
WfBnruFBpPJ5HVmhdZDJqja06ZZIVb4b3bpYLbZbc13wM2qKYros5XMbwewuWbSfSHfhMqce5TLo
oBY8/JcHx2Hmo8HS5NN8xggEKsEzXho965Do+cnbqNqOCe/sVJmYZzAhxs7EMdt5CjuTl9GjJ3ge
lasFmhHgDKEduv6adgCRa1d7i8sf2YiJn+0mAOjS085R3r8OsuPxaMsSUVqUweIP0yblxBjpP6Hs
fS8ivzFqNayOeHfzcL5lKC34kLw1TWwyuM7kssWPoah3i+X3AagQe20qk0ZVRoim2tWPyipAy3/t
Oonlz+AEEkfhfqr0L8ulAE1yn5y7srudez7TIQ7ZzAD+4jbDSwpqdruI8DVLGljO0n8yupnMX0lu
f2myagfj+yTpq/Wq/qYTFartRLagmxaKyz2TthG8Al63lVSUVBnGV7cYlq1pjzfG4kApL+tTZbIJ
k/28sRvKHh20euPqUKnEm6zfyNklSNE+xaAN9ny57AduZk5Y7hfjrhHzR6Q1F4iwzYmU7aPVoSAV
oeauxtyRKwmHjOZJ+8XUOftn8S3CJEfqCexfVL06bAzyDOeM6LMoEDRqrKwC33pScUfhnoRHdjxm
SZGtkTFPDaSzwt6x3rkdu7jdWtBbopZkea6M44j1/xEH/qWorU7W1XNV/e4/Xzz/8j+W//1ff/JA
/v6F/0jc6p6h8FsOzayeoLDiH+tn9zfLMFj6ErjFfSgM+08mSN/jP7B/ti3ckAbWxN9NkMLACs12
wVPNGOyL/w2mF6TXv6yfeVmWywtAimD5TPL3z+vn2CRmYOE1XrWzQ7Am1G6wd0QB9VUGcre513y9
XGtLjAGG2xi27Y9ciGjDhmXLuvnEnRyLfari6rW3YTV7aSMWxXAf0Vs9eoEiHMObAsty0n4llHHO
hcPq2oyjTT27XtDg9LKBTT3TithZ9m1mm9E1ojodEPq6nstiQ3St4BTNPS68m2cN5F58XySBnUrz
3pppDHBGx9wVTsal1rLndTN/urdL7TD6T5OZdSddNz6MaCRiUjibWBs3OrzBvbDocTC5Q+AC5FAp
axYy2N/0GfNT6GoBWspdq8VvZLTWPAHfQ/pKA9u0nzLD2mdjB0Cy4SqcXzxJ8xXMnYE9ikNp2LZ2
yC9zE5xWlWSjGRunLNN0CuedJ26P18g2lq88mijTYp3ea8aVmW7ZU7R9ruuWBF7o7KU4C2PAMW5o
8oCJ3OaHm/OCajCeoF3pENXowx0DcaAlS71hdHo2Df0jpsJ7PUDwYaBp2XmIolvHS/xBQ/GRoTVY
zFWYAE7qqHQijhQCaQ13Q8N0VxLtWsWRMgEqxFa+59yi1v1smcOIlNgIdw0Ntg8ie/lKIxDjPFfx
IwynIWXsEnx+QkZmtr/WQzH0LL796eBb6WNmCtbF8Y2VcSv0jC4DPW946zBaENvNx/mRyqGK33qL
XwooBhlGXiZsw63Gwoa9BVqRJt70BhPV0LElCREHlqH4jnoKy5E7wBLs+mn8rKy5PFRdeyCxtU2Y
jS/G1aT7F0gFN36Gz2XlDwPO9qYyFb5g5fcjj61KHfTSis3+iLEusq/NIjY8OyNeMH1CFWeoNnW8
zUBDQTNK+pwir+Xsi3JlFCZtEK2DN9I9Cc14QDwqdtIYN6x1Rh6G9k8dT1vhXBrYZNtpCh/C5RJL
wLfxZNc33oyan5EXRA9Mb7N2+honrP/anNE+APGbZzRpsUS/GWweczmNKN701MzNeNN6ybYf259x
ORd02XJiDMUblM6bDmUgSBtEu6iHkdfqHq4JH3HacsyeV7QZJwhIsrAPuZYz5SfnlNU3kUfzw5Tl
h1aXd0M6Ipq7XGcspMeF+TB3jHDrzfjFWuvqzBaECps3yflFD2UgqJxlTes2HsUquheDnq7xJz65
Zv9r+T1vqH/uEAoXJ8j1hA1U5u4loAuCiHwcNdGheVxHnP8rDoD2ugmZ4HuD6nkDdip/kW83Zvet
lm36QScKWby11tF1C5cyEJsiei3cgKCicSaaXZYMT7YGi22QEhBcZQLA5EjuDEO1ZVh4KMK24P+N
xTrh31mqkN3ZpAcCJteqVZOLTWsBnxPtlIBhPXANsXnPF7qt0h1LdSuImswAT9vd1EyMQTMC77AI
72w07RK5mr2Nk/kKbfNoDcO8HoVYQyPl52vZObVJ8XOeyZc4r1GV3bjIJmGWHPusuSV/8zplZUaF
QXSFP5ayzNW/c8O/pkvLp00OD4CESa7G1HaHBSAybcb2gM/DxJDCe52901XST/WIWMV011F+6cPf
4lJ4zrDHbhZltkAXO829hWqV4DFOEjKlZm23gU61ur2EP6qxYhwH3XZq4nBNze7DkC/J9b4eRXms
h/qeysCzZpTZzRxBMHpD7+QY6HOx2Zgu8XnEDqYhp029rVPQlhs9Vq3+qCnOPGUkdKEvgtaSNGo+
Er85lEO/ry0jpQQhI4FCPUzdoE6PRXG7ZNaMFhJuc6vg45fU1WUoS0oIkuiY2/U3QojqnUvR4MYv
Yc9nG/RQvUCrmcJDZwFBoI8myxuMfBk1ADWzrsTysYIfO2zDTADWuoY1elmW22e0/dt8RBdp4i+e
KBV9i87VLasN3+0qO0bnMTLgv2aG0qLceUV5xd0wRj9mZ9gQQNwQh6WAAjQmFTG1FmiOXW9SrQ4m
3R+uNjaCvdF6Nm0MTISkSgGEyZySCSSJR7sJwMcq9o0Xb40eN7DEp+gsWLfraNnluMUZJ3Uc8KzK
dWn+KJfhdUi8HVUUYH9gTjex/pgmlAYWSN8+YR0/w85/Ags8gG7RxlUMbtvHpIUnXma7NI9Obmt3
R9Ow72fyYouaTEgk0XyJZZgEIfWVTJoddTWJ+FkhZnEL0uyD09iPw3Tl8dty18hBR/vtfVr1az1P
PweLZfdSkxXljJ3iFe6Q97R2JSn8YS+ynfrp1iTFwHKsAyzYvhRM8bAGSUjm5d43jRw0nV5v3Ci/
mYQL6buLl5ve97/LyMWLUonX1OVKLF1poj7LGjgv+drQ2yaP1F1Zu1lGhES1ZzuyDqQ2uwPMsYFq
hY2bD4+TB64Cc2irkgcc3c11XE5cYaELkYhf4yLSXck4EWBqidlsoMKLOnkaOZrEE7fPxnW2YCvL
LRvt9Bj64Rk8KjNnl+FMYHWykXV0M093IgvrnQxbf53BcQvLlsWpP6O+ZAv+pEX9cib2JJrPCHwo
kxF9r9GPupNdmVU+qmX4hAnQ8swcn2RvzvA6GCAqvzhEedY8LOF34XbZseERrOB+pmHJYyShaVIA
sE9dwdRZkD1EjVV2hKPm8SfOhPHKLuRryoNs4/vFcGpNPYjT5Ohgw/GRIaJ5OhaIBPtCFTEZhdgg
4r/VfQpJmPSc5TRH0fMZ4i1mQgmz3SzMaxpVN07nv83A+/2+20gpBOR5eNCiaD8xQFPCYVKD0eO3
0IEk++YlkbXxIFPS4E4zn0yi1rLYRpWHXEg3EnMf83Ayu/W6SvpNokdcyPa57nL3gHfv+z8bz39t
44nN1GSS+OczzW74aL/+NNC4DBm/vugf84zrOswefMhZKjrCZKP4942n+xvDiAkKCF66BY5QMOr8
XkTBNpN/Seiu8H4NLf+YZ8RvIIVs9We+KzDa/nvV7ULZZf8c6rJxAxAT84icESL7SxEFAzaqq+Hj
qIjo8eperajPuVHTpEsajE4zunWTkiZKMVssAbWmvhqy2Pid5W6Wue05zywFZP9GW9eD6mOOWE1h
Dah+VLqNslp9NvYErJ7LR+OE7yUY5mXeeUGo+oBLioEHYT4VjU4vlzGrUmf/LVctwmo0CETWnxA9
KIJvDrRlJQEnfuMw01G3ymqwq4CBvPVg9bs8bC52Aqjdyat0M+ZEhTj1Rut0Kvo9LRkxGRUff1PH
Q8CQMI1c5xj7RCqpRqatTvUkJxQmk/xJKdQSD2k3H2OxSB6n3EndiJ5lVzUu62lo71Pf46/b+k/L
sb8zJ3F2jZoJkjm219aU3AIgIlNAm3Opep3Dl8rvj60OIL6S3jpS/c8ojDcc3wpshNY74FGwEmWu
r914OZZ969/qmrvhYsZb1qjAB8MGrT1xxmHGvMrZeUlVEzVOzQ/icSORrQgzIRK9pXqrEV5x1HAj
nCwTTIFqt47VSsGo+u7Wc8p9NxWrou+i25oje67asUcT1vnU/0x1erMtQ5yw7pA9Lx/1whuPjWHu
pM9uKjOwYDI9vls+0qpJ4mvFUoSRKbdpYxg6c+913gUGFEZsqrwH1ek9qnbvX7+ebpS7UjV/0wzC
AjqS9Vlj9730dD/So+RQoc2GWVft4dOCF4c2cWnTK04BCtIuVeME6rDcqPbxkYYgy7pJ5zS5idX/
REWznwabdDb7Pfr96EITUI3DWmeCUUtCc9hkgwET1SPT9AhaedrnfkVwZR4wzJpaSh8U+XAdyPy4
ILOiiZGbyxHCgdCu+HTC4gjHFEXMvsV/7quWvJtJ9tdFycZjZM0r0N7brqr1Tbo0L0BRTni39mkS
XgvWNJQHoDTanY9nxTdZMxXLbaYpMyV+gAH30ojOVVo75C0VgyNBHInoQJfYeHRiO4LJB+BTItsC
pOUt0pr3yaO+Dxwx5HC7iIKGdSFA44N06eliKFj27BU5U4j4M67N+zBFCbaJxQdWXX3UdI0HyG/z
midYuqHe0DmKrNwqtOJ2SUvcBbL9MuMqW+u8ulV205QFVQCadVm4YQVplkAumRvj7HCsn5MRB16G
WtfkUINH0Vzbes02odngwIIoFioAll40wUQtGj6smdAn/Q7mgnbpRdOhElQeK0NiK3FMDJAkG7l8
FDq+TD2i99bmYsB+ykCFMdPpXGoBG7Yf8bIcW9ImlHG6b1LSqzz6Jx98zDgs1FGnHp+rugUeODAU
+fbYnwaLRrOxe+Iwu9FkAtImaqCOtTqFIglYhky869qUH7W2MLlVNe9lNSa72RAJW2X6IQrfug3l
m1uRdW9A/KQEldYZoo+t1B+/ZHPMPV27oSZ7o/EcbtQDubcBGvKArnlSp+qRLdXDe1aPcXic+EV4
svML8tSDfuGJj7TCbGxeDE4CtjoSpJVvYtQGnuH2n37DBtTJMUSG6iTBicLlZJFxwpCcNLLezDBS
xFsaMCBDchrpu+Kzn+iN6L38jcztplC7Y6Mcxn3MWYbj/doRPfuu6FiyErBbvz/BViMpbo+vdBLh
kgzBTCdzGB+Z8WibY93l8SeLzmkqyr09KpnkHkHvKWetUh26RPgdq0NYzU1I70AINBYG8nnqnxp1
ZKs5u2UTd2iyAPq92cu3Ph4/nNSl0bKxI2wr9mOv6CPY+HHGGu7OICQMtaNdNzo9yVb3YHrWqzX3
55mqy5Xwsf4ObrZt4muimx2lntLbyKyzAdQQ3rIzTC+W6IJRh3g92izCbQs3SN6yNCHvceMuWOd0
ln+rPJbtqRYYK0wNd2AxZbxKKXd5vFC4tsQU0WZo71kJZaQ2xUVMhXNtm/Qm0ijmtgSFaJGigE9c
4qOpDDNJdsj4RoAmqX+EiXu0AKLOaX2xeBjwiqqdY5s8w6q22TeTv436zZRxvsxLIs5ayPZ+yrxD
ImWPE9gLD0nVXVvJFrPLuAw0GV7CuD5SbeZ9xsX8Gh2F8+RJipgqbKlzYx0yrZhuxyT7DAGsrhrm
kQn1jJDFxalGsS0KR3/2RiauvrDRLDisbEy4G3skjSMn7SJA4hrqY7L00ARA7LnYkpapftcEMPI8
zWTg5t2Vzk8iF3kKBpzqG9qu7efO994dnKKb1qIkqfbjK8PouqHmJfDc8Nz2fGk+ZcnW5xGiywgP
eZTuNCs5JF/c6q9zbl+NhgAjOGUZ1CNAjASJw4g7d0/s7GcTeTiNm5y6a/Z1RQ0HeYpGAPMQehLh
/lqtumzc/DNgGWfdj9VuKAhfygidKDHYUBc+F62Xn0foMFjMccwrs1ZVa3dD4cxMpMZuYJIJRgqI
p0ocJzWF+MaIClm9mKn2vZQm2fGEXTK88MeKrUltmP1Nmb7UcX1XiZJypJAdLYCQgkUQhfA6tlRj
YrVY1sZ9R2FAYAgHbE3Pgzec8JtDI7rMGY96TrB7J7X3japvnelxHVWha6qqXWtV8hq2HdcETzrQ
OGIfyWriMdefJrDFrR5CFYrxw9qEGSSt7TEPsV8aHrpBqm8FyLGgSnQMUWa4K2mgLQ2b9KKnrx20
APwYfBJUXW2jz2tvoMkrZME9TRjHYrptdVVyK2i7rVTtre23t21UE27p6vBYXb2CTlFy9wDKrHej
s8QhIR0LDRjbDI5iuiUXbjoJ6/KVHBaaoBfv25hfMtp4eebdzKqeN+8p6q2NFzBmq9KkwHehyfc/
U82/ONUYutqP/POp5vSdtMlfp5q/fdHfpxp6UoRpsfQBbipc0Ki/N6/4v9mQKKgaZzwhLOg4f9jS
iN8EUUOVH3R1h5noDz5O/zfihEw6noBmKtjX/Dtbmv+5o9EVEtVhTKLoz1Z+0T+CKkQd4lsyDBWc
c+4BxPHpG7KvdhruzTp+XIYp/NvejzL5/73qRUE2/jJF6fhQDYtRjmGOsezP35FDg6clMf4cf84y
hnWaheq23vjOQr+W+DFptLvF5S4a4o3huR/sss5dsbzpcgz+8E5d/za4/bF0xvn1rf440LlC9yDB
MsoJNmiO+5cFVWaSkePxhnGqrhbgqg7xNXLMeLG2ThcZOzcnh9OPHRbD0H8W6B0cdPE59FgiJ8i1
mMhti0s7pSgaggbNOQGPqHEF/qvat9Z9EjMNtmWVU0kmX5eW+64lPeLnakCZyn0qZ0LZhVVt8gpB
zp7H/8/emSzHslxX9l80rpBFhEfnA02yb5AJJIBMNJMwABeIvu/j0zStH6vll9QrkmqKrDFlJpnI
93BvIpEI97PP3mtnZO55zrctpymw73AVSPCE+u81v1r4O2r1XykTAPirIiHPQMSOZIqAZI0qqUW6
91r24yZXTgKqlDOwkdo+mRFO3eBFd3yQG938UsclqY1q3uNDn5d6PFlsH8b6bkz0Reif0lrTLnZm
Y5fplLNBeRwi0caw5sf5LMyi3sXKC2EqV4SnLwm+2MtB+SU65ZzolIeiSQ+OS25QV+4KH5uFTOZ2
b1A7kioHhpY+cmyHSyRUd5O4fJNVU/ziQhsvTzSATDeM/M+1mdcrqfwdsHRvnnJ8SA/vB/3nYst0
w1GknCEVFhGM+StexcruAdK3mflE4E3cJt1XChsiYDSeQuU4YQGHetggorZEH5QrBRDEt/7bp4Jh
BayEQ+csHha/o7redvaWDjOoVj4Xz8edKNUQoykXzJTEv2rli6mVQ6am56FM011B1XcuL53ktkK3
S6+cNZiu2DW27BzYXS4THurL2aB/hAmqVM6cFotOrrw6ZGAyXg+VKTnV6uy2ACj0lmIEBLSRmAOH
v95URFYwrjW5m251uodb/cwWlvtscq3wDFkuTHFlIhpIMyYN0QwHAb0oTehjEXFRZT0i12cqB8H4
jGSvzEmOx17BuvXKtOR/WsrC5OBlMjWr3dcCfKAXCEwTWvniauHVa3RxQkfUfCxRJOEx6yY0iNfc
Ux2SfWebuJGGXUYZqjD9PtEOF617vFY9nisH71XQWtOiwI1VcuLbyp6VROIWqD4WfFu5MnDZysrF
MwSNnwTHolZGL2uE39m2B9fLHmcz+LLxqfhZ5h7qYEvx3VNvO/3a9oJPjafxohuJZLnzI+z1ZpNL
KMLUclQZd7NMHi2z/DSpOqZgHhyGsKOXjsF25CWsRjfVFlkdjstu0rzliO0ZQFeJMZOCtL4Bc9kn
2i7QTLilk9Ytw97cz+yJNmMUnMMsfGMIpW+en8SonecSvRuXDO5RxmmvPNPI+0PtAOoNXbnJCZrB
zac/dyLE6KhC3YJmXcWD7vXyC1ea9UQDQrrk0cW+qUy+o55G4EFo320aFiuIZyN2F5W5UUW+Jhcw
ABLp0dEB/vANIf3k1mNGh8ySdd8H6eJTZvBQKQq64rC9uxQy1djOG/FSzl62MAwybbHPKpJzaQkR
C8wbsJnTTBWITb2n7yZo3R2xl7B3rlIVFs+qutigw9hRZcZe9MzF9mWSKnQ1jwoyWC9Ny9MWwVCf
MCSYq1oMB3xK1BwEb8QMcbar+uTAUDEs/i7icv62tr2HmeQQHyduqFUomyM1mMuS7tdKq9UeWge1
33r52TKSfRFifdLDotom+r3FjMTT9bHNxAfsIBbDZf9qqxJoqeqgPdQR9DI2Xj37iHUI0kSVR7si
vcWqTlqoYmkHh83BHLo3QqLBIgDdk5TZV1SAdWl9tmbIThaP9X2qKqsln7wFQMQbYv3JchrvNLE7
rGY6qwJ/YgeCxW+Z4Xjd+hITdmxRjU22jRG4sBew/DdwJgKITmSGa1Wp3QfTQ9hTsh2Wr0TvKmba
/iJUDbdDB2QyUcydSyq6me0ojs7ePGHX2xSG9DKOac3S5UBbZ2+Pa95wRxTaPtcxkOf0gPsNlnRC
mPQ2jKom3OQ/QI3N30YaxIlLQTJVpeIhdntP1YzrqnA8cSjBcl3t4FNVuShULXlMP3kbe+eEDh32
uT31FXSYBx5l5j52KOrJJ+ywCY4Iv2U7NC9nu8hWGBJ58DT9lUxFthCzTlE6jel40dM9JymaWMwF
n3USHDzwfapo3VGV6247H41GO1MiWSztljeNz2V1qBQuMNZNmrJqe1ukTLBtoMo3tPjd7jLj1FrP
meX1W/TkbpWnw2tczXyV/BaW/1p7xa8Ao91iBB17NBv0rLZCGZJcRljKmTwWLOqdzAXFL/O6deKc
i0r7lsZ8Q/BwXCQT/X5alRrnewrlK9fw1JXEjkkrfiXT8fd/rqzxe5gGXCQeilI48005ZKO9+CPJ
Q2YE0hNGhwRcwPZck+UhopD4a88ZEqDp7i6fsXDSdv48UYPeuPfaz8gGFHXGhxc6y03dV9TA2qze
W314T2sXfqfRvcxOYC/seHhyLPTQPkL+QFPgWKf7pyyjcom8Tv+JCH+VU/CcIZkmi+aZusyWDBrk
raCoYHCVSFDSW9o4wGhYisiqYtzz+0IQpSuvg5KEORiRepy1HgP8rLTU4Peif6o80qHijvA/f7kw
33yJOzgeeK9s7QcK8R6OCtAgpwyXcdPeymndusPK6Xi6FC0HCPZxFoN6ay1k+YsqqAfqRJ+ijjmp
13g/apvN/pCDH6WcY8njCg5kO/kLqTc6G3++FxNmTdGm3NtiEg48+sKVJp+ySF9KrAqsjypGwyKQ
S+KU6dLPNBqRCsqce9J/lOqqUw4nb2no+zSmY2hC4p+rklMe4oXe71Q0hHOP6S7z5XL+CBXqR/T+
R6IhI9VJ+V2ocz26M1XDS9ryWLZT+c4EOoKA61CNtE1HxjP0io+kSag0LlVH0Dcz+QQEQMeRk9QP
mhOexnlSjffGzTHl06BFvC0BWIVoRGg1Lj722Fj4T1rr/RrLxz6PnhDgMON3Hg0qZpys6RwFdkB6
sFWK6+Rf0RTupZHxIHRv+aysG5b+FTTpU2Ne8RXdYnboEIwfxja3T1lyiCN7KyANLER+DYcOYZYH
Gin3EspCF59nTUAPDSmGHlpqwfBpNWNoLb0ec2N/P4iq4PuJzY2mw0li5VZ1x8mvxjXplp9Q0rLb
JBDLzbg9D3gRyLS63K5tPOnxWN7SojwZbiDJUhWHf06zf+80q5v/Y4/oXQRX+j9Ns7+/6I9p1vVM
BkXX1F3wfVgL/9jRMc3qOp9F/H46vfCmZ/yxoyOVKAycikQT4eH8Lgv9jx2d8P5VFXYJXDh/Rjn+
I9MsF9u/mS5dnXHOAbwIxdG1TI/X95fzbAF1xsxydnS2b76yqOjo3JVX6WRn20P3CfzmQnYI3ka3
9Rzt6AbhzshyZC4gUouhFNyyyO4i7q8iLfpkSQkjwHnu407l95kktCbb2IN8NDVjR5XRT0n1BrmN
izXep6O8NZGX4GrnGSRnVhUEGBZD1X4VbDMIDP5EMdo0hMoTgB22U9VrSLciyHl+QUcE3FyIdxYo
196Cez3f5z6achfyZT59Rp3j3gx0PxpS8QBQT9jmxU9Mp18XkpAeoVl3LhJ9CPJHTSNlGP6akc5J
liTPLu0aC7sl6YOJ2laH5TADWZxpjYtFxjOv/HFEDwbFYbeoYXzUphDOYeG8E6R4dC6GBbqumEOY
ES3L/K4Zfmiwe8gdrF4kj4jfTOc2Q0ru0WqxyEc4HT3O/0yQbc86KCzlfRPZRJ8okWaGcq+eqGAm
iNdk8Dn3bJsncMrNPrQ/dYfdTRkTeMMWsYPkCEMiaaEDRf57H59F2QCI99ZljSc9psOjNOG3WMo5
ErNlo4LbWcIy11S2vVW0yq0daMEbp879zK04yyPnpYpS0kqSngQn9vhroA3FcfGMDl7dDXZzxmT0
kRMKRQQFyo5UoXoWZy/YeT3CPD2Q+dBj3dba+y680E99gAtwnnF4l8rqbeL57sIAxF87HtkUzJsh
g4mDnRXfR7cZpNj2WmIdWsRlS5nJW2Urx0dxnPGZa752Nynjede2oDEniusiT7vqvIwdusmbJsGC
C3N4SdSthAEWqRRXO5VXzX2kE0GwUd1HnO+AFvzdiBeees1iRU7xlcLTYtnhl8+Ucd7CQW8qK72u
TPU9H4xe/2Q7p6/pWuMl+m+jsuHnypCve/0rbkcmpTw/sor5ppnxR+O3QerDOiOhxszMUqtVRv9h
6l8hZQTnOoQooQ+AJ6L8k6C69paQE2jbB6FiA7kKEEgVJQhVqAC/Exaj9sqAS4THhZdipeZ61iO2
p262MVQ4IapDTGrkFeD0dgtLRRh87l2uyjSocIOpYJTBmJpnen6MO9Sf6q5RcQiiOjcwkgQkqCVY
hW7ABlrJLI4SXDIlvVACCJZZyTFjvvNS/LZFYM1LrawJ2mr9q2ZRflPZSkBoHk1q93ZVrfcL3cXb
m2XIOtzvtQIxCBC2ZPNI3mI0xV4vKJyLdffGx1L9oiMnOWzDSbA06BLsIwXKmxeE8zbQCn4aHHhl
UJ80p77B8QFIqA7F8ffxSGXZ2Zvit0gdnVBEf2Z1mNbdEdaLfZr7VV56xmZUx67L+Sv7h1Ydxzkm
pY2M6tcUUx2HOWuZmXzlVOHJbPHNRupgt/KrpQ76HgqW6e4lZX6nRBMHQwtpLfWq+5jqr7LQz5Ej
r4px3khugusEXBiganvJro57+wiTpTCPdj9TMpYZn1aDZM0oxVtmwcCRUHd8u77HStgraFZh3dLo
97K4jClavxg2FL+Jd4fPIn8CNV+brs7PU6m9BFYyrITtgasaj6Mnd1XeQfrneqbrw3MJTYNUqIfx
EGRmpH0Aa2G+s0F1RNV8aeMBrAS9CVXsPDiV/HaARXEx7p+Kyt10gs0qTSKq+PRIVufJ0KzPInmc
veitS+KXQZU+jGKtZ9Y9Zkl8Zmca2thMs8zRskwtfR+L2APWBXgS9xmkNCf8qrnOqj9hdpx20U8T
AHjXIB8yfvoamwsboX+mImHWjHsf2WiRJ1GzSh1o8k0HSo3IkAKqj16GTEP5ZWvcz7X5k+mzDSdX
zngUV0ZIyxH3X0/tOklimbgFqvxs4LleEjoaiQFz/2+8HS55ZiM/w4vKv2d46rCpymNuOttZhF/q
L7L6/BzqhQ+kaksdYYI2069cm8VO5IdQaFgLLzCwXKKseYxcGfK+Ul06d/W7SM0jm/VdBtR3QW0F
qUrsoTBAmTFAqX9Ta4VPLEEjFBVJYt0iiDfesSHBQoNHg/VmJbJFWiNyJUZEJ4azK6rsWGjYUUEg
QtwIKbHof0Q7JyuM+P3CNQeoP2TZNHGe/JhmOL37KcmDhw3dCyNjo1enH26f7htP3BqdgOr/LBur
K9NfCdhcMUx1tbAtgcZrewqM8PXxCAqv+bd/Mf5XlNuT7hSiZJDmpZsZvIA+XFjhiBvN3nVRxnpJ
GB9GkDxCgyHLGZ3oOlmWY/UgA75bMQw/uMDJpB/xS7P2Cu+mxjmMuAZJgiaLuVpirZDTcy313f/X
a+f65piYrbDy/fVrh3HszoQKyFg6bbX0mnI1KOHn91ttleFjYjr7rnbPzL93RTeAbN/I5FIwAZh6
8+WazXvkQtCS0QEv03Wq6s9p2vg6z2U+m6AgGlVPItoFjNxDmU7b//nli//ircfoxZtvIc0Laf4N
c6JocNtm6q2vAZkte7c6D0ZyHSYHBxY2UOZBfRFM0GdngxLQNr4jOcknRf2WDPAUFqKYL3oKJ1VU
+3gQ30PLh5kH9bkfqp2XF8kyhOK1sGp2nhm7/jyS4zIOaNMooAkFegWjlqjc3EsHP3H7UKUeq1zM
DsET4BcKUM10/89p5e+bVkx+z/jV+u93bw9F3X6k30GNSfMvqwz//IV/uAohvasFHAEamwFE8pn6
s6uQ7kGLzRfABvoJqQD+64nFsV2bUcfkXBFYCP9ISTGxcIa7ls5Xok3/g/s3eJz/6XHC4s9wXVNF
pHiJf7OB82FcGwAyMniIePUaYglExbWZ4gcUEa27DCP90zFAZK5J23KCEus66IqBWX44TDuEjIHD
AeHqKrvG3bDtXSaSLuGPyVz/NdCdlghStclK1D7StdiNdPSOqGqvjR87u8QsK/4wZ6WL8rtsTk74
FE3OT4yKTc9HLtZB3c0LozLAd/nZqS7neWP500tbslSfTTIeVqSsY35Vrd0afdgAz73sI0I0zeD/
MkDv1XjLXt1cwypF6jKNZmpmxYPd5FdMko+16VTbIDljL7lE7aYaxHNemNHKL6Mnt7W4kPebEmmT
8OzcbKF1fLdNDbh+HIeV5ozBve+OnD2N9e3TPkIDYp4gXT113jDtPNP38Duk0WOOHT217XbbmeOR
FLG7kDEcPlS9hssBIpfcmCkg4E4Yj5h2+nVBCnQEd6BjpLmvrGfDqnJMD1q2mmV6iSfd2Ecw7NQl
tGwqwgS4uuiI2uVZQVV9GOlbUwtXUfTLBDa9D9MRutocZfSKUy/Z+c4yGwt9jTpWoJuQmO6/ZMH/
A2jF3RZy/MwCLvS0xK5jP++eQYzcKoVGkORZTk4hT5mCPJa6f+lNdzhbeZStuzj5Zuzrue9lyyGt
cb1YNk6NCLVRn8arl5iE6UTxJTpuS01dXpPJuvjiKfbnAHpVc7NFFa8Hz0Wta+ZTZ2prftQ+yba8
W3ZsF4YK1CNVQVzGclh3Vse8KfnkugwwGjysI9S712Egi5I38lOvul0dg3nwEyrrh6L5aprmrmsa
HsA1uRi67t11EIlhCU6LIF5IwC3nhzLHMV3GPUs4+lHsHfd3GMlzn02nzpuSJZ0gw85RtIAO0sre
Ho1TMvs6GJiWChxuErypWD7D0FtAy+G19s5qquGPQg7AxcRILnomvsk0d02lVmz5oN+ljNtoh5wq
5NWUnkmhZta8BnYRrGxrlHsdfw9lQEvXZAVSMwikeWPwt6xgNphHaU+7GLcKlpquA32Qrweun/x+
VfgX0/FSBoW1NGuWArFjA2YxZYGEZyYoht5bNcQqg5ItgbRzOcRrxOBBvKBezYU2rYiFdIdQTLtU
5V+4z+iANyKLW8ZvEsdvJoeic9DwdD+F8DpMRe6Iy/QmMlgeNVAPMfWfnTl4aBDwPmi64/bmatc2
MlgzzlN8xDvfrxKaka3GJjzRY7iXXbUjjgVCKXuX9VAttBTirMKNgB2xFX8kcfKj1VYnp21Gfveb
twFUSaaYJc38VSuGiQ7MRCqqCXmkbucp0gmurKdMsU8Ap2kYeXoqw832BtodRIVipUA0ApbhwbDp
cvENg+qYOCywmp49BwP6W6Fbj6Oir7C5s5dVboWMQ/TwER1cSOe1jmmHiloIbBqigmGz97Tstgbg
TjbGgj66AEMH2x1hRnFgkMQ7HobiJUDpAGGDuoEJa7rVXFmlIsnELRo/cJ3tbE/dWgdttbcAz1SK
QBOZvLDZNR/zrtmX4FsPoprdYzDUANzbAw/86MwGq0fGpxAszcvvqnJgShDWYwUbbAzFwkmagSLt
nlX5nDABBV0cbPjKnwGIjodiSiSnhatDBeRCbwmyDy77IgIj7spQJB6juIp8Uys+T6BIPRHIHkOx
e3L4cispwdvkiuyDQnvSyj4+mGn5blp8vBUFyFU8oAIwEI21XAolqoRiBrmKHuSVaqs/m/RJKLaQ
3owfPLO/7CrjfmuCa+UCHDpoR7q8Qyi89on5S/oT817lVDu4n6uxxVNI4t059Lm3xST7whbCOJhU
PS4pDPIXWcKKeJ76FgXJ/IZsRzhIm2kjaz2cxDCSR61v1zye+zr/ykrrfdTgyNa5Cya5wlatV1uk
qehU1gN8k8FexJ44uVZ3g4HxJigXXEXzKy0T+G0Hdn2Ri5ueVUGGLRfFK7TRRX7zOCAh50GJs7FP
snM1eXRVdMY+40dxT5SasgnjeQTJsp9q89p13rhv2+7VHVPEPJHOB0xr2PZMXGReS6tAQYHXBohS
uejIKy5U1eACzjHUT/rep4DtdlCkLAfGHjREhOsvSPUN/+edZOyp0jSSfDIqVmEDbqoUJFl1oChE
rC8lQZ8tmb3Hts8S1sk5FQWUPnbBZGzHEEOxMfuMti4pXYtaDBzltbeDD0M7G0e0X0F7CWd5TT2g
29lEWndgXXY3mhkNe4X7wv4RmDNDpM/aE6/aLgzIAXqEbng78cjWmk+vhaSMzcbQOEzTvi/Gqxni
iNAHB+kFzuAyOZtIioANE8UjoqXMH5xHVmPrPk8P6A/pQkj70zK6C2cFKJgcGQXYq3LLXcffymTs
2seOGWhmpUM4nHAniWQCAggYU+e8y5i9skj6ZVbbv7LmV9DG/i6p2VobFh+KUnCAMvJ+S9N6nwz7
PUqSmMnsFyxwHtpa9zR66XzJsOk4BmIk30qxqCNk1WBYNhX1yYw9gscK21DvkEf2V4sPY2FVvFhG
uedkGqBPdHW4paZQhdHLrVmn/sYxKMEjQfkgHfehKuJfEDcjoJnercd6tJnThvI68qNhkuiwKvT1
VA3mClfYMjbzL8MMaBttriYQFjLwEK6DcVpZdCmszbK7IHezbBsZcRCh9bWfowEbc7ANeqc9lQ4e
Ry6HP1ZbzkTEZmTu9tGM7rO6eUdYoIDBRGUMcjNhnpOfVDb32HmSepvV1U+MfquePK/tCPw9mnAn
IaMsePMhdOt8rhE/bH26+CMPJ5Ad2dIntrCO7PRD5OExNrCPatLfuVwTl0lB8KSQsN/InC6tULZ7
Kys9wlsS/zRqs41pYFVN+sGq6KnBhdlsy8BX2ZLyOfM/ejEd4dSd8jSUDFgYoZxCdTnToUC+m9S0
FyY4r7Rf0uie/jlo/Z2DloMT7/81aP1NEYL5p6/584xFPMvFpIgWIixhMxX95Yzl0mVAnovnMPgj
ZrE/tkJ0blm4Exi7hFonqXjWf2yFLP1fpWS95AqTL9eZsv6hrZD3t1sh/iBdzXPcNfgfU/I3/aVk
09QVEhYQNTLCAoEFjLeH2kRO/9Nxpg9hRa+ZpB/HiQz4xKjmlf3odpSjupq57fXu1PUjlaQyZBBo
H0M9vcsD/dITZlsyeLKjmchk0Qb6gJsmPE4YPkjPWjsK5F8aCg/D1Dp6eUiVx3TCKvMT5Q1mFupD
F3Y2fEY6GRnKlXcUejG+KHhD/2YP9XeD/2FB4OMLXty7PTKTzLg32p5+KM9GbNfqK/ccb0P6g6d/
QuGTgOdCfGFo6UVuIlpMrRRjQynXkemo6yIyXtd41IuyFCfWmy49WhR77COAsPCwqBxyzHFvFjwc
PavsVil5TnIx4YZ9RbnMe0bSPs1O1kwv/JxHG4jojDWtYMbSh1XSYp7MC67opLn2mmjqdeJoYlMV
28yQHO2zWFezqFcWbkkrkDjtWEBwpCTAw4uflr3AXQzU2DGJns2CCVKU90S/vOfOACc0z9E6RHRc
cYQC9QHIxfCQjOuI5wl0iInApyDhEibhbiglbYmA3YnNJ9syLsWuCJiXMoP0Vp5Aygyxezi1zsQQ
lsfIJ4fKJhzqaAjdmiBu6Mb1c5++2Lntb1PJ1d9pf4qhybe1J+URTkiCPWadmttBWijuwrnqcFDW
xB0agr3jfsJJ47j0t5iqyYVrFvo83S7hIFGuAck1jDQF9S+WTg9M8rsRhmqYUXXEkN2Zlgx17Np1
rrA23HUSP8+D6pYRqmUmpm6mU70zWNsgPw39i6Y6aQKTdhpT9dQQUKKxZszHm+/M90I1jEJ6CPdu
BXsYAspHPTDqFqr9xqQGB/8XIZXUhcYIZK/Vg8vYkZCbuYIXqkVnpk7HcJNPi3qdWJbnkA8IGjKB
C7zDWLv88tm2mppEeLGdnOrGjbbZC+6SuG/fyRW5RGHqDUPrY1M60NxV20+hen9mCoBIKqwyLr0n
8g3ESAo8IIGkL8is1fKz1rsdoNvbzEm4mFS/kK8HBeEAM7svNevI/VZZU2G16l5O3ZfpPPS+xheq
1iLA4NTZ2lO8rlWnEXwWeZDRpdA8/mqGFpBY8yttQ/ETVutyOzSuxXzF9nPK4l+hFOAYKFWoqVKC
XZPsGsqVWtWyZKi+JY/ipdkq7XMg6GKKVCtTrPqZWtXUZKnOJhqS4iMMwvGZVY67DFxsuY31Icdx
7yfpnRfkz1EWPtHeDGm+9qeNocc39U96z+K0TO+M26x5L6Omba0mfCJseEwHa0eq+ayDGeBfSI1m
51jddYZGloXOQVWjZm5+TGRN5emBqXgf2fxXJb4RNrT4se8m/tfQ0jsWGYeey2KgeYfJnWmJRx8p
7EOcl89ScSDqcut2yTmIvfc2LvlNDA5JUVHOnN5cJ7+A991z9YWDUG61nFsgKB4X3qodeIewQHjX
xDGqkte4K47Wri6nTdIbTwUQwywVxzaMnpwqO7XgaAtcwJbbYmL1nvG07g2ve7FkfN/Jkacl9L7q
Tu+zs16I+8DVLqk5n1rerDk1thGlXkC0s8451rLfiPoaO7hB8/iWmCyTfX3rui8uo/Fg47gs0Znw
Pn13efIEYdzK6mc61y6tdG8dra9ZND32XbMLB+NAGr9NvuDRfUmQwUOWkkJx5b52vK8gcl+dcr7K
ptqy/F9THbiaky34sIt6HZ018bsRs0yLYeLrVrvJ3R76R97s/DY6FRENE+LRy/M7Vxto7xuugnMg
NcqzFnRvPZOhPas1uarksbnz9Tb8ZIcukeri1NMdfk5ifcAd4u7S5d2O2XFThuOVo2IvQnFnMuwb
LgN4RUEOGcS+LR6YuR4HCyFNX/WBc/IbH0ymxbaVYjkXUlhuM9CZQP7jULDcSpnf/GRh2faT7+X3
blW9OlqEHalf9KX3wC3uXeuwIo+BLI5NnXwU/vwkCmYOT3xiF382KjZJQygvzuDOp0w1gI2199q7
yB2JC65oEFRfxtr8U8dyVtlphglqDn2R5I+atTKMubzE9ATWNo+jxsPMWbgWeH0K3AItPVBZD+Bx
Dv1ly+93Kct459jQCZqaLXvasB7VelzXWlAvNXS6DZf7EOByi5phTogcOMCtlNKfsUzKZaoreHVV
/dNk9HfRzXAHcWVDLP/vZfun7/Z///vnR/o3ov2fvuwPm5FhOujrpoPzA5efJJnxZ9Ge9AuJfupb
Xf6RMhr93wslyjwmIsl/axqMw7bL+qAhdBH+278IV4n2/COUfk+lZv4htJn3XyyilMkJyZ7XwTLN
VYuqv9gBeoMsYvbAGDASq9vGgM4odsc+QcE6x8iwNlXnekb5+jCGw7ligeT0fHytrM8Oeq4/0bZt
wt4ab3jjzeVEnXuhet1z1fDu4QflshYeSs25eEON+Vr19JiqGZ5pqzyQAdUWbm/JlQGGp6mKtxw2
ybGOHugXwDOouuZF8Z6q7vlStdAXI3Bl4e96c5DLlKL635lRner6gVvrfa/a7HNBr33sO58GhfRb
CKRchorpsSjnDze272aapBb8LR22TW2ZhJKHic/2e2+Mrb4tLG8bUEMCbY1rgN7Qgq7Nmz6v4r0d
2MHKTchH13S18qMeTskQ2XsjrR4SIiZUjODrdKwsgIqrm8ck5Ls3w12WxP6a0G+4aLrulR0OoexJ
P1bMoVze0lvQuN3a8GLkzgI+TLDwKy862l6PvUCkk7J2T0WXrjuJ12CAAUyXav3CJfIdaGuATGCF
GxKoSJ/EbAXJH5zAckn0GmmqTS+OGZMJVav5KT4bJVKUmN17SsUvwsShSn51I0Nr1cfbLMyMrV7P
b+VENRHK5qkx5EMz22IrdZ8LcUwfbFazfbEtALiz4e9xvPgLgucOXkfStaGPQbSjrbY2sClglmbB
2Nx34mLF5OgLHVN+mzWfQZ+lC3Tgs0Zz1A5a1kmLpnTHvHMtZnGn2RrxTIZwIgByVdss2ZFbhr2d
yLM1Ftd0HupDisFzWdT1UYcIjdypm4vMi8s99B3I25NeY/3G8QCa/lYlHBsxtxJSuJnskg8Da8BC
1mhYhfK2Dhrp89Cdv6ZxjLfT2B4JlpMsb1AXZBhd4nr4nu0DNBamkpSjK077Y6eF+X3n4nWdus+y
e5WQaXaljNMDbqqNPZlbI0u2EovRjiOhWvneS+ficC60ZBlbI/5WyE9rwyIr7McRd1iHTFbQTBuP
auWgJMeOwmDft9IISUCHAIMLGE2ePtcPgZwZIqrmtaaL7sos8pRPQNziUm0BIP9WAqgs4dNgaIs9
d8tgmVklO/KIFbHtxTcaUdVxgUNmvDQ1Gd6u9Y0d5yvvcrxvR37UoQckzzDGfT3O4yop54i4OmhN
SV1AXIt17wO2tYbvqLO8XdUY9aYx4mNNftaeKe0F8rw3vcB5mEp/W+qZjefGe8f14W+bNJXHhEt7
a4mYf1Xce7Ojbz3B4r17KzIMTU4fbP3Q0Z+bVP4SXTuRWkEtd4f2FGS9twr5bsANwkdtK+p3dAqI
NdHaazNtA+wlYplk7bQPkvEhKbt7xxDVU23j+W9k+h6Wzzr27Ic+0Jegi8I7jDwYGi2ibiIbjzGg
9FVu/uARAc5lnJ28io6JsNJ1U8t9ZOrLtpJXIUZ379WBAdtO7PQa0Q9SwI/DazoSTVlMo++DB+ge
PVWMMNOQoBsheIoB22Wq6hNAS336OZdFzEQpCUENlx+OkkTVLvjdYJLdza8SQ3xk4XPqwC8s/IIh
xigMZxE7NRyrPKCWJsKqrpkjCrPxMqvChypIn0Lhcv2LHjVVCVGpcoiGlgjkgW9KeBFkqY+AafCe
0ifBTZ6RQPL0d+loPkmnVzV++yyMjDfpcHOr3BJ+hgo4VVNv3eml06otzjY0ue+Wfyq1YHhUNRc2
fRdRD1/agedQqSoM5kSoxwyzzvCGXwQYGqn6UfTGBhEGHlgUk7D7Xa4BQiuIjZde1W60qoDDsoMd
0xXjuGK21jPpfSiug8K5soO+D+X40FdgZtmnrfR4/JKRfbAFP0lW53A59eGF7L/YzBp/Vmd229nt
YVTb/ZuXi1cbDa7ET+vFSb9OreISGzPTkQluEx4GnYjekuBYs2oTagZ8496dGyRq4jcrQerAItC1
bakOa41B7EDlUGbDrlHYJcQS3fqJnOrNd9iSzKZNnot+tTGgLTdIamsZE7jggtrwQ+7FCjMRn+PJ
vGcMkRviqxyrcf7JayMk71Z3QYJk7DvNY59U19ktmM7T4jPLKU7LyTaWw3CXz1KuyEjEWJYsfTOq
tZ7LZNqzum2abGBZVGebUFq1opgvPIPSb91joeGRJ8fzLle6E+4cD+9JN3qf88wSEJMZnXNiP+vs
UjuqHpL63fPyrR6OkBdhnNP/Rw9yEAG4wXEbtnNNvQKGwzoDHDZR9L20EgZ/kI3lQnhhuUkKFaai
mSp8n/ROrCFGsqJpNXqrc4fehkghQSgbYkSo/g97Z7IcN5Jl0V8p6z3UcMww66pFzCMZpCiS4gZG
SiTmecbX93GKUklMZZrUuWhaW0fVJk2cAgG4P3/v3nsGlI/UDSqnd8YOSApqOrBjs3Q48u88Bnyt
6Ze4QpE7+57ur7Um+BArBFRwfT6I3OnOCHfogi5eNy4pOEWfYqtnr5l7TmjthWsdob0V80KJgllG
R2PWd+Q42mlebb20ntO4Z0VPg/2AamxpZkSa4a/kQ2ecpmH12UjWkdmxDKpT3iKEi9CO6uW+aghn
hOwGSK62x4fsoJK+soyCS9PDhGd4vL1Qa/R5kviXlZ4gGQbECNWrXdgK4dt93XwY2zJmQ8iYQZDZ
QppOiPabemdWddHd1NvxcqzUiW5I9VBO0ccyFie9VRi8EPzPYgV6kfwhpo5OfaqMWhD0aksWPL6Y
Mmc+ZvsPZotubijaeJXBH/XTaU5W1ToKBmOB/OGxxCKdNFa9Lpt6ovnGYNbU2BFDHSB2TOGgldNi
GoCr1BY6Aah+85E8m5k9IkJAebKxiAZZBD3wqa7DXdgo3ARJwvTYaD6lIr7XB2wXcUz6TuZZT3U4
OPN0GnBVED6AZDOqCVga671Hz0ZN+HhG0kPtkJzZzFO6XZ/F+lyv/FuzcW+NKIHkmSGqaUM2Vy88
IMud625mr4xOEwtPbOtOhCuHh2HqiCqKakE+iHkfjbVEOyOytlMcRQUZ3osBTPIqzbdR0W0I8E+X
dFLQxw7EtAYe1AhJS4kTK5njBQI7SO5tr9E3aFatQlpfHJHOz5hrGUrptj+qR78TzozsvJBHM1+O
HXOWVl4xAn86BN7apuPIPKsH1JZgIaJ5ONlMEM3W5y6PEGiTcQGGoJn3LljUDqMPrjo6HKI1HzQK
gAVCidlgtWS8U2aORaNx22gsj2kBgTrMoSjKQaWATEJoObJjPINhC3J9QlNWsYFGo+IujdS9Jyn9
TueD9ZFgz0K9fahL/XMMAZU0/gxrjT1TK1tAJOH95KBfCHwC5iwzPF2HJlnylJe4rfKauKeMrXJT
xdaOtexeCxQmHoDr0AxcdHqFDGAAMw8KbQFu3mPvpytCDshW95wFWvFyyarozwZsqihhKJ0dibzu
uRUhBiHjIPBbuBDHkF+Um6jrF3SwScV0LRClYiRopYLF1hQDBnxDNdEZ06ZN810f9yQoBziQNO3A
Kk5KEJ9k7RMN7w8GE7bC7CktWUpMf9qn3ljNLLPqd5Q7D7HZUI8r+hqvvDNri2hchi2iWLdos71o
Olb9ftg4LFzLtEaPgP5C3XYm0r2miA6mHZw0tScU0mXaXQS9QbIjRZs9ke8cAne3TR8HaP/gpW13
qFhmzL5YRXXUXeqeed46lXcOTHetSE/mmLr5ruoGe62CjkOpgb81dNqrwsv3RNYgWBnyAHs8obQc
INxlEuMoDqsHZxSEeJQKqxpzLk4gZ45pfjKjlvwN3QL2ak0XtW4QlpiSEmwr4RrYC1Q1+64fa5g9
VP+zyCUAU2uAtwj1wmdmsgtGc8X2bM+Zr6MJCcudMWlMNfOSQWOXX5RWz1Sz9Rh5kl4LVrZWtjhW
jwmDvW1beGTgZvYWI0iFH6+koaTqd4oGBCeinupG1gxBYNC5WwfgT1GOmGrLO0w2iRi6XQbql/Dq
egk2RDu2dgGA1H90OnZ1pv1oBiR6UHVzRrh1P38+3P/nD4EP9XNO+Ke8GKvQD5pX//mvqzzl//8l
v+fb1/z4Hf86hp8qeBRPzV9+1foxP7tPH+vXX/TDT+a3v/x1i/vm/of/WD5PxC7ax2q8fIRZ1HzN
N5df+av/+CI2hOD4+M//uP+c0pYOa5IqPzWvWhqq5SBQ/fNOyHV4n93/43P+j/l93QC2/Om3f+uI
EB6iO6qgFY3kmLCKbx0Ruh6MyFSECJB88VBbDPO+hiNq75i70XEmZ+T1iE28Q3hhkRBPxwSfARjy
rxfjJTvjy6f4J6kecoL2fZSGZUEFtvl5tqE7QOFeCYtrcIoJQnx5whrnHBQP6IxctyDwVd+AZ1hl
eJOpJLFYAu3af3fVfhLkQWz9H3+7aeqWxjCRK4Rv8cd2jK14aq/kjM9EIzxE68yCZL4aUqCGgIJ8
6UTlo4hAZbYxT1JZfuprUvCIcViWlXWr0FVcaiNSfaUmkt1U8Uab6yqZ3g8ZqVtee/RlAmms55/N
kIUyNJhy89AzUsis60wxYXQWRHyrzdXQ109OhdfDbRrpQSujBeHy5LJG00F4qNYZZVP0KqucSLgF
eg6SAknDbke/5zyZPk3IRpYipIsTSpHMIKIVrS6830GJunrECKzRb6rYDpamZ90adevusiywF0wo
5r0X7g2nGk7BAG3dwd9TOAOlqaGsbPb6eW4Zn7mItwWRF7OoO6YNNauNXTixBxRg/UdDjFK91OM7
rrBgJBoA6/bJBUJDMP9ypAHB3KqtDlZUPuWco/aCCcDIhPEidVZ9M+nbUC8uvKawd3VvbUeXVk6D
GXXju/2ikGhpvy8GpiPtth/K+Oh43lmpW3epyabvUhSIohEM4rTLXq1dQmjTXSrylAFDgTXVuwwF
vpqKWElbKDe2R0ZBXj8pkUfMWJWEs7qL/I1v1J+wg3tbv2aZJNvPF+91au3QqsS2SqJVXSbseklC
vNcQbxgkIc7ROroI5fTIEIlARsPdoG8slnFvVNtImFD/UE5h0Rvuw6DblrlKyBXDW0v3zxNUhO3Y
EOttxDeJBru+S/z3qjHwDmkLhIbJWquWH3uweNvmvV4Z5TFYDKELn8ZQurXTa8Uab8xZIMTJFeRB
M1h8BP7kRt0yZhHH0BQ620R0jyleJy1OD9jmoOmpKIi0xKnXhO+um1TqRqp7MYX8YgiuiNJ2Y+qc
V0mwCy3/fUyAfudgfuKWRPnWJFCXK6EsKtEunczNNxNkXeRYGES6cK9Vjr4tB/Ojola4yodJ5qp7
68lvHxqPobTtx4wGhTIHR3Ko8tZdN2311CgTAmLVw5fc3guRY/4JI8L3glM/uXQtO+ivtE05P/jN
LLAbMEboA9Zq6IDLMacVRdctbn/EUdFxcnttHUzbOKXs9YojvtPrNHftjZube43I0Rkau3uiOlBq
ucQDiiSHD8h5Y+dOpDSQzYKDwq+ZibJxOnQR/Oi5BuB5gsW8yj3VPq/YJnGtokhWloUaTu89tz0V
zIbpMaaXibiIiAM52eG2sknut8M0nNmVn535BY67+jGuTahzVX9uczbDgwYraNhzTdedU2M6mni0
3Ubb3BCZxllubGv83/mHIitWAHXEMK5yHkWjl5rvIHgwsR2qUXDu4rQrKSvK6WjLylbpFpXfrmhx
nY2Oft6q0Zk2BgeUAOuibJAFbpGJIb0LLyaLkPoiONeSuyHRr4t2OhrDU1ENW57xU9lla8vMN22O
0JngaKK7IZDhTm8bxj9kVHKF10NbLr0xu1FscU0L67YywBIm1dIXtIxb5axV27Mg0q+IyD1pSBZm
JBvAIBohcAzY7YwLP4RP5jSAEzlWhA6MgrE9S6N+6wkqRX+6g/B8IuborJXIuHGfFuG2oL9nEwJU
lcN55nuXBE4fvILjwGLq41NqRCQMhWeOle4n070smKARH3qo1HyrG3gVzXKhDg3nJ/9WJ51NK7VT
CT9v1jLhqRT/fWFZOz+qNl40rcjM2OW+emiG6E51xd4R4jyrorPayvc4mufAqtTyKBJjI7PoRz0+
qHm2dsro1NjZws9Yw3nnNr2FvBpWLBYotdGA5XhC+bL2Jtb0HQkFTNwICUinQ+0gSENDfxeM6qnU
6a0qH+UVUAp3K9+cxpizT8bTHAX9Xr7TtIwPraftw0m7SyZ94/GuK+vMxtY5QmCjBA6Y29plfXJM
+/8LtV8dWamaQTn1V4Vacv+Py8c/zKy+fN83EZSwDOuZqEPB5aJi/K5CE2ic+CeD6uRVhSbeYWMy
XTLITKFbfNG3mRX6KCGkmgrjPF9jY0/5jQrNlBXijyWajQgLJZZO/cTD+DzT+m5mlfPbbS/XUUe3
4jx0cNuRz8LZ2VDn9CvfJxM9pNHaE5gyrkkpI2M2/OAg3MhGFrbJU/wzJaC32JCUMrNrJV80Jotz
Mt4Mug8NfEzniulylige2iy46aHLza1xPGeqS5s2IirHMckESagNA1mxFBP9SydtUH+gm8/qBh/B
QPXWa1dRH96U+O+WXdmtEZXeRRWdZd9KbsewsVeBpn0K9N4CKBh/BFu30cz8eso+tpQRx7ETqEr9
wVxZrCirooivSiB320ghmhdAaczRUBvDlRIa2jEcRLM4prhcPMxGay2ejoUkoce2Vm5bgVsxZNOd
6CuvAN2+z+CWrow4tFejMbG8BIt6iD/oMti/Goj4TzXC/jMnXtudsrBoZRCVqkWr0F1YBXltVQ0q
IKdZMevq/sryljS5yLI08nrLBrilK3Q9whuwQ99cl8z1EndVkgScGWAfsDetWJbjWaRpt7mEF7RQ
DITEGQyqTcwRhAOUdsXSk9ADFfqB13ogei0swHARcESQZ4x+tC9H3NwegCVE5BKlEAbNvLTx/qsS
s8A7wOppJZ/0pF20PimAsjszSjhD15/C0b4qw9za+ooYwK0QjhQxd8H/CBlzLOulDqpWIw9MabB/
AoFgSHvpSCpEZgWHoTbjtSeI+BFkx3UGR/zA8Nr5rVkH2h5f0QIJCKoUpzwrc/2qo3Z2OuEt2tpd
AzG41cBUIK2n9wC4IhW4tptCXVutRwiapFu0urUOgihcxaaJ0rfDsVKmV2lUYHgFeLqmpwscOApI
5kUDgSYk706dXuLoUOAcuQ07Fi2/me1kENE6Y9k43VILo4cpiC6sySN/pTNrAhC4i0u/Eji5/ROe
wWUA1iOWfA/Uzp9TgB8ajqHas5Dbc7a2fHQhYs091q7GAm+oxugR/bJ3wm6Bp4oQ0QawiAtgxGXq
1yT2qh6nYwWAJJicaAv2Aa1g/ZgUlb8jX/RoVlN+lhppOzcAmWTCWNBEp6Ug0SaFkPeKCM6y1lpT
JkqKJ3itXlB/ZUK7ziqfXrPd7LU0zpe5H14Xle5jV4qufFuv5wXEMUR1eGXUoGqWNG31HK+w3owr
q9Mecdcqu96b1n3szUcDb4LC+GDWOQXdSLojiNzMKt7kzkg3BTuFIiLy1R0DrUXFN+X3YQ+9mr8L
98EgyIZKXWxYRFyZ1r0OkJqprBz+Upympa9d+AxemmosN1S92DmpyNOI/O6h1z4YVnWTD1jkBHHM
67SILv0U/6mmaI+ZyqRiMPD4a5NmI+nPVv3EyKDp2w/E4OC67qxzEKNrtyP1FTfaxvdXns6xpRr3
VVy6yyZIAXCQDKF21sd1WOe31OQPVIo0BZXkFNDORDADeCf1tAs1aJ6wfUfzMfJvvcZdRkl6Ek3Z
70jiYsLVd94GIrC0PX2OxVNpkw0S+rjvde0apYI3IwyScr7rk1Vkg6zICBNQR1rwZYi7v0kvSFlb
D27obQxCSwgtHkZna9bGQu10zCMDTaRuqu6SgeIeRqZxpEeXI4RLq0UqIC8PNb7owPiQpaVJI9IO
NgVFr5wIw34U+JN0QhJn4D+atevkJ2MqNrrCh2SCJA8HgtLDRM5M7hri80lC8paji0E5dKz3XpMf
GODnGKj8m9jldylBfG33kdR+FidmFmBsMEnM7KE8V0YWTFIpkfA8d98rQWZbPuxTQaC3Ghs1cCl4
bWpJZLrT3ke9qu516GlJPm69sF/UTZNsqwkiqy3h5yW4tdH/AItk6U5IxI2STHKvWjbQp1m6GI+X
Nuc64hcvd2ZhyfFaRDNURUCfJ/kCONdMzZP3oZVe21pH65m+Zs9EtInCQxdWAIUZfxWR8TSW6ufG
yJ/MDIV/Z+PXILEF2cBBCbTPk0WyOdML8LJx/wioe03wFLFOjIsYPjNlRE7WTLdZhXFYH5vz8r3S
6d75AExmEngljIZcK6foP3jdBAMXuZZF4IKfeMCqOuV8qI1TkZWM1BR0TegDDB4vErOjnZmBFMta
TmBugubJQEywzlNWgTpSCekfFNlZtlKskawemsNhQ6irRvezdRZZBL9wAyNZpd8PsXJBzCEQMIJB
dSv9aDjxg5r42nkxct6ZGAci+w0ux1ilMWA/xNYmjGwkuMAm0zTaODaNi5pneBXU6fnYl3OdG3Fe
YLRDJg3XWpTRPMdpdQZC+WhQ3WYqrka6CU49pfPJcxl8dxyRAztYdYN1OVTYFjlYc+rU4hU4SxrP
EeQirGYpdp9lGweQhNzHsMlOoZeqx9A7V3V6TgPyaQoCoL4TlCA97e6VorlICrE3PCKdhy7ftpE1
7XtzGUWaD/gbhS/hYscKya8/BFi6cADNnCbbWySA0eBWyGcg7RpXKJphqR7OpY4YyfF6ksriTmqM
azrZmw7ZMf0SDrVSicxDAOpTqpNLA5CZLxXLqtQupzjNSKexryLlTCEaZ2VKnTO5SIDcFXCH5qM3
8MlHUhOd54aF7pAbvRlxXMJhTT09pIm9jqSi+v9btL9ofcD8/Zditeuwfmxf92Wfv+db1U8gAXW9
KqtnSMUSCvNvezm1vormDNeBy6aPHO1rX1a801SpYuPTtS2TxuW/q371HToGi3hnUyPiQLV+qy+L
z+4PVb90XfBLTA2PhvHa+oCp1mZ4jH18zGJ3BdB8hsm1mw+2Ws/akDmnXzExrY1ezOrU3JUusSJQ
MXtzJs5TnR5n52hM7NSzXCmIZw1uXDBuDgthnNFJLaYb0qsc7uBuB6nvE3kKj6rRfmqmlnDCPrgb
DibmVcPdaV50SGkSM3aJIIcX9SJ1mbiHQnwySADU64KeJ7Ef6KQT0mJBBxOqSiy1b/ZHdTrvkSTA
GbNnjeUXRBbd2iXLEJJY1ONETpXhYF3IeKPepGYIOsQpTlJe+Tg2WHGQsZc8SmykWbDUrbxf6oqr
7NpCZyo/y+oRm5tF5k/mRli2C1db4miaASWhw+uyy0Jfu9OaXt0OMWIgVko3B16J2t2zuvc2EF4R
yyhrekMewaiLTEbUC5rv1NTkHE61cal1HDtgRHiysJpFpkiXKaLBeSaD792gupj6G2H57d4gHQoN
45VOcC7taKdc2E7wVOc3jtaxfHSA/3JL7CpCYFIDZ6rPrK2REfx5FVx2hQ5repKWb9pYDnn9hQzu
LxMILaOGE77qaqQkxVqVMf8qef/GZNg7K1Q6XLF86BGR9V7J/moSEWDWDdTMzEdxw8yyVegCqhIr
4A7ashPqKH2H4ypJ7FPXZifryTfDrR8ABZKAAm/gA5bIAn4IuX6SYiBxBgWarsaOTrUB6CBMp2xJ
Zv6dP9jXBqrO1SixCMjoiHeElJBKZIIvMLypUBQcaAq04bVVxLgt1PIdB5oeU3YXB6i/8Sk7qeti
VWc9VTOKfK3KtGtLYeMb0uC8LY1pAyZEI1Oc+z7+FEnYQw/1IYP+4CCLWajZtbL1IUOYEhHhSlaE
hEZYEh+BjmcbwJOwn8ES+OnmuQq02zGrJRFbzM2cptv407LUvRXd3JI8LpcZrVusjVDHc+rCXEJH
50qsxQjfgvazIGs8plmLiMlQsOcYuExyP+IBGAgsLiFlTBKZkevqGaySdi04ciMMQH4QEDK+Qmu2
xnEKfl3iN1wfbkAx2tVBm0okpBLTUSPpSCW4A3EllCATmEcvsR56zDOCV3KWSuSH5WJUTyQGJBAA
QYrgpNpBsgIxCJkQZIgJO8SAIaLAEqlgirgcBXUJGfF8jmUgJQmmA0CSe/YVYQjBZanF3cGchvvI
VT8WSS0uY+SxMz6qe82KTxycdpPgvKCvWwmsK9u6ZfzckS4qcXYlXDtFAu4SSHcTZ5+FeIbf9Rck
Ke99/PTLSOLxbAnK4yE9FhKdZ3A257nKVr6M8kt9FH/kIG1FTnHkVcOROEyCH2JtCVGvJxTOZwoq
Gbi1ERL8l+9iegOVbBKUdAtQfg6rhmp5FfZjNPO8JDzq5q3XpdclzX6g4B+JLLDmIV2IMUttOCTR
bSwbFDadip6OxahN2HJi/8YvrzrRe/OowDOtpSXjE9Y9EdJqBxRmL3rZDCHzciZke8SQjRKkkef0
U4w5Wdw3Eb0U3+KMRBIdObPerRnjoC7RzuRWvmhlI8YPacmosjmTyzaNU5crXVxZQUd+cz+N65LA
rAimKpaV9+R+qHPDzfqllQYHq5/OI2TKJF0k21y6tmhPZrMWcf+iNzRWK6OdeRk9g1xMi3yyk6Ot
EWtlT8V8LGx/FUz+zuljJJ8W3oCQq7VMpYcslW4ypFrV2l0iSpGxYwzaU/qwTUB3AZAGs/0kckl3
i1ed9Km10rGWRDBOcLCNWNkyLG14Qx02nuqDi9mNJnfOukqtS5LDktPdXa8oD45FZSyM/BFH20e0
q6WFWiAnLn7U6EyR9bjSiurer72JZcS/8ItqHheOsfatbuvUwSOOs3iZm9lT1yGCLp6YlH4A9Dss
bHgcpLw2W79nitiMRydNzSvX7LPzoNMOGh62vmiBdAXAA4aa4TtbRWJlNy1n+qUq89nZN2AlF+Ot
ozDIM3oiomKbKVLj4+lSJiWDHKceCiSHizaB06LU3qpLyR4sid0vUebOkOQGq0aRz6QJRjNdPstG
3ArNbt+Alh0fm7r3t4oJEtWMG3c9DQr6v2KjTXa8FyN6uMFi5SLiTx+6YzFZ6bKJMQF3JjYqeHBX
cZhoh4YwOiYmkXlRj8PnsFe0edNO+Vq0Vn6Mc3oBDj62vZ2P0TqpCdzQvWsDDwDjDW9paeW8NkHW
FQWKMS93asJpT5pFFm5N15OoXPehKOnIwSflpAYOwCaA3T4KwuU0OENhZCFWimta5ocwsN1NnkDG
c52xWfla8pDQceXP5dRoK0W+UhMPURkjz0ll+9AJEVlnlb7H6BbMwNHNKx5zIgmcbUf+moiHS2PQ
3P04TVvCLCB1qfTorFijlmm6BbgnDiuctyIDc/XUZp9iLxg2iGDpM2D0M0bmup35BGv0Us1YNkDQ
0GHw9YYLslG1h1Cn4dQMkuajl448BYs5alLnELdiTvzIwXFJTQyRdCcp21qJ8nGm0W9MRrTFyHGW
yFkKMu6MahMazT5M1JFIvb4j9mfdKI52YUeECdRB/ZhyS3d+4CNhii9GBegY3KWTTV4KIp8Z5GV3
hrbcYYxcFbNyetIixJi5g/AeKX5OwAJOerKlp1kTIFHPPeMyiAtiXdT2nlHFJrYdd/b+rLLYTZSg
KeZRWNfczlQTgb/VgDbN1cAfOV2BcYc0xft9nDwNdVHf5XNhES8ziIEFAWUkgucqWjZo9Q6xApbw
/9ZJ5TvdyR/UJN/kFFJrcsrDrLnK/2df9HUK8PMf9KvyFN1UbQ4rP0w9nv+sZ3nMX/2U5L4Jm/Yz
6heZ3qvi5ETwwTmHF7KQhPDQl39WMIYzbCCQC+/N8+tLoNd3l+nPLsRfv8c/inf++HP+6h18GQxt
P//zPxDNWLaMwftb1wG/usZEheJR/PQ6kDSmcwZDbfNyHTil8Qvf1HXQfjIF+937gZGVKR1bRKt+
uQ6Ys368HyyC+3D1f/nX5/vlf+U6fMpb6KCIwPwwz74/3wuXP/lX7oVXP+G7Z8J9ZzkaIzaTAdyP
b97lHxw5Gvzy+jJzfFM3gSE4Zv3aBXilfPv3BeBhsDXdpqnxajVw3hk8AeTwfV0N3uBToNOp+cU7
4E8vAGZDBsr8D+LU8+vVUwASDI6IbWF2+/L6sgy/qRtB5+//uzcCse9sDQaxG4gM5Ysf+OMDYaqC
syows5fXG1wVfxKO8j9YFXGK2vTfXj7wVwsDuwO9PpXN4+UyvMFd0lDB3f/NhYHnwsHKywrzcj+8
Wh9sbhfdIR/p5bFBkvrmdkndtaW29Vd2iD9dH553SVztpIp+u++/fy64H1TXom9Ma/n59Qbvh5/Z
vH/3uaB65IiEDe+7+/7H60BdibxStV4u05vbMKly2NCN1+lJv3sh5A0ByNEgweXLO321QFjvSECS
DPuvF+It3hCk1yK7/lsPBhsGamfTAMr4405B5YCwHP/+S1mpvrk7gXOErup/d8ekdLKw2tC9VH96
I1BYkIZgygCDL683eCPoP2Gm/u4DwY1gC7AwXIyXN/r6fuB24HEg7uHL6y3uFByo/vb52n3HGYmg
c9386f3gvhMcKg3EhS/X4cvW9KYqyZc47r+7MCDOUMEL/fw62O8sTTUtIb7uJG+wooZO/Qc70O8+
F2wUDk5kzWC7eH692igc9hG2TG6Il8fmDZ6wOPv/Yeb+29eBIyYTcgxRL+/z1XWg0LRp1ts2oYTP
r9+4H37h4XlxmH1KHu+rf/03AAAA//8=</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withinLinear" id="14">
  <a:schemeClr val="accent1"/>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withinLinear" id="14">
  <a:schemeClr val="accent1"/>
</cs:colorStyle>
</file>

<file path=xl/charts/colors1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withinLinear" id="14">
  <a:schemeClr val="accent1"/>
</cs:colorStyle>
</file>

<file path=xl/charts/colors1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20.xml><?xml version="1.0" encoding="utf-8"?>
<cs:colorStyle xmlns:cs="http://schemas.microsoft.com/office/drawing/2012/chartStyle" xmlns:a="http://schemas.openxmlformats.org/drawingml/2006/main" meth="withinLinear" id="14">
  <a:schemeClr val="accent1"/>
</cs:colorStyle>
</file>

<file path=xl/charts/colors1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withinLinear" id="14">
  <a:schemeClr val="accent1"/>
</cs:colorStyle>
</file>

<file path=xl/charts/colors1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withinLinear" id="14">
  <a:schemeClr val="accent1"/>
</cs:colorStyle>
</file>

<file path=xl/charts/colors126.xml><?xml version="1.0" encoding="utf-8"?>
<cs:colorStyle xmlns:cs="http://schemas.microsoft.com/office/drawing/2012/chartStyle" xmlns:a="http://schemas.openxmlformats.org/drawingml/2006/main" meth="withinLinear" id="14">
  <a:schemeClr val="accent1"/>
</cs:colorStyle>
</file>

<file path=xl/charts/colors127.xml><?xml version="1.0" encoding="utf-8"?>
<cs:colorStyle xmlns:cs="http://schemas.microsoft.com/office/drawing/2012/chartStyle" xmlns:a="http://schemas.openxmlformats.org/drawingml/2006/main" meth="withinLinear" id="14">
  <a:schemeClr val="accent1"/>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6">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4">
  <a:schemeClr val="accent1"/>
</cs:colorStyle>
</file>

<file path=xl/charts/colors62.xml><?xml version="1.0" encoding="utf-8"?>
<cs:colorStyle xmlns:cs="http://schemas.microsoft.com/office/drawing/2012/chartStyle" xmlns:a="http://schemas.openxmlformats.org/drawingml/2006/main" meth="withinLinear" id="14">
  <a:schemeClr val="accent1"/>
</cs:colorStyle>
</file>

<file path=xl/charts/colors63.xml><?xml version="1.0" encoding="utf-8"?>
<cs:colorStyle xmlns:cs="http://schemas.microsoft.com/office/drawing/2012/chartStyle" xmlns:a="http://schemas.openxmlformats.org/drawingml/2006/main" meth="withinLinear" id="14">
  <a:schemeClr val="accent1"/>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withinLinear" id="14">
  <a:schemeClr val="accent1"/>
</cs:colorStyle>
</file>

<file path=xl/charts/colors67.xml><?xml version="1.0" encoding="utf-8"?>
<cs:colorStyle xmlns:cs="http://schemas.microsoft.com/office/drawing/2012/chartStyle" xmlns:a="http://schemas.openxmlformats.org/drawingml/2006/main" meth="withinLinear" id="14">
  <a:schemeClr val="accent1"/>
</cs:colorStyle>
</file>

<file path=xl/charts/colors6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4">
  <a:schemeClr val="accent1"/>
</cs:colorStyle>
</file>

<file path=xl/charts/colors71.xml><?xml version="1.0" encoding="utf-8"?>
<cs:colorStyle xmlns:cs="http://schemas.microsoft.com/office/drawing/2012/chartStyle" xmlns:a="http://schemas.openxmlformats.org/drawingml/2006/main" meth="withinLinear" id="14">
  <a:schemeClr val="accent1"/>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withinLinear" id="14">
  <a:schemeClr val="accent1"/>
</cs:colorStyle>
</file>

<file path=xl/charts/colors77.xml><?xml version="1.0" encoding="utf-8"?>
<cs:colorStyle xmlns:cs="http://schemas.microsoft.com/office/drawing/2012/chartStyle" xmlns:a="http://schemas.openxmlformats.org/drawingml/2006/main" meth="withinLinear" id="14">
  <a:schemeClr val="accent1"/>
</cs:colorStyle>
</file>

<file path=xl/charts/colors78.xml><?xml version="1.0" encoding="utf-8"?>
<cs:colorStyle xmlns:cs="http://schemas.microsoft.com/office/drawing/2012/chartStyle" xmlns:a="http://schemas.openxmlformats.org/drawingml/2006/main" meth="withinLinear" id="14">
  <a:schemeClr val="accent1"/>
</cs:colorStyle>
</file>

<file path=xl/charts/colors79.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8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Reversed" id="26">
  <a:schemeClr val="accent6"/>
</cs:colorStyle>
</file>

<file path=xl/charts/colors82.xml><?xml version="1.0" encoding="utf-8"?>
<cs:colorStyle xmlns:cs="http://schemas.microsoft.com/office/drawing/2012/chartStyle" xmlns:a="http://schemas.openxmlformats.org/drawingml/2006/main" meth="withinLinear" id="14">
  <a:schemeClr val="accent1"/>
</cs:colorStyle>
</file>

<file path=xl/charts/colors8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withinLinearReversed" id="26">
  <a:schemeClr val="accent6"/>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withinLinearReversed" id="26">
  <a:schemeClr val="accent6"/>
</cs:colorStyle>
</file>

<file path=xl/charts/colors87.xml><?xml version="1.0" encoding="utf-8"?>
<cs:colorStyle xmlns:cs="http://schemas.microsoft.com/office/drawing/2012/chartStyle" xmlns:a="http://schemas.openxmlformats.org/drawingml/2006/main" meth="withinLinear" id="14">
  <a:schemeClr val="accent1"/>
</cs:colorStyle>
</file>

<file path=xl/charts/colors88.xml><?xml version="1.0" encoding="utf-8"?>
<cs:colorStyle xmlns:cs="http://schemas.microsoft.com/office/drawing/2012/chartStyle" xmlns:a="http://schemas.openxmlformats.org/drawingml/2006/main" meth="withinLinear" id="14">
  <a:schemeClr val="accent1"/>
</cs:colorStyle>
</file>

<file path=xl/charts/colors89.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4">
  <a:schemeClr val="accent1"/>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 id="14">
  <a:schemeClr val="accent1"/>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8.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22" fmlaLink="q1_q2_q5_q6_Fig!$Q$3" fmlaRange="q1_q2_q5_q6_Fig!$A$2:$A$3" sel="2" val="0"/>
</file>

<file path=xl/ctrlProps/ctrlProp10.xml><?xml version="1.0" encoding="utf-8"?>
<formControlPr xmlns="http://schemas.microsoft.com/office/spreadsheetml/2009/9/main" objectType="Drop" dropLines="11" dropStyle="combo" dx="31" fmlaLink="q4_8_12_16_25_36_Fig!$CF$2" fmlaRange="q4_8_12_16_25_36_Fig!$G$2:$G$12" noThreeD="1" sel="11" val="0"/>
</file>

<file path=xl/ctrlProps/ctrlProp11.xml><?xml version="1.0" encoding="utf-8"?>
<formControlPr xmlns="http://schemas.microsoft.com/office/spreadsheetml/2009/9/main" objectType="Drop" dropLines="7" dropStyle="combo" dx="22" fmlaLink="q4_8_12_16_25_36_Fig!$P$2" fmlaRange="q4_8_12_16_25_36_Fig!$A$2:$A$8" sel="4" val="0"/>
</file>

<file path=xl/ctrlProps/ctrlProp12.xml><?xml version="1.0" encoding="utf-8"?>
<formControlPr xmlns="http://schemas.microsoft.com/office/spreadsheetml/2009/9/main" objectType="Drop" dropLines="11" dropStyle="combo" dx="22" fmlaLink="q17_a_q19_q26_a_q29_q37_q40_Fig!$P$9" fmlaRange="q17_a_q19_q26_a_q29_q37_q40_Fig!$A$2:$A$12" noThreeD="1" sel="11" val="0"/>
</file>

<file path=xl/ctrlProps/ctrlProp13.xml><?xml version="1.0" encoding="utf-8"?>
<formControlPr xmlns="http://schemas.microsoft.com/office/spreadsheetml/2009/9/main" objectType="Drop" dropLines="11" dropStyle="combo" dx="22" fmlaLink="q17_a_q19_q26_a_q29_q37_q40_Fig!$P$9" fmlaRange="q17_a_q19_q26_a_q29_q37_q40_Fig!$A$2:$A$12" noThreeD="1" sel="11" val="0"/>
</file>

<file path=xl/ctrlProps/ctrlProp14.xml><?xml version="1.0" encoding="utf-8"?>
<formControlPr xmlns="http://schemas.microsoft.com/office/spreadsheetml/2009/9/main" objectType="Drop" dropLines="2" dropStyle="combo" dx="22" fmlaLink="q1_q2_q5_q6_Fig!$Q$3" fmlaRange="$A$2:$A$3" sel="2" val="0"/>
</file>

<file path=xl/ctrlProps/ctrlProp15.xml><?xml version="1.0" encoding="utf-8"?>
<formControlPr xmlns="http://schemas.microsoft.com/office/spreadsheetml/2009/9/main" objectType="Drop" dropLines="2" dropStyle="combo" dx="22" fmlaLink="q11_q13_q15_q17_Fig!$Q$3" fmlaRange="q11_q13_q15_q17_Fig!$A$2:$A$3" sel="1" val="0"/>
</file>

<file path=xl/ctrlProps/ctrlProp16.xml><?xml version="1.0" encoding="utf-8"?>
<formControlPr xmlns="http://schemas.microsoft.com/office/spreadsheetml/2009/9/main" objectType="Drop" dropLines="11" dropStyle="combo" dx="22" fmlaLink="q22_q23_q33_q34_Fig!$BL$16" fmlaRange="q22_q23_q33_q34_Fig!$BL$2:$BL$12" noThreeD="1" sel="11" val="0"/>
</file>

<file path=xl/ctrlProps/ctrlProp17.xml><?xml version="1.0" encoding="utf-8"?>
<formControlPr xmlns="http://schemas.microsoft.com/office/spreadsheetml/2009/9/main" objectType="Drop" dropLines="18" dropStyle="combo" dx="22" fmlaLink="$Q$2" fmlaRange="$A$2:$A$19" noThreeD="1" sel="11" val="0"/>
</file>

<file path=xl/ctrlProps/ctrlProp18.xml><?xml version="1.0" encoding="utf-8"?>
<formControlPr xmlns="http://schemas.microsoft.com/office/spreadsheetml/2009/9/main" objectType="Drop" dropLines="11" dropStyle="combo" dx="31" fmlaLink="q3_q7_q11_q15_q24_q35_Fig!$AL$16" fmlaRange="q3_q7_q11_q15_q24_q35_Fig!$D$2:$D$12" noThreeD="1" sel="11" val="0"/>
</file>

<file path=xl/ctrlProps/ctrlProp19.xml><?xml version="1.0" encoding="utf-8"?>
<formControlPr xmlns="http://schemas.microsoft.com/office/spreadsheetml/2009/9/main" objectType="Drop" dropLines="11" dropStyle="combo" dx="31" fmlaLink="q3_q7_q11_q15_q24_q35_Fig!$AS$16" fmlaRange="q3_q7_q11_q15_q24_q35_Fig!$D$2:$D$12" noThreeD="1" sel="11" val="0"/>
</file>

<file path=xl/ctrlProps/ctrlProp2.xml><?xml version="1.0" encoding="utf-8"?>
<formControlPr xmlns="http://schemas.microsoft.com/office/spreadsheetml/2009/9/main" objectType="Drop" dropLines="2" dropStyle="combo" dx="22" fmlaLink="q11_q13_q15_q17_Fig!$Q$3" fmlaRange="q11_q13_q15_q17_Fig!$A$2:$A$3" sel="1" val="0"/>
</file>

<file path=xl/ctrlProps/ctrlProp20.xml><?xml version="1.0" encoding="utf-8"?>
<formControlPr xmlns="http://schemas.microsoft.com/office/spreadsheetml/2009/9/main" objectType="Drop" dropLines="11" dropStyle="combo" dx="31" fmlaLink="q3_q7_q11_q15_q24_q35_Fig!$AZ$16" fmlaRange="q3_q7_q11_q15_q24_q35_Fig!$D$2:$D$12" noThreeD="1" sel="11" val="0"/>
</file>

<file path=xl/ctrlProps/ctrlProp21.xml><?xml version="1.0" encoding="utf-8"?>
<formControlPr xmlns="http://schemas.microsoft.com/office/spreadsheetml/2009/9/main" objectType="Drop" dropLines="11" dropStyle="combo" dx="31" fmlaLink="q3_q7_q11_q15_q24_q35_Fig!$AL$16" fmlaRange="q3_q7_q11_q15_q24_q35_Fig!$D$2:$D$12" noThreeD="1" sel="11" val="0"/>
</file>

<file path=xl/ctrlProps/ctrlProp22.xml><?xml version="1.0" encoding="utf-8"?>
<formControlPr xmlns="http://schemas.microsoft.com/office/spreadsheetml/2009/9/main" objectType="Drop" dropLines="11" dropStyle="combo" dx="31" fmlaLink="q3_q7_q11_q15_q24_q35_Fig!$AS$16" fmlaRange="q3_q7_q11_q15_q24_q35_Fig!$D$2:$D$12" noThreeD="1" sel="11" val="0"/>
</file>

<file path=xl/ctrlProps/ctrlProp23.xml><?xml version="1.0" encoding="utf-8"?>
<formControlPr xmlns="http://schemas.microsoft.com/office/spreadsheetml/2009/9/main" objectType="Drop" dropLines="11" dropStyle="combo" dx="31" fmlaLink="q3_q7_q11_q15_q24_q35_Fig!$AZ$16" fmlaRange="q3_q7_q11_q15_q24_q35_Fig!$D$2:$D$12" noThreeD="1" sel="11" val="0"/>
</file>

<file path=xl/ctrlProps/ctrlProp24.xml><?xml version="1.0" encoding="utf-8"?>
<formControlPr xmlns="http://schemas.microsoft.com/office/spreadsheetml/2009/9/main" objectType="Drop" dropLines="7" dropStyle="combo" dx="22" fmlaLink="$P$2" fmlaRange="$A$2:$A$8" noThreeD="1" sel="4" val="0"/>
</file>

<file path=xl/ctrlProps/ctrlProp25.xml><?xml version="1.0" encoding="utf-8"?>
<formControlPr xmlns="http://schemas.microsoft.com/office/spreadsheetml/2009/9/main" objectType="Drop" dropLines="11" dropStyle="combo" dx="22" fmlaLink="$AQ$2" fmlaRange="$G$2:$G$12" noThreeD="1" sel="11" val="0"/>
</file>

<file path=xl/ctrlProps/ctrlProp26.xml><?xml version="1.0" encoding="utf-8"?>
<formControlPr xmlns="http://schemas.microsoft.com/office/spreadsheetml/2009/9/main" objectType="Drop" dropLines="11" dropStyle="combo" dx="22" fmlaLink="$BL$2" fmlaRange="$G$2:$G$12" noThreeD="1" sel="11" val="0"/>
</file>

<file path=xl/ctrlProps/ctrlProp27.xml><?xml version="1.0" encoding="utf-8"?>
<formControlPr xmlns="http://schemas.microsoft.com/office/spreadsheetml/2009/9/main" objectType="Drop" dropLines="11" dropStyle="combo" dx="22" fmlaLink="$CF$2" fmlaRange="$G$2:$G$12" noThreeD="1" sel="11" val="0"/>
</file>

<file path=xl/ctrlProps/ctrlProp28.xml><?xml version="1.0" encoding="utf-8"?>
<formControlPr xmlns="http://schemas.microsoft.com/office/spreadsheetml/2009/9/main" objectType="Drop" dropLines="11" dropStyle="combo" dx="22" fmlaLink="q17_a_q19_q26_a_q29_q37_q40_Fig!$P$9" fmlaRange="q17_a_q19_q26_a_q29_q37_q40_Fig!$A$2:$A$12" noThreeD="1" sel="11" val="0"/>
</file>

<file path=xl/ctrlProps/ctrlProp29.xml><?xml version="1.0" encoding="utf-8"?>
<formControlPr xmlns="http://schemas.microsoft.com/office/spreadsheetml/2009/9/main" objectType="Drop" dropLines="11" dropStyle="combo" dx="22" fmlaLink="q17_a_q19_q26_a_q29_q37_q40_Fig!$P$9" fmlaRange="q17_a_q19_q26_a_q29_q37_q40_Fig!$A$2:$A$12" noThreeD="1" sel="11" val="0"/>
</file>

<file path=xl/ctrlProps/ctrlProp3.xml><?xml version="1.0" encoding="utf-8"?>
<formControlPr xmlns="http://schemas.microsoft.com/office/spreadsheetml/2009/9/main" objectType="Drop" dropLines="11" dropStyle="combo" dx="22" fmlaLink="q22_q23_q33_q34_Fig!$BL$16" fmlaRange="q22_q23_q33_q34_Fig!$BL$2:$BL$12" noThreeD="1" sel="11" val="0"/>
</file>

<file path=xl/ctrlProps/ctrlProp30.xml><?xml version="1.0" encoding="utf-8"?>
<formControlPr xmlns="http://schemas.microsoft.com/office/spreadsheetml/2009/9/main" objectType="Drop" dropLines="11" dropStyle="combo" dx="22" fmlaLink="q17_a_q19_q26_a_q29_q37_q40_Fig!$P$9" fmlaRange="q17_a_q19_q26_a_q29_q37_q40_Fig!$A$2:$A$12" noThreeD="1" sel="11" val="0"/>
</file>

<file path=xl/ctrlProps/ctrlProp31.xml><?xml version="1.0" encoding="utf-8"?>
<formControlPr xmlns="http://schemas.microsoft.com/office/spreadsheetml/2009/9/main" objectType="Drop" dropLines="11" dropStyle="combo" dx="22" fmlaLink="q17_a_q19_q26_a_q29_q37_q40_Fig!$P$9" fmlaRange="q17_a_q19_q26_a_q29_q37_q40_Fig!$A$2:$A$12" noThreeD="1" sel="11" val="0"/>
</file>

<file path=xl/ctrlProps/ctrlProp32.xml><?xml version="1.0" encoding="utf-8"?>
<formControlPr xmlns="http://schemas.microsoft.com/office/spreadsheetml/2009/9/main" objectType="Drop" dropLines="11" dropStyle="combo" dx="22" fmlaLink="q17_a_q19_q26_a_q29_q37_q40_Fig!$P$9" fmlaRange="q17_a_q19_q26_a_q29_q37_q40_Fig!$A$2:$A$12" noThreeD="1" sel="11" val="0"/>
</file>

<file path=xl/ctrlProps/ctrlProp33.xml><?xml version="1.0" encoding="utf-8"?>
<formControlPr xmlns="http://schemas.microsoft.com/office/spreadsheetml/2009/9/main" objectType="Drop" dropLines="11" dropStyle="combo" dx="22" fmlaLink="q17_a_q19_q26_a_q29_q37_q40_Fig!$P$9" fmlaRange="q17_a_q19_q26_a_q29_q37_q40_Fig!$A$2:$A$12" noThreeD="1" sel="11" val="0"/>
</file>

<file path=xl/ctrlProps/ctrlProp4.xml><?xml version="1.0" encoding="utf-8"?>
<formControlPr xmlns="http://schemas.microsoft.com/office/spreadsheetml/2009/9/main" objectType="Drop" dropLines="18" dropStyle="combo" dx="22" fmlaLink="q3_q7_q11_q15_q24_q35_Fig!$Q$2" fmlaRange="q3_q7_q11_q15_q24_q35_Fig!$A$2:$A$19" sel="11" val="0"/>
</file>

<file path=xl/ctrlProps/ctrlProp5.xml><?xml version="1.0" encoding="utf-8"?>
<formControlPr xmlns="http://schemas.microsoft.com/office/spreadsheetml/2009/9/main" objectType="Drop" dropLines="11" dropStyle="combo" dx="31" fmlaLink="q3_q7_q11_q15_q24_q35_Fig!$AL$16" fmlaRange="q3_q7_q11_q15_q24_q35_Fig!$D$2:$D$12" noThreeD="1" sel="11" val="0"/>
</file>

<file path=xl/ctrlProps/ctrlProp6.xml><?xml version="1.0" encoding="utf-8"?>
<formControlPr xmlns="http://schemas.microsoft.com/office/spreadsheetml/2009/9/main" objectType="Drop" dropLines="11" dropStyle="combo" dx="31" fmlaLink="q3_q7_q11_q15_q24_q35_Fig!$AS$16" fmlaRange="q3_q7_q11_q15_q24_q35_Fig!$D$2:$D$12" noThreeD="1" sel="11" val="0"/>
</file>

<file path=xl/ctrlProps/ctrlProp7.xml><?xml version="1.0" encoding="utf-8"?>
<formControlPr xmlns="http://schemas.microsoft.com/office/spreadsheetml/2009/9/main" objectType="Drop" dropLines="11" dropStyle="combo" dx="31" fmlaLink="q3_q7_q11_q15_q24_q35_Fig!$AZ$16" fmlaRange="q3_q7_q11_q15_q24_q35_Fig!$D$2:$D$12" noThreeD="1" sel="11" val="0"/>
</file>

<file path=xl/ctrlProps/ctrlProp8.xml><?xml version="1.0" encoding="utf-8"?>
<formControlPr xmlns="http://schemas.microsoft.com/office/spreadsheetml/2009/9/main" objectType="Drop" dropLines="11" dropStyle="combo" dx="31" fmlaLink="q4_8_12_16_25_36_Fig!$AQ$2" fmlaRange="q4_8_12_16_25_36_Fig!$G$2:$G$12" noThreeD="1" sel="11" val="0"/>
</file>

<file path=xl/ctrlProps/ctrlProp9.xml><?xml version="1.0" encoding="utf-8"?>
<formControlPr xmlns="http://schemas.microsoft.com/office/spreadsheetml/2009/9/main" objectType="Drop" dropLines="11" dropStyle="combo" dx="31" fmlaLink="q4_8_12_16_25_36_Fig!$BL$2" fmlaRange="q4_8_12_16_25_36_Fig!$G$2:$G$12" noThreeD="1" sel="11" val="0"/>
</file>

<file path=xl/drawings/_rels/drawing10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37;ndice de quadros'!A1"/></Relationships>
</file>

<file path=xl/drawings/_rels/drawing1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37;ndice de quadros'!A1"/></Relationships>
</file>

<file path=xl/drawings/_rels/drawing1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37;ndice de quadros'!A1"/></Relationships>
</file>

<file path=xl/drawings/_rels/drawing12.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8.xml"/><Relationship Id="rId7" Type="http://schemas.openxmlformats.org/officeDocument/2006/relationships/chart" Target="../charts/chart11.xml"/><Relationship Id="rId2" Type="http://schemas.openxmlformats.org/officeDocument/2006/relationships/chart" Target="../charts/chart7.xml"/><Relationship Id="rId1" Type="http://schemas.openxmlformats.org/officeDocument/2006/relationships/image" Target="../media/image1.png"/><Relationship Id="rId6" Type="http://schemas.openxmlformats.org/officeDocument/2006/relationships/hyperlink" Target="#Capa_Indice!A1"/><Relationship Id="rId5" Type="http://schemas.openxmlformats.org/officeDocument/2006/relationships/chart" Target="../charts/chart10.xml"/><Relationship Id="rId4"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microsoft.com/office/2014/relationships/chartEx" Target="../charts/chartEx2.xml"/><Relationship Id="rId13" Type="http://schemas.microsoft.com/office/2014/relationships/chartEx" Target="../charts/chartEx4.xml"/><Relationship Id="rId3" Type="http://schemas.openxmlformats.org/officeDocument/2006/relationships/chart" Target="../charts/chart15.xml"/><Relationship Id="rId7" Type="http://schemas.microsoft.com/office/2014/relationships/chartEx" Target="../charts/chartEx1.xml"/><Relationship Id="rId12" Type="http://schemas.microsoft.com/office/2014/relationships/chartEx" Target="../charts/chartEx3.xml"/><Relationship Id="rId17" Type="http://schemas.openxmlformats.org/officeDocument/2006/relationships/hyperlink" Target="#Capa_Indice!A1"/><Relationship Id="rId2" Type="http://schemas.openxmlformats.org/officeDocument/2006/relationships/chart" Target="../charts/chart14.xml"/><Relationship Id="rId16" Type="http://schemas.openxmlformats.org/officeDocument/2006/relationships/chart" Target="../charts/chart21.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0.xml"/><Relationship Id="rId5" Type="http://schemas.openxmlformats.org/officeDocument/2006/relationships/chart" Target="../charts/chart16.xml"/><Relationship Id="rId15" Type="http://schemas.microsoft.com/office/2014/relationships/chartEx" Target="../charts/chartEx6.xml"/><Relationship Id="rId10" Type="http://schemas.openxmlformats.org/officeDocument/2006/relationships/chart" Target="../charts/chart19.xml"/><Relationship Id="rId4" Type="http://schemas.openxmlformats.org/officeDocument/2006/relationships/image" Target="../media/image1.png"/><Relationship Id="rId9" Type="http://schemas.openxmlformats.org/officeDocument/2006/relationships/chart" Target="../charts/chart18.xml"/><Relationship Id="rId14" Type="http://schemas.microsoft.com/office/2014/relationships/chartEx" Target="../charts/chartEx5.xml"/></Relationships>
</file>

<file path=xl/drawings/_rels/drawing19.xml.rels><?xml version="1.0" encoding="UTF-8" standalone="yes"?>
<Relationships xmlns="http://schemas.openxmlformats.org/package/2006/relationships"><Relationship Id="rId13" Type="http://schemas.openxmlformats.org/officeDocument/2006/relationships/chart" Target="../charts/chart30.xml"/><Relationship Id="rId18" Type="http://schemas.openxmlformats.org/officeDocument/2006/relationships/chart" Target="../charts/chart35.xml"/><Relationship Id="rId26" Type="http://schemas.openxmlformats.org/officeDocument/2006/relationships/chart" Target="../charts/chart43.xml"/><Relationship Id="rId3" Type="http://schemas.openxmlformats.org/officeDocument/2006/relationships/chart" Target="../charts/chart23.xml"/><Relationship Id="rId21" Type="http://schemas.openxmlformats.org/officeDocument/2006/relationships/chart" Target="../charts/chart38.xml"/><Relationship Id="rId34" Type="http://schemas.openxmlformats.org/officeDocument/2006/relationships/chart" Target="../charts/chart51.xml"/><Relationship Id="rId7" Type="http://schemas.openxmlformats.org/officeDocument/2006/relationships/image" Target="../media/image5.png"/><Relationship Id="rId12" Type="http://schemas.openxmlformats.org/officeDocument/2006/relationships/chart" Target="../charts/chart29.xml"/><Relationship Id="rId17" Type="http://schemas.openxmlformats.org/officeDocument/2006/relationships/chart" Target="../charts/chart34.xml"/><Relationship Id="rId25" Type="http://schemas.openxmlformats.org/officeDocument/2006/relationships/chart" Target="../charts/chart42.xml"/><Relationship Id="rId33" Type="http://schemas.openxmlformats.org/officeDocument/2006/relationships/chart" Target="../charts/chart50.xml"/><Relationship Id="rId2" Type="http://schemas.openxmlformats.org/officeDocument/2006/relationships/image" Target="../media/image1.png"/><Relationship Id="rId16" Type="http://schemas.openxmlformats.org/officeDocument/2006/relationships/chart" Target="../charts/chart33.xml"/><Relationship Id="rId20" Type="http://schemas.openxmlformats.org/officeDocument/2006/relationships/chart" Target="../charts/chart37.xml"/><Relationship Id="rId29" Type="http://schemas.openxmlformats.org/officeDocument/2006/relationships/chart" Target="../charts/chart46.xml"/><Relationship Id="rId1" Type="http://schemas.openxmlformats.org/officeDocument/2006/relationships/chart" Target="../charts/chart22.xml"/><Relationship Id="rId6" Type="http://schemas.openxmlformats.org/officeDocument/2006/relationships/hyperlink" Target="#Capa_Indice!A1"/><Relationship Id="rId11" Type="http://schemas.openxmlformats.org/officeDocument/2006/relationships/chart" Target="../charts/chart28.xml"/><Relationship Id="rId24" Type="http://schemas.openxmlformats.org/officeDocument/2006/relationships/chart" Target="../charts/chart41.xml"/><Relationship Id="rId32" Type="http://schemas.openxmlformats.org/officeDocument/2006/relationships/chart" Target="../charts/chart49.xml"/><Relationship Id="rId5" Type="http://schemas.openxmlformats.org/officeDocument/2006/relationships/chart" Target="../charts/chart25.xml"/><Relationship Id="rId15" Type="http://schemas.openxmlformats.org/officeDocument/2006/relationships/chart" Target="../charts/chart32.xml"/><Relationship Id="rId23" Type="http://schemas.openxmlformats.org/officeDocument/2006/relationships/chart" Target="../charts/chart40.xml"/><Relationship Id="rId28" Type="http://schemas.openxmlformats.org/officeDocument/2006/relationships/chart" Target="../charts/chart45.xml"/><Relationship Id="rId10" Type="http://schemas.openxmlformats.org/officeDocument/2006/relationships/chart" Target="../charts/chart27.xml"/><Relationship Id="rId19" Type="http://schemas.openxmlformats.org/officeDocument/2006/relationships/chart" Target="../charts/chart36.xml"/><Relationship Id="rId31" Type="http://schemas.openxmlformats.org/officeDocument/2006/relationships/chart" Target="../charts/chart48.xml"/><Relationship Id="rId4" Type="http://schemas.openxmlformats.org/officeDocument/2006/relationships/chart" Target="../charts/chart24.xml"/><Relationship Id="rId9" Type="http://schemas.openxmlformats.org/officeDocument/2006/relationships/chart" Target="../charts/chart26.xml"/><Relationship Id="rId14" Type="http://schemas.openxmlformats.org/officeDocument/2006/relationships/chart" Target="../charts/chart31.xml"/><Relationship Id="rId22" Type="http://schemas.openxmlformats.org/officeDocument/2006/relationships/chart" Target="../charts/chart39.xml"/><Relationship Id="rId27" Type="http://schemas.openxmlformats.org/officeDocument/2006/relationships/chart" Target="../charts/chart44.xml"/><Relationship Id="rId30" Type="http://schemas.openxmlformats.org/officeDocument/2006/relationships/chart" Target="../charts/chart47.xml"/><Relationship Id="rId8" Type="http://schemas.microsoft.com/office/2007/relationships/hdphoto" Target="../media/hdphoto2.wdp"/></Relationships>
</file>

<file path=xl/drawings/_rels/drawing2.xml.rels><?xml version="1.0" encoding="UTF-8" standalone="yes"?>
<Relationships xmlns="http://schemas.openxmlformats.org/package/2006/relationships"><Relationship Id="rId8" Type="http://schemas.openxmlformats.org/officeDocument/2006/relationships/hyperlink" Target="#'Caracteristicas TCO_2'!A1"/><Relationship Id="rId3" Type="http://schemas.openxmlformats.org/officeDocument/2006/relationships/hyperlink" Target="#'Caracteristicas TCO_1'!A1"/><Relationship Id="rId7" Type="http://schemas.openxmlformats.org/officeDocument/2006/relationships/hyperlink" Target="#'NUTS 2024'!A1"/><Relationship Id="rId2" Type="http://schemas.openxmlformats.org/officeDocument/2006/relationships/hyperlink" Target="#'Estrutura Empresarial'!A1"/><Relationship Id="rId1" Type="http://schemas.openxmlformats.org/officeDocument/2006/relationships/hyperlink" Target="#Distritos!A1"/><Relationship Id="rId6" Type="http://schemas.openxmlformats.org/officeDocument/2006/relationships/hyperlink" Target="#'Introdu&#231;&#227;o e Metainforma&#231;&#227;o'!A1"/><Relationship Id="rId5" Type="http://schemas.openxmlformats.org/officeDocument/2006/relationships/hyperlink" Target="#'Estrutura Empresarial_Rem'!A1"/><Relationship Id="rId4" Type="http://schemas.openxmlformats.org/officeDocument/2006/relationships/hyperlink" Target="#Desigualdade_Contratacao!A1"/></Relationships>
</file>

<file path=xl/drawings/_rels/drawing23.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image" Target="../media/image1.png"/><Relationship Id="rId6" Type="http://schemas.openxmlformats.org/officeDocument/2006/relationships/chart" Target="../charts/chart56.xml"/><Relationship Id="rId5" Type="http://schemas.openxmlformats.org/officeDocument/2006/relationships/chart" Target="../charts/chart55.xml"/><Relationship Id="rId10" Type="http://schemas.openxmlformats.org/officeDocument/2006/relationships/hyperlink" Target="#Capa_Indice!A1"/><Relationship Id="rId4" Type="http://schemas.openxmlformats.org/officeDocument/2006/relationships/chart" Target="../charts/chart54.xml"/><Relationship Id="rId9" Type="http://schemas.openxmlformats.org/officeDocument/2006/relationships/chart" Target="../charts/chart59.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65.xml"/><Relationship Id="rId3" Type="http://schemas.openxmlformats.org/officeDocument/2006/relationships/chart" Target="../charts/chart60.xml"/><Relationship Id="rId7" Type="http://schemas.openxmlformats.org/officeDocument/2006/relationships/chart" Target="../charts/chart64.xml"/><Relationship Id="rId2" Type="http://schemas.openxmlformats.org/officeDocument/2006/relationships/hyperlink" Target="#Capa_Indice!A1"/><Relationship Id="rId1" Type="http://schemas.openxmlformats.org/officeDocument/2006/relationships/image" Target="../media/image1.png"/><Relationship Id="rId6" Type="http://schemas.openxmlformats.org/officeDocument/2006/relationships/chart" Target="../charts/chart63.xml"/><Relationship Id="rId11" Type="http://schemas.openxmlformats.org/officeDocument/2006/relationships/hyperlink" Target="#'Introdu&#231;&#227;o e Metainforma&#231;&#227;o'!A1"/><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chart" Target="../charts/chart61.xml"/><Relationship Id="rId9" Type="http://schemas.openxmlformats.org/officeDocument/2006/relationships/chart" Target="../charts/chart66.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9.xml"/><Relationship Id="rId7" Type="http://schemas.openxmlformats.org/officeDocument/2006/relationships/chart" Target="../charts/chart71.xml"/><Relationship Id="rId12" Type="http://schemas.openxmlformats.org/officeDocument/2006/relationships/image" Target="../media/image8.png"/><Relationship Id="rId2" Type="http://schemas.openxmlformats.org/officeDocument/2006/relationships/chart" Target="../charts/chart68.xm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7.png"/><Relationship Id="rId5" Type="http://schemas.openxmlformats.org/officeDocument/2006/relationships/hyperlink" Target="#Capa_Indice!A1"/><Relationship Id="rId10" Type="http://schemas.openxmlformats.org/officeDocument/2006/relationships/chart" Target="../charts/chart74.xml"/><Relationship Id="rId4" Type="http://schemas.openxmlformats.org/officeDocument/2006/relationships/chart" Target="../charts/chart70.xml"/><Relationship Id="rId9" Type="http://schemas.openxmlformats.org/officeDocument/2006/relationships/chart" Target="../charts/chart73.xml"/></Relationships>
</file>

<file path=xl/drawings/_rels/drawing3.xml.rels><?xml version="1.0" encoding="UTF-8" standalone="yes"?>
<Relationships xmlns="http://schemas.openxmlformats.org/package/2006/relationships"><Relationship Id="rId2" Type="http://schemas.openxmlformats.org/officeDocument/2006/relationships/hyperlink" Target="#Capa_Indice!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4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4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4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44.xml.rels><?xml version="1.0" encoding="UTF-8" standalone="yes"?>
<Relationships xmlns="http://schemas.openxmlformats.org/package/2006/relationships"><Relationship Id="rId8" Type="http://schemas.microsoft.com/office/2014/relationships/chartEx" Target="../charts/chartEx9.xml"/><Relationship Id="rId13" Type="http://schemas.openxmlformats.org/officeDocument/2006/relationships/chart" Target="../charts/chart93.xml"/><Relationship Id="rId3" Type="http://schemas.openxmlformats.org/officeDocument/2006/relationships/chart" Target="../charts/chart89.xml"/><Relationship Id="rId7" Type="http://schemas.openxmlformats.org/officeDocument/2006/relationships/chart" Target="../charts/chart91.xml"/><Relationship Id="rId12" Type="http://schemas.openxmlformats.org/officeDocument/2006/relationships/chart" Target="../charts/chart92.xml"/><Relationship Id="rId2" Type="http://schemas.openxmlformats.org/officeDocument/2006/relationships/chart" Target="../charts/chart88.xml"/><Relationship Id="rId1" Type="http://schemas.openxmlformats.org/officeDocument/2006/relationships/chart" Target="../charts/chart87.xml"/><Relationship Id="rId6" Type="http://schemas.microsoft.com/office/2014/relationships/chartEx" Target="../charts/chartEx8.xml"/><Relationship Id="rId11" Type="http://schemas.microsoft.com/office/2014/relationships/chartEx" Target="../charts/chartEx12.xml"/><Relationship Id="rId5" Type="http://schemas.microsoft.com/office/2014/relationships/chartEx" Target="../charts/chartEx7.xml"/><Relationship Id="rId15" Type="http://schemas.openxmlformats.org/officeDocument/2006/relationships/chart" Target="../charts/chart95.xml"/><Relationship Id="rId10" Type="http://schemas.microsoft.com/office/2014/relationships/chartEx" Target="../charts/chartEx11.xml"/><Relationship Id="rId4" Type="http://schemas.openxmlformats.org/officeDocument/2006/relationships/chart" Target="../charts/chart90.xml"/><Relationship Id="rId9" Type="http://schemas.microsoft.com/office/2014/relationships/chartEx" Target="../charts/chartEx10.xml"/><Relationship Id="rId14" Type="http://schemas.openxmlformats.org/officeDocument/2006/relationships/chart" Target="../charts/chart94.xml"/></Relationships>
</file>

<file path=xl/drawings/_rels/drawing48.xml.rels><?xml version="1.0" encoding="UTF-8" standalone="yes"?>
<Relationships xmlns="http://schemas.openxmlformats.org/package/2006/relationships"><Relationship Id="rId8" Type="http://schemas.openxmlformats.org/officeDocument/2006/relationships/chart" Target="../charts/chart101.xml"/><Relationship Id="rId13" Type="http://schemas.openxmlformats.org/officeDocument/2006/relationships/chart" Target="../charts/chart106.xml"/><Relationship Id="rId18" Type="http://schemas.openxmlformats.org/officeDocument/2006/relationships/chart" Target="../charts/chart111.xml"/><Relationship Id="rId26" Type="http://schemas.openxmlformats.org/officeDocument/2006/relationships/chart" Target="../charts/chart119.xml"/><Relationship Id="rId3" Type="http://schemas.openxmlformats.org/officeDocument/2006/relationships/chart" Target="../charts/chart98.xml"/><Relationship Id="rId21" Type="http://schemas.openxmlformats.org/officeDocument/2006/relationships/chart" Target="../charts/chart114.xml"/><Relationship Id="rId7" Type="http://schemas.openxmlformats.org/officeDocument/2006/relationships/chart" Target="../charts/chart100.xml"/><Relationship Id="rId12" Type="http://schemas.openxmlformats.org/officeDocument/2006/relationships/chart" Target="../charts/chart105.xml"/><Relationship Id="rId17" Type="http://schemas.openxmlformats.org/officeDocument/2006/relationships/chart" Target="../charts/chart110.xml"/><Relationship Id="rId25" Type="http://schemas.openxmlformats.org/officeDocument/2006/relationships/chart" Target="../charts/chart118.xml"/><Relationship Id="rId2" Type="http://schemas.openxmlformats.org/officeDocument/2006/relationships/chart" Target="../charts/chart97.xml"/><Relationship Id="rId16" Type="http://schemas.openxmlformats.org/officeDocument/2006/relationships/chart" Target="../charts/chart109.xml"/><Relationship Id="rId20" Type="http://schemas.openxmlformats.org/officeDocument/2006/relationships/chart" Target="../charts/chart113.xml"/><Relationship Id="rId29" Type="http://schemas.openxmlformats.org/officeDocument/2006/relationships/chart" Target="../charts/chart122.xml"/><Relationship Id="rId1" Type="http://schemas.openxmlformats.org/officeDocument/2006/relationships/chart" Target="../charts/chart96.xml"/><Relationship Id="rId6" Type="http://schemas.openxmlformats.org/officeDocument/2006/relationships/chart" Target="../charts/chart99.xml"/><Relationship Id="rId11" Type="http://schemas.openxmlformats.org/officeDocument/2006/relationships/chart" Target="../charts/chart104.xml"/><Relationship Id="rId24" Type="http://schemas.openxmlformats.org/officeDocument/2006/relationships/chart" Target="../charts/chart117.xml"/><Relationship Id="rId32" Type="http://schemas.openxmlformats.org/officeDocument/2006/relationships/chart" Target="../charts/chart125.xml"/><Relationship Id="rId5" Type="http://schemas.microsoft.com/office/2007/relationships/hdphoto" Target="../media/hdphoto2.wdp"/><Relationship Id="rId15" Type="http://schemas.openxmlformats.org/officeDocument/2006/relationships/chart" Target="../charts/chart108.xml"/><Relationship Id="rId23" Type="http://schemas.openxmlformats.org/officeDocument/2006/relationships/chart" Target="../charts/chart116.xml"/><Relationship Id="rId28" Type="http://schemas.openxmlformats.org/officeDocument/2006/relationships/chart" Target="../charts/chart121.xml"/><Relationship Id="rId10" Type="http://schemas.openxmlformats.org/officeDocument/2006/relationships/chart" Target="../charts/chart103.xml"/><Relationship Id="rId19" Type="http://schemas.openxmlformats.org/officeDocument/2006/relationships/chart" Target="../charts/chart112.xml"/><Relationship Id="rId31" Type="http://schemas.openxmlformats.org/officeDocument/2006/relationships/chart" Target="../charts/chart124.xml"/><Relationship Id="rId4" Type="http://schemas.openxmlformats.org/officeDocument/2006/relationships/image" Target="../media/image5.png"/><Relationship Id="rId9" Type="http://schemas.openxmlformats.org/officeDocument/2006/relationships/chart" Target="../charts/chart102.xml"/><Relationship Id="rId14" Type="http://schemas.openxmlformats.org/officeDocument/2006/relationships/chart" Target="../charts/chart107.xml"/><Relationship Id="rId22" Type="http://schemas.openxmlformats.org/officeDocument/2006/relationships/chart" Target="../charts/chart115.xml"/><Relationship Id="rId27" Type="http://schemas.openxmlformats.org/officeDocument/2006/relationships/chart" Target="../charts/chart120.xml"/><Relationship Id="rId30" Type="http://schemas.openxmlformats.org/officeDocument/2006/relationships/chart" Target="../charts/chart123.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37;ndice de quadros'!A1"/></Relationships>
</file>

<file path=xl/drawings/_rels/drawing5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6.png"/><Relationship Id="rId7" Type="http://schemas.microsoft.com/office/2007/relationships/hdphoto" Target="../media/hdphoto2.wdp"/><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17.jpeg"/><Relationship Id="rId4" Type="http://schemas.microsoft.com/office/2007/relationships/hdphoto" Target="../media/hdphoto3.wdp"/></Relationships>
</file>

<file path=xl/drawings/_rels/drawing53.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4" Type="http://schemas.openxmlformats.org/officeDocument/2006/relationships/chart" Target="../charts/chart129.xml"/></Relationships>
</file>

<file path=xl/drawings/_rels/drawing54.xml.rels><?xml version="1.0" encoding="UTF-8" standalone="yes"?>
<Relationships xmlns="http://schemas.openxmlformats.org/package/2006/relationships"><Relationship Id="rId8" Type="http://schemas.openxmlformats.org/officeDocument/2006/relationships/chart" Target="../charts/chart137.xml"/><Relationship Id="rId13" Type="http://schemas.openxmlformats.org/officeDocument/2006/relationships/chart" Target="../charts/chart142.xml"/><Relationship Id="rId3" Type="http://schemas.openxmlformats.org/officeDocument/2006/relationships/chart" Target="../charts/chart132.xml"/><Relationship Id="rId7" Type="http://schemas.openxmlformats.org/officeDocument/2006/relationships/chart" Target="../charts/chart136.xml"/><Relationship Id="rId12" Type="http://schemas.openxmlformats.org/officeDocument/2006/relationships/chart" Target="../charts/chart141.xml"/><Relationship Id="rId2" Type="http://schemas.openxmlformats.org/officeDocument/2006/relationships/chart" Target="../charts/chart131.xml"/><Relationship Id="rId16" Type="http://schemas.openxmlformats.org/officeDocument/2006/relationships/chart" Target="../charts/chart145.xml"/><Relationship Id="rId1" Type="http://schemas.openxmlformats.org/officeDocument/2006/relationships/chart" Target="../charts/chart130.xml"/><Relationship Id="rId6" Type="http://schemas.openxmlformats.org/officeDocument/2006/relationships/chart" Target="../charts/chart135.xml"/><Relationship Id="rId11" Type="http://schemas.openxmlformats.org/officeDocument/2006/relationships/chart" Target="../charts/chart140.xml"/><Relationship Id="rId5" Type="http://schemas.openxmlformats.org/officeDocument/2006/relationships/chart" Target="../charts/chart134.xml"/><Relationship Id="rId15" Type="http://schemas.openxmlformats.org/officeDocument/2006/relationships/chart" Target="../charts/chart144.xml"/><Relationship Id="rId10" Type="http://schemas.openxmlformats.org/officeDocument/2006/relationships/chart" Target="../charts/chart139.xml"/><Relationship Id="rId4" Type="http://schemas.openxmlformats.org/officeDocument/2006/relationships/chart" Target="../charts/chart133.xml"/><Relationship Id="rId9" Type="http://schemas.openxmlformats.org/officeDocument/2006/relationships/chart" Target="../charts/chart138.xml"/><Relationship Id="rId14" Type="http://schemas.openxmlformats.org/officeDocument/2006/relationships/chart" Target="../charts/chart143.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6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6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62.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chart" Target="../charts/chart146.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 Id="rId4" Type="http://schemas.openxmlformats.org/officeDocument/2006/relationships/image" Target="../media/image6.png"/></Relationships>
</file>

<file path=xl/drawings/_rels/drawing64.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8.png"/><Relationship Id="rId2" Type="http://schemas.openxmlformats.org/officeDocument/2006/relationships/image" Target="../media/image20.png"/><Relationship Id="rId1" Type="http://schemas.openxmlformats.org/officeDocument/2006/relationships/chart" Target="../charts/chart151.xml"/><Relationship Id="rId6" Type="http://schemas.openxmlformats.org/officeDocument/2006/relationships/image" Target="../media/image7.png"/><Relationship Id="rId5" Type="http://schemas.openxmlformats.org/officeDocument/2006/relationships/chart" Target="../charts/chart153.xml"/><Relationship Id="rId4" Type="http://schemas.openxmlformats.org/officeDocument/2006/relationships/chart" Target="../charts/chart152.xml"/></Relationships>
</file>

<file path=xl/drawings/_rels/drawing65.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gif"/></Relationships>
</file>

<file path=xl/drawings/_rels/drawing66.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67.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68.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69.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hyperlink" Target="#'Introdu&#231;&#227;o e Metainforma&#231;&#227;o'!A1"/><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hyperlink" Target="#Capa_Indic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7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72.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7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7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7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7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7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7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8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9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6.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3.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3.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3.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3.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45.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69850</xdr:colOff>
      <xdr:row>29</xdr:row>
      <xdr:rowOff>115888</xdr:rowOff>
    </xdr:from>
    <xdr:to>
      <xdr:col>10</xdr:col>
      <xdr:colOff>606425</xdr:colOff>
      <xdr:row>33</xdr:row>
      <xdr:rowOff>88900</xdr:rowOff>
    </xdr:to>
    <xdr:sp macro="" textlink="">
      <xdr:nvSpPr>
        <xdr:cNvPr id="2" name="Rectangle 2">
          <a:extLst>
            <a:ext uri="{FF2B5EF4-FFF2-40B4-BE49-F238E27FC236}">
              <a16:creationId xmlns:a16="http://schemas.microsoft.com/office/drawing/2014/main" id="{00000000-0008-0000-0000-000002000000}"/>
            </a:ext>
          </a:extLst>
        </xdr:cNvPr>
        <xdr:cNvSpPr>
          <a:spLocks noChangeArrowheads="1"/>
        </xdr:cNvSpPr>
      </xdr:nvSpPr>
      <xdr:spPr bwMode="auto">
        <a:xfrm>
          <a:off x="69850" y="4116388"/>
          <a:ext cx="6318250" cy="735012"/>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217488</xdr:colOff>
      <xdr:row>28</xdr:row>
      <xdr:rowOff>144463</xdr:rowOff>
    </xdr:from>
    <xdr:to>
      <xdr:col>6</xdr:col>
      <xdr:colOff>7938</xdr:colOff>
      <xdr:row>32</xdr:row>
      <xdr:rowOff>111125</xdr:rowOff>
    </xdr:to>
    <xdr:sp macro="" textlink="">
      <xdr:nvSpPr>
        <xdr:cNvPr id="3" name="Rectangle 3">
          <a:extLst>
            <a:ext uri="{FF2B5EF4-FFF2-40B4-BE49-F238E27FC236}">
              <a16:creationId xmlns:a16="http://schemas.microsoft.com/office/drawing/2014/main" id="{00000000-0008-0000-0000-000003000000}"/>
            </a:ext>
          </a:extLst>
        </xdr:cNvPr>
        <xdr:cNvSpPr>
          <a:spLocks noChangeArrowheads="1"/>
        </xdr:cNvSpPr>
      </xdr:nvSpPr>
      <xdr:spPr bwMode="auto">
        <a:xfrm>
          <a:off x="217488" y="3954463"/>
          <a:ext cx="3276600" cy="728662"/>
        </a:xfrm>
        <a:prstGeom prst="rect">
          <a:avLst/>
        </a:prstGeom>
        <a:solidFill>
          <a:srgbClr val="FFFF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69850</xdr:colOff>
      <xdr:row>35</xdr:row>
      <xdr:rowOff>42863</xdr:rowOff>
    </xdr:from>
    <xdr:to>
      <xdr:col>10</xdr:col>
      <xdr:colOff>577850</xdr:colOff>
      <xdr:row>39</xdr:row>
      <xdr:rowOff>17463</xdr:rowOff>
    </xdr:to>
    <xdr:sp macro="" textlink="">
      <xdr:nvSpPr>
        <xdr:cNvPr id="4" name="Rectangle 5">
          <a:extLst>
            <a:ext uri="{FF2B5EF4-FFF2-40B4-BE49-F238E27FC236}">
              <a16:creationId xmlns:a16="http://schemas.microsoft.com/office/drawing/2014/main" id="{00000000-0008-0000-0000-000004000000}"/>
            </a:ext>
          </a:extLst>
        </xdr:cNvPr>
        <xdr:cNvSpPr>
          <a:spLocks noChangeArrowheads="1"/>
        </xdr:cNvSpPr>
      </xdr:nvSpPr>
      <xdr:spPr bwMode="auto">
        <a:xfrm>
          <a:off x="69850" y="5186363"/>
          <a:ext cx="6318250" cy="736600"/>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217488</xdr:colOff>
      <xdr:row>34</xdr:row>
      <xdr:rowOff>73025</xdr:rowOff>
    </xdr:from>
    <xdr:to>
      <xdr:col>6</xdr:col>
      <xdr:colOff>7938</xdr:colOff>
      <xdr:row>38</xdr:row>
      <xdr:rowOff>38100</xdr:rowOff>
    </xdr:to>
    <xdr:sp macro="" textlink="">
      <xdr:nvSpPr>
        <xdr:cNvPr id="5" name="Rectangle 6">
          <a:extLst>
            <a:ext uri="{FF2B5EF4-FFF2-40B4-BE49-F238E27FC236}">
              <a16:creationId xmlns:a16="http://schemas.microsoft.com/office/drawing/2014/main" id="{00000000-0008-0000-0000-000005000000}"/>
            </a:ext>
          </a:extLst>
        </xdr:cNvPr>
        <xdr:cNvSpPr>
          <a:spLocks noChangeArrowheads="1"/>
        </xdr:cNvSpPr>
      </xdr:nvSpPr>
      <xdr:spPr bwMode="auto">
        <a:xfrm>
          <a:off x="217488" y="5026025"/>
          <a:ext cx="3276600" cy="727075"/>
        </a:xfrm>
        <a:prstGeom prst="rect">
          <a:avLst/>
        </a:prstGeom>
        <a:solidFill>
          <a:srgbClr val="FFFF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69850</xdr:colOff>
      <xdr:row>40</xdr:row>
      <xdr:rowOff>155575</xdr:rowOff>
    </xdr:from>
    <xdr:to>
      <xdr:col>10</xdr:col>
      <xdr:colOff>606425</xdr:colOff>
      <xdr:row>44</xdr:row>
      <xdr:rowOff>128588</xdr:rowOff>
    </xdr:to>
    <xdr:sp macro="" textlink="">
      <xdr:nvSpPr>
        <xdr:cNvPr id="7" name="Rectangle 8">
          <a:extLst>
            <a:ext uri="{FF2B5EF4-FFF2-40B4-BE49-F238E27FC236}">
              <a16:creationId xmlns:a16="http://schemas.microsoft.com/office/drawing/2014/main" id="{00000000-0008-0000-0000-000007000000}"/>
            </a:ext>
          </a:extLst>
        </xdr:cNvPr>
        <xdr:cNvSpPr>
          <a:spLocks noChangeArrowheads="1"/>
        </xdr:cNvSpPr>
      </xdr:nvSpPr>
      <xdr:spPr bwMode="auto">
        <a:xfrm>
          <a:off x="69850" y="6251575"/>
          <a:ext cx="6318250"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217488</xdr:colOff>
      <xdr:row>40</xdr:row>
      <xdr:rowOff>0</xdr:rowOff>
    </xdr:from>
    <xdr:to>
      <xdr:col>6</xdr:col>
      <xdr:colOff>7938</xdr:colOff>
      <xdr:row>43</xdr:row>
      <xdr:rowOff>150813</xdr:rowOff>
    </xdr:to>
    <xdr:sp macro="" textlink="">
      <xdr:nvSpPr>
        <xdr:cNvPr id="8" name="Rectangle 9">
          <a:extLst>
            <a:ext uri="{FF2B5EF4-FFF2-40B4-BE49-F238E27FC236}">
              <a16:creationId xmlns:a16="http://schemas.microsoft.com/office/drawing/2014/main" id="{00000000-0008-0000-0000-000008000000}"/>
            </a:ext>
          </a:extLst>
        </xdr:cNvPr>
        <xdr:cNvSpPr>
          <a:spLocks noChangeArrowheads="1"/>
        </xdr:cNvSpPr>
      </xdr:nvSpPr>
      <xdr:spPr bwMode="auto">
        <a:xfrm>
          <a:off x="217488" y="6096000"/>
          <a:ext cx="3276600" cy="722313"/>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228600</xdr:colOff>
      <xdr:row>30</xdr:row>
      <xdr:rowOff>6350</xdr:rowOff>
    </xdr:from>
    <xdr:to>
      <xdr:col>4</xdr:col>
      <xdr:colOff>347663</xdr:colOff>
      <xdr:row>31</xdr:row>
      <xdr:rowOff>133533</xdr:rowOff>
    </xdr:to>
    <xdr:sp macro="" textlink="">
      <xdr:nvSpPr>
        <xdr:cNvPr id="9" name="Text Box 10">
          <a:extLst>
            <a:ext uri="{FF2B5EF4-FFF2-40B4-BE49-F238E27FC236}">
              <a16:creationId xmlns:a16="http://schemas.microsoft.com/office/drawing/2014/main" id="{00000000-0008-0000-0000-000009000000}"/>
            </a:ext>
          </a:extLst>
        </xdr:cNvPr>
        <xdr:cNvSpPr txBox="1">
          <a:spLocks noChangeArrowheads="1"/>
        </xdr:cNvSpPr>
      </xdr:nvSpPr>
      <xdr:spPr bwMode="auto">
        <a:xfrm>
          <a:off x="228600" y="4197350"/>
          <a:ext cx="2443163"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Estrutura</a:t>
          </a:r>
          <a:r>
            <a:rPr lang="en-US" altLang="pt-PT" sz="1500" b="1" baseline="0">
              <a:solidFill>
                <a:srgbClr val="00467A"/>
              </a:solidFill>
              <a:latin typeface="Arial" charset="0"/>
            </a:rPr>
            <a:t> Empresarial</a:t>
          </a:r>
          <a:endParaRPr lang="en-US" altLang="pt-PT" sz="1500" b="1">
            <a:solidFill>
              <a:srgbClr val="00467A"/>
            </a:solidFill>
            <a:latin typeface="Arial" charset="0"/>
          </a:endParaRPr>
        </a:p>
      </xdr:txBody>
    </xdr:sp>
    <xdr:clientData/>
  </xdr:twoCellAnchor>
  <xdr:twoCellAnchor>
    <xdr:from>
      <xdr:col>0</xdr:col>
      <xdr:colOff>228600</xdr:colOff>
      <xdr:row>35</xdr:row>
      <xdr:rowOff>117475</xdr:rowOff>
    </xdr:from>
    <xdr:to>
      <xdr:col>4</xdr:col>
      <xdr:colOff>347663</xdr:colOff>
      <xdr:row>37</xdr:row>
      <xdr:rowOff>54158</xdr:rowOff>
    </xdr:to>
    <xdr:sp macro="" textlink="">
      <xdr:nvSpPr>
        <xdr:cNvPr id="10" name="Text Box 11">
          <a:extLst>
            <a:ext uri="{FF2B5EF4-FFF2-40B4-BE49-F238E27FC236}">
              <a16:creationId xmlns:a16="http://schemas.microsoft.com/office/drawing/2014/main" id="{00000000-0008-0000-0000-00000A000000}"/>
            </a:ext>
          </a:extLst>
        </xdr:cNvPr>
        <xdr:cNvSpPr txBox="1">
          <a:spLocks noChangeArrowheads="1"/>
        </xdr:cNvSpPr>
      </xdr:nvSpPr>
      <xdr:spPr bwMode="auto">
        <a:xfrm>
          <a:off x="228600" y="5260975"/>
          <a:ext cx="2443163"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Emprego</a:t>
          </a:r>
        </a:p>
      </xdr:txBody>
    </xdr:sp>
    <xdr:clientData/>
  </xdr:twoCellAnchor>
  <xdr:twoCellAnchor>
    <xdr:from>
      <xdr:col>0</xdr:col>
      <xdr:colOff>228600</xdr:colOff>
      <xdr:row>41</xdr:row>
      <xdr:rowOff>46038</xdr:rowOff>
    </xdr:from>
    <xdr:to>
      <xdr:col>4</xdr:col>
      <xdr:colOff>347663</xdr:colOff>
      <xdr:row>42</xdr:row>
      <xdr:rowOff>173221</xdr:rowOff>
    </xdr:to>
    <xdr:sp macro="" textlink="">
      <xdr:nvSpPr>
        <xdr:cNvPr id="11" name="Text Box 12">
          <a:extLst>
            <a:ext uri="{FF2B5EF4-FFF2-40B4-BE49-F238E27FC236}">
              <a16:creationId xmlns:a16="http://schemas.microsoft.com/office/drawing/2014/main" id="{00000000-0008-0000-0000-00000B000000}"/>
            </a:ext>
          </a:extLst>
        </xdr:cNvPr>
        <xdr:cNvSpPr txBox="1">
          <a:spLocks noChangeArrowheads="1"/>
        </xdr:cNvSpPr>
      </xdr:nvSpPr>
      <xdr:spPr bwMode="auto">
        <a:xfrm>
          <a:off x="228600" y="6332538"/>
          <a:ext cx="2443163"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Remunerações</a:t>
          </a:r>
        </a:p>
      </xdr:txBody>
    </xdr:sp>
    <xdr:clientData/>
  </xdr:twoCellAnchor>
  <xdr:twoCellAnchor>
    <xdr:from>
      <xdr:col>0</xdr:col>
      <xdr:colOff>69850</xdr:colOff>
      <xdr:row>5</xdr:row>
      <xdr:rowOff>177800</xdr:rowOff>
    </xdr:from>
    <xdr:to>
      <xdr:col>11</xdr:col>
      <xdr:colOff>157163</xdr:colOff>
      <xdr:row>9</xdr:row>
      <xdr:rowOff>71438</xdr:rowOff>
    </xdr:to>
    <xdr:sp macro="" textlink="">
      <xdr:nvSpPr>
        <xdr:cNvPr id="12" name="Rectangle 13">
          <a:extLst>
            <a:ext uri="{FF2B5EF4-FFF2-40B4-BE49-F238E27FC236}">
              <a16:creationId xmlns:a16="http://schemas.microsoft.com/office/drawing/2014/main" id="{00000000-0008-0000-0000-00000C000000}"/>
            </a:ext>
          </a:extLst>
        </xdr:cNvPr>
        <xdr:cNvSpPr>
          <a:spLocks noChangeArrowheads="1"/>
        </xdr:cNvSpPr>
      </xdr:nvSpPr>
      <xdr:spPr bwMode="auto">
        <a:xfrm>
          <a:off x="69850" y="1130300"/>
          <a:ext cx="6478588" cy="655638"/>
        </a:xfrm>
        <a:prstGeom prst="rect">
          <a:avLst/>
        </a:prstGeom>
        <a:solidFill>
          <a:srgbClr val="00467A"/>
        </a:solidFill>
        <a:ln w="9525">
          <a:solidFill>
            <a:srgbClr val="004A82"/>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0</xdr:colOff>
      <xdr:row>3</xdr:row>
      <xdr:rowOff>100012</xdr:rowOff>
    </xdr:from>
    <xdr:to>
      <xdr:col>5</xdr:col>
      <xdr:colOff>219075</xdr:colOff>
      <xdr:row>10</xdr:row>
      <xdr:rowOff>146047</xdr:rowOff>
    </xdr:to>
    <xdr:grpSp>
      <xdr:nvGrpSpPr>
        <xdr:cNvPr id="13" name="Group 14">
          <a:extLst>
            <a:ext uri="{FF2B5EF4-FFF2-40B4-BE49-F238E27FC236}">
              <a16:creationId xmlns:a16="http://schemas.microsoft.com/office/drawing/2014/main" id="{00000000-0008-0000-0000-00000D000000}"/>
            </a:ext>
          </a:extLst>
        </xdr:cNvPr>
        <xdr:cNvGrpSpPr>
          <a:grpSpLocks/>
        </xdr:cNvGrpSpPr>
      </xdr:nvGrpSpPr>
      <xdr:grpSpPr bwMode="auto">
        <a:xfrm>
          <a:off x="0" y="671512"/>
          <a:ext cx="3124200" cy="1379535"/>
          <a:chOff x="198" y="603"/>
          <a:chExt cx="1962" cy="839"/>
        </a:xfrm>
      </xdr:grpSpPr>
      <xdr:sp macro="" textlink="">
        <xdr:nvSpPr>
          <xdr:cNvPr id="14" name="Rectangle 15">
            <a:extLst>
              <a:ext uri="{FF2B5EF4-FFF2-40B4-BE49-F238E27FC236}">
                <a16:creationId xmlns:a16="http://schemas.microsoft.com/office/drawing/2014/main" id="{00000000-0008-0000-0000-00000E000000}"/>
              </a:ext>
            </a:extLst>
          </xdr:cNvPr>
          <xdr:cNvSpPr>
            <a:spLocks noChangeArrowheads="1"/>
          </xdr:cNvSpPr>
        </xdr:nvSpPr>
        <xdr:spPr bwMode="auto">
          <a:xfrm>
            <a:off x="198" y="603"/>
            <a:ext cx="1962" cy="192"/>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15" name="Rectangle 16">
            <a:extLst>
              <a:ext uri="{FF2B5EF4-FFF2-40B4-BE49-F238E27FC236}">
                <a16:creationId xmlns:a16="http://schemas.microsoft.com/office/drawing/2014/main" id="{00000000-0008-0000-0000-00000F000000}"/>
              </a:ext>
            </a:extLst>
          </xdr:cNvPr>
          <xdr:cNvSpPr>
            <a:spLocks noChangeArrowheads="1"/>
          </xdr:cNvSpPr>
        </xdr:nvSpPr>
        <xdr:spPr bwMode="auto">
          <a:xfrm rot="5393061">
            <a:off x="-95" y="916"/>
            <a:ext cx="819" cy="234"/>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grpSp>
    <xdr:clientData/>
  </xdr:twoCellAnchor>
  <xdr:twoCellAnchor>
    <xdr:from>
      <xdr:col>0</xdr:col>
      <xdr:colOff>217488</xdr:colOff>
      <xdr:row>4</xdr:row>
      <xdr:rowOff>127000</xdr:rowOff>
    </xdr:from>
    <xdr:to>
      <xdr:col>6</xdr:col>
      <xdr:colOff>7938</xdr:colOff>
      <xdr:row>8</xdr:row>
      <xdr:rowOff>93663</xdr:rowOff>
    </xdr:to>
    <xdr:sp macro="" textlink="">
      <xdr:nvSpPr>
        <xdr:cNvPr id="16" name="Rectangle 17">
          <a:extLst>
            <a:ext uri="{FF2B5EF4-FFF2-40B4-BE49-F238E27FC236}">
              <a16:creationId xmlns:a16="http://schemas.microsoft.com/office/drawing/2014/main" id="{00000000-0008-0000-0000-000010000000}"/>
            </a:ext>
          </a:extLst>
        </xdr:cNvPr>
        <xdr:cNvSpPr>
          <a:spLocks noChangeArrowheads="1"/>
        </xdr:cNvSpPr>
      </xdr:nvSpPr>
      <xdr:spPr bwMode="auto">
        <a:xfrm>
          <a:off x="217488" y="889000"/>
          <a:ext cx="3276600" cy="728663"/>
        </a:xfrm>
        <a:prstGeom prst="rect">
          <a:avLst/>
        </a:prstGeom>
        <a:solidFill>
          <a:srgbClr val="002060"/>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2100" b="1" i="1">
              <a:solidFill>
                <a:schemeClr val="bg1"/>
              </a:solidFill>
              <a:effectLst>
                <a:outerShdw blurRad="38100" dist="38100" dir="2700000" algn="tl">
                  <a:srgbClr val="000000"/>
                </a:outerShdw>
              </a:effectLst>
              <a:latin typeface="Arial" charset="0"/>
            </a:rPr>
            <a:t>Séries Cronológicas</a:t>
          </a:r>
        </a:p>
      </xdr:txBody>
    </xdr:sp>
    <xdr:clientData/>
  </xdr:twoCellAnchor>
  <xdr:twoCellAnchor>
    <xdr:from>
      <xdr:col>9</xdr:col>
      <xdr:colOff>198438</xdr:colOff>
      <xdr:row>5</xdr:row>
      <xdr:rowOff>114300</xdr:rowOff>
    </xdr:from>
    <xdr:to>
      <xdr:col>9</xdr:col>
      <xdr:colOff>419100</xdr:colOff>
      <xdr:row>10</xdr:row>
      <xdr:rowOff>142875</xdr:rowOff>
    </xdr:to>
    <xdr:sp macro="" textlink="">
      <xdr:nvSpPr>
        <xdr:cNvPr id="17" name="Rectangle 19">
          <a:extLst>
            <a:ext uri="{FF2B5EF4-FFF2-40B4-BE49-F238E27FC236}">
              <a16:creationId xmlns:a16="http://schemas.microsoft.com/office/drawing/2014/main" id="{00000000-0008-0000-0000-000011000000}"/>
            </a:ext>
          </a:extLst>
        </xdr:cNvPr>
        <xdr:cNvSpPr>
          <a:spLocks noChangeArrowheads="1"/>
        </xdr:cNvSpPr>
      </xdr:nvSpPr>
      <xdr:spPr bwMode="auto">
        <a:xfrm>
          <a:off x="5427663" y="1066800"/>
          <a:ext cx="220662" cy="981075"/>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8</xdr:col>
      <xdr:colOff>387350</xdr:colOff>
      <xdr:row>5</xdr:row>
      <xdr:rowOff>114300</xdr:rowOff>
    </xdr:from>
    <xdr:to>
      <xdr:col>11</xdr:col>
      <xdr:colOff>157163</xdr:colOff>
      <xdr:row>5</xdr:row>
      <xdr:rowOff>115888</xdr:rowOff>
    </xdr:to>
    <xdr:sp macro="" textlink="">
      <xdr:nvSpPr>
        <xdr:cNvPr id="18" name="Line 21">
          <a:extLst>
            <a:ext uri="{FF2B5EF4-FFF2-40B4-BE49-F238E27FC236}">
              <a16:creationId xmlns:a16="http://schemas.microsoft.com/office/drawing/2014/main" id="{00000000-0008-0000-0000-000012000000}"/>
            </a:ext>
          </a:extLst>
        </xdr:cNvPr>
        <xdr:cNvSpPr>
          <a:spLocks noChangeShapeType="1"/>
        </xdr:cNvSpPr>
      </xdr:nvSpPr>
      <xdr:spPr bwMode="auto">
        <a:xfrm>
          <a:off x="5035550" y="1066800"/>
          <a:ext cx="1512888"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398463</xdr:colOff>
      <xdr:row>10</xdr:row>
      <xdr:rowOff>142875</xdr:rowOff>
    </xdr:from>
    <xdr:to>
      <xdr:col>9</xdr:col>
      <xdr:colOff>417513</xdr:colOff>
      <xdr:row>10</xdr:row>
      <xdr:rowOff>142875</xdr:rowOff>
    </xdr:to>
    <xdr:sp macro="" textlink="">
      <xdr:nvSpPr>
        <xdr:cNvPr id="19" name="Line 22">
          <a:extLst>
            <a:ext uri="{FF2B5EF4-FFF2-40B4-BE49-F238E27FC236}">
              <a16:creationId xmlns:a16="http://schemas.microsoft.com/office/drawing/2014/main" id="{00000000-0008-0000-0000-000013000000}"/>
            </a:ext>
          </a:extLst>
        </xdr:cNvPr>
        <xdr:cNvSpPr>
          <a:spLocks noChangeShapeType="1"/>
        </xdr:cNvSpPr>
      </xdr:nvSpPr>
      <xdr:spPr bwMode="auto">
        <a:xfrm>
          <a:off x="2141538" y="2047875"/>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10</xdr:col>
      <xdr:colOff>115888</xdr:colOff>
      <xdr:row>41</xdr:row>
      <xdr:rowOff>130175</xdr:rowOff>
    </xdr:from>
    <xdr:to>
      <xdr:col>10</xdr:col>
      <xdr:colOff>452438</xdr:colOff>
      <xdr:row>44</xdr:row>
      <xdr:rowOff>33338</xdr:rowOff>
    </xdr:to>
    <xdr:sp macro="" textlink="">
      <xdr:nvSpPr>
        <xdr:cNvPr id="20" name="WordArt 25">
          <a:extLst>
            <a:ext uri="{FF2B5EF4-FFF2-40B4-BE49-F238E27FC236}">
              <a16:creationId xmlns:a16="http://schemas.microsoft.com/office/drawing/2014/main" id="{00000000-0008-0000-0000-000014000000}"/>
            </a:ext>
          </a:extLst>
        </xdr:cNvPr>
        <xdr:cNvSpPr>
          <a:spLocks noChangeArrowheads="1" noChangeShapeType="1" noTextEdit="1"/>
        </xdr:cNvSpPr>
      </xdr:nvSpPr>
      <xdr:spPr bwMode="auto">
        <a:xfrm>
          <a:off x="5926138" y="6416675"/>
          <a:ext cx="336550" cy="474663"/>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II</a:t>
          </a:r>
        </a:p>
      </xdr:txBody>
    </xdr:sp>
    <xdr:clientData/>
  </xdr:twoCellAnchor>
  <xdr:twoCellAnchor>
    <xdr:from>
      <xdr:col>6</xdr:col>
      <xdr:colOff>428625</xdr:colOff>
      <xdr:row>10</xdr:row>
      <xdr:rowOff>163513</xdr:rowOff>
    </xdr:from>
    <xdr:to>
      <xdr:col>9</xdr:col>
      <xdr:colOff>168275</xdr:colOff>
      <xdr:row>12</xdr:row>
      <xdr:rowOff>142392</xdr:rowOff>
    </xdr:to>
    <xdr:sp macro="" textlink="">
      <xdr:nvSpPr>
        <xdr:cNvPr id="21" name="Text Box 26">
          <a:extLst>
            <a:ext uri="{FF2B5EF4-FFF2-40B4-BE49-F238E27FC236}">
              <a16:creationId xmlns:a16="http://schemas.microsoft.com/office/drawing/2014/main" id="{00000000-0008-0000-0000-000015000000}"/>
            </a:ext>
          </a:extLst>
        </xdr:cNvPr>
        <xdr:cNvSpPr txBox="1">
          <a:spLocks noChangeArrowheads="1"/>
        </xdr:cNvSpPr>
      </xdr:nvSpPr>
      <xdr:spPr bwMode="auto">
        <a:xfrm>
          <a:off x="4086225" y="2005013"/>
          <a:ext cx="1568450" cy="347179"/>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r"/>
          <a:r>
            <a:rPr lang="pt-PT" altLang="pt-PT" sz="1700" b="1">
              <a:solidFill>
                <a:schemeClr val="bg1"/>
              </a:solidFill>
              <a:latin typeface="Arial" charset="0"/>
            </a:rPr>
            <a:t>2013 - 2023</a:t>
          </a:r>
        </a:p>
      </xdr:txBody>
    </xdr:sp>
    <xdr:clientData/>
  </xdr:twoCellAnchor>
  <xdr:twoCellAnchor>
    <xdr:from>
      <xdr:col>10</xdr:col>
      <xdr:colOff>266700</xdr:colOff>
      <xdr:row>30</xdr:row>
      <xdr:rowOff>53975</xdr:rowOff>
    </xdr:from>
    <xdr:to>
      <xdr:col>10</xdr:col>
      <xdr:colOff>377825</xdr:colOff>
      <xdr:row>32</xdr:row>
      <xdr:rowOff>142875</xdr:rowOff>
    </xdr:to>
    <xdr:sp macro="" textlink="">
      <xdr:nvSpPr>
        <xdr:cNvPr id="30" name="WordArt 4">
          <a:extLst>
            <a:ext uri="{FF2B5EF4-FFF2-40B4-BE49-F238E27FC236}">
              <a16:creationId xmlns:a16="http://schemas.microsoft.com/office/drawing/2014/main" id="{00000000-0008-0000-0000-00001E000000}"/>
            </a:ext>
          </a:extLst>
        </xdr:cNvPr>
        <xdr:cNvSpPr>
          <a:spLocks noChangeArrowheads="1" noChangeShapeType="1" noTextEdit="1"/>
        </xdr:cNvSpPr>
      </xdr:nvSpPr>
      <xdr:spPr bwMode="auto">
        <a:xfrm>
          <a:off x="6076950" y="4244975"/>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0</xdr:col>
      <xdr:colOff>152400</xdr:colOff>
      <xdr:row>52</xdr:row>
      <xdr:rowOff>476250</xdr:rowOff>
    </xdr:from>
    <xdr:to>
      <xdr:col>11</xdr:col>
      <xdr:colOff>639763</xdr:colOff>
      <xdr:row>52</xdr:row>
      <xdr:rowOff>800220</xdr:rowOff>
    </xdr:to>
    <xdr:sp macro="" textlink="">
      <xdr:nvSpPr>
        <xdr:cNvPr id="31" name="Rectangle 28">
          <a:extLst>
            <a:ext uri="{FF2B5EF4-FFF2-40B4-BE49-F238E27FC236}">
              <a16:creationId xmlns:a16="http://schemas.microsoft.com/office/drawing/2014/main" id="{00000000-0008-0000-0000-00001F000000}"/>
            </a:ext>
          </a:extLst>
        </xdr:cNvPr>
        <xdr:cNvSpPr>
          <a:spLocks noChangeArrowheads="1"/>
        </xdr:cNvSpPr>
      </xdr:nvSpPr>
      <xdr:spPr bwMode="auto">
        <a:xfrm>
          <a:off x="152400" y="10382250"/>
          <a:ext cx="7192963" cy="323970"/>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800" b="1">
              <a:solidFill>
                <a:schemeClr val="bg1"/>
              </a:solidFill>
              <a:latin typeface="Arial" charset="0"/>
            </a:rPr>
            <a:t>Gabinete de Estratégia e Planeamento (GEP)</a:t>
          </a:r>
        </a:p>
        <a:p>
          <a:r>
            <a:rPr lang="pt-PT" altLang="pt-PT" sz="700">
              <a:solidFill>
                <a:schemeClr val="bg1"/>
              </a:solidFill>
              <a:latin typeface="Arial" charset="0"/>
            </a:rPr>
            <a:t>MINISTÉRIO DO TRABALHO, SOLIDARIEDADE E SEGURANÇA SOCIAL (MTSSS)</a:t>
          </a:r>
        </a:p>
      </xdr:txBody>
    </xdr:sp>
    <xdr:clientData/>
  </xdr:twoCellAnchor>
  <xdr:twoCellAnchor>
    <xdr:from>
      <xdr:col>4</xdr:col>
      <xdr:colOff>165100</xdr:colOff>
      <xdr:row>8</xdr:row>
      <xdr:rowOff>177800</xdr:rowOff>
    </xdr:from>
    <xdr:to>
      <xdr:col>9</xdr:col>
      <xdr:colOff>257175</xdr:colOff>
      <xdr:row>11</xdr:row>
      <xdr:rowOff>11764</xdr:rowOff>
    </xdr:to>
    <xdr:sp macro="" textlink="">
      <xdr:nvSpPr>
        <xdr:cNvPr id="32" name="Text Box 24">
          <a:extLst>
            <a:ext uri="{FF2B5EF4-FFF2-40B4-BE49-F238E27FC236}">
              <a16:creationId xmlns:a16="http://schemas.microsoft.com/office/drawing/2014/main" id="{00000000-0008-0000-0000-000020000000}"/>
            </a:ext>
          </a:extLst>
        </xdr:cNvPr>
        <xdr:cNvSpPr txBox="1">
          <a:spLocks noChangeArrowheads="1"/>
        </xdr:cNvSpPr>
      </xdr:nvSpPr>
      <xdr:spPr bwMode="auto">
        <a:xfrm>
          <a:off x="2489200" y="1701800"/>
          <a:ext cx="2997200" cy="40546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2000" b="1">
              <a:solidFill>
                <a:srgbClr val="FFFFFF"/>
              </a:solidFill>
              <a:latin typeface="Arial Narrow" pitchFamily="34" charset="0"/>
            </a:rPr>
            <a:t>QUADROS</a:t>
          </a:r>
          <a:r>
            <a:rPr lang="pt-PT" altLang="pt-PT" sz="2000" b="1" baseline="0">
              <a:solidFill>
                <a:srgbClr val="FFFFFF"/>
              </a:solidFill>
              <a:latin typeface="Arial Narrow" pitchFamily="34" charset="0"/>
            </a:rPr>
            <a:t> DE PESSOAL</a:t>
          </a:r>
          <a:endParaRPr lang="pt-PT" altLang="pt-PT" sz="2000" b="1">
            <a:solidFill>
              <a:srgbClr val="FFFFFF"/>
            </a:solidFill>
            <a:latin typeface="Arial Narrow" pitchFamily="34" charset="0"/>
          </a:endParaRPr>
        </a:p>
      </xdr:txBody>
    </xdr:sp>
    <xdr:clientData/>
  </xdr:twoCellAnchor>
  <xdr:twoCellAnchor>
    <xdr:from>
      <xdr:col>6</xdr:col>
      <xdr:colOff>508000</xdr:colOff>
      <xdr:row>0</xdr:row>
      <xdr:rowOff>136551</xdr:rowOff>
    </xdr:from>
    <xdr:to>
      <xdr:col>10</xdr:col>
      <xdr:colOff>307975</xdr:colOff>
      <xdr:row>0</xdr:row>
      <xdr:rowOff>136551</xdr:rowOff>
    </xdr:to>
    <xdr:sp macro="" textlink="">
      <xdr:nvSpPr>
        <xdr:cNvPr id="33" name="Line 18">
          <a:extLst>
            <a:ext uri="{FF2B5EF4-FFF2-40B4-BE49-F238E27FC236}">
              <a16:creationId xmlns:a16="http://schemas.microsoft.com/office/drawing/2014/main" id="{00000000-0008-0000-0000-000021000000}"/>
            </a:ext>
          </a:extLst>
        </xdr:cNvPr>
        <xdr:cNvSpPr>
          <a:spLocks noChangeShapeType="1"/>
        </xdr:cNvSpPr>
      </xdr:nvSpPr>
      <xdr:spPr bwMode="auto">
        <a:xfrm>
          <a:off x="3994150" y="136551"/>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203200</xdr:colOff>
      <xdr:row>0</xdr:row>
      <xdr:rowOff>26</xdr:rowOff>
    </xdr:from>
    <xdr:to>
      <xdr:col>9</xdr:col>
      <xdr:colOff>219075</xdr:colOff>
      <xdr:row>12</xdr:row>
      <xdr:rowOff>157189</xdr:rowOff>
    </xdr:to>
    <xdr:sp macro="" textlink="">
      <xdr:nvSpPr>
        <xdr:cNvPr id="34" name="Line 20">
          <a:extLst>
            <a:ext uri="{FF2B5EF4-FFF2-40B4-BE49-F238E27FC236}">
              <a16:creationId xmlns:a16="http://schemas.microsoft.com/office/drawing/2014/main" id="{00000000-0008-0000-0000-000022000000}"/>
            </a:ext>
          </a:extLst>
        </xdr:cNvPr>
        <xdr:cNvSpPr>
          <a:spLocks noChangeShapeType="1"/>
        </xdr:cNvSpPr>
      </xdr:nvSpPr>
      <xdr:spPr bwMode="auto">
        <a:xfrm rot="5421033" flipH="1">
          <a:off x="4218781" y="1213670"/>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418182</xdr:colOff>
      <xdr:row>2</xdr:row>
      <xdr:rowOff>28608</xdr:rowOff>
    </xdr:from>
    <xdr:to>
      <xdr:col>9</xdr:col>
      <xdr:colOff>438053</xdr:colOff>
      <xdr:row>13</xdr:row>
      <xdr:rowOff>47617</xdr:rowOff>
    </xdr:to>
    <xdr:sp macro="" textlink="">
      <xdr:nvSpPr>
        <xdr:cNvPr id="35" name="Line 23">
          <a:extLst>
            <a:ext uri="{FF2B5EF4-FFF2-40B4-BE49-F238E27FC236}">
              <a16:creationId xmlns:a16="http://schemas.microsoft.com/office/drawing/2014/main" id="{00000000-0008-0000-0000-000023000000}"/>
            </a:ext>
          </a:extLst>
        </xdr:cNvPr>
        <xdr:cNvSpPr>
          <a:spLocks noChangeShapeType="1"/>
        </xdr:cNvSpPr>
      </xdr:nvSpPr>
      <xdr:spPr bwMode="auto">
        <a:xfrm rot="5397016">
          <a:off x="4600088" y="1456927"/>
          <a:ext cx="2114509" cy="19871"/>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10</xdr:col>
      <xdr:colOff>85725</xdr:colOff>
      <xdr:row>36</xdr:row>
      <xdr:rowOff>9525</xdr:rowOff>
    </xdr:from>
    <xdr:to>
      <xdr:col>10</xdr:col>
      <xdr:colOff>196850</xdr:colOff>
      <xdr:row>38</xdr:row>
      <xdr:rowOff>98425</xdr:rowOff>
    </xdr:to>
    <xdr:sp macro="" textlink="">
      <xdr:nvSpPr>
        <xdr:cNvPr id="36" name="WordArt 4">
          <a:extLst>
            <a:ext uri="{FF2B5EF4-FFF2-40B4-BE49-F238E27FC236}">
              <a16:creationId xmlns:a16="http://schemas.microsoft.com/office/drawing/2014/main" id="{00000000-0008-0000-0000-000024000000}"/>
            </a:ext>
          </a:extLst>
        </xdr:cNvPr>
        <xdr:cNvSpPr>
          <a:spLocks noChangeArrowheads="1" noChangeShapeType="1" noTextEdit="1"/>
        </xdr:cNvSpPr>
      </xdr:nvSpPr>
      <xdr:spPr bwMode="auto">
        <a:xfrm>
          <a:off x="5895975" y="5343525"/>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10</xdr:col>
      <xdr:colOff>285750</xdr:colOff>
      <xdr:row>36</xdr:row>
      <xdr:rowOff>9525</xdr:rowOff>
    </xdr:from>
    <xdr:to>
      <xdr:col>10</xdr:col>
      <xdr:colOff>396875</xdr:colOff>
      <xdr:row>38</xdr:row>
      <xdr:rowOff>98425</xdr:rowOff>
    </xdr:to>
    <xdr:sp macro="" textlink="">
      <xdr:nvSpPr>
        <xdr:cNvPr id="37" name="WordArt 4">
          <a:extLst>
            <a:ext uri="{FF2B5EF4-FFF2-40B4-BE49-F238E27FC236}">
              <a16:creationId xmlns:a16="http://schemas.microsoft.com/office/drawing/2014/main" id="{00000000-0008-0000-0000-000025000000}"/>
            </a:ext>
          </a:extLst>
        </xdr:cNvPr>
        <xdr:cNvSpPr>
          <a:spLocks noChangeArrowheads="1" noChangeShapeType="1" noTextEdit="1"/>
        </xdr:cNvSpPr>
      </xdr:nvSpPr>
      <xdr:spPr bwMode="auto">
        <a:xfrm>
          <a:off x="6096000" y="5343525"/>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9</xdr:col>
      <xdr:colOff>495300</xdr:colOff>
      <xdr:row>41</xdr:row>
      <xdr:rowOff>133350</xdr:rowOff>
    </xdr:from>
    <xdr:to>
      <xdr:col>10</xdr:col>
      <xdr:colOff>25400</xdr:colOff>
      <xdr:row>44</xdr:row>
      <xdr:rowOff>31750</xdr:rowOff>
    </xdr:to>
    <xdr:sp macro="" textlink="">
      <xdr:nvSpPr>
        <xdr:cNvPr id="38" name="WordArt 4">
          <a:extLst>
            <a:ext uri="{FF2B5EF4-FFF2-40B4-BE49-F238E27FC236}">
              <a16:creationId xmlns:a16="http://schemas.microsoft.com/office/drawing/2014/main" id="{00000000-0008-0000-0000-000026000000}"/>
            </a:ext>
          </a:extLst>
        </xdr:cNvPr>
        <xdr:cNvSpPr>
          <a:spLocks noChangeArrowheads="1" noChangeShapeType="1" noTextEdit="1"/>
        </xdr:cNvSpPr>
      </xdr:nvSpPr>
      <xdr:spPr bwMode="auto">
        <a:xfrm>
          <a:off x="5724525" y="6419850"/>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0.08648</cdr:x>
      <cdr:y>0.01534</cdr:y>
    </cdr:from>
    <cdr:to>
      <cdr:x>0.19105</cdr:x>
      <cdr:y>0.1325</cdr:y>
    </cdr:to>
    <cdr:sp macro="" textlink="q1_q2_q5_q6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508722" y="-57031"/>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7FB34D1-3862-4D9C-B9CC-D21B7A6E728F}"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0.52082</cdr:x>
      <cdr:y>0.0087</cdr:y>
    </cdr:from>
    <cdr:to>
      <cdr:x>0.62539</cdr:x>
      <cdr:y>0.12586</cdr:y>
    </cdr:to>
    <cdr:sp macro="" textlink="q1_q2_q5_q6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77282" y="-74277"/>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283FF92-6EE7-49B8-8960-61FB6312F779}"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0.70592</cdr:x>
      <cdr:y>0.02061</cdr:y>
    </cdr:from>
    <cdr:to>
      <cdr:x>0.89226</cdr:x>
      <cdr:y>0.13617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829867" y="-208723"/>
          <a:ext cx="383567" cy="937812"/>
        </a:xfrm>
        <a:prstGeom xmlns:a="http://schemas.openxmlformats.org/drawingml/2006/main" prst="homePlate">
          <a:avLst>
            <a:gd name="adj" fmla="val 50000"/>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100.xml><?xml version="1.0" encoding="utf-8"?>
<xdr:wsDr xmlns:xdr="http://schemas.openxmlformats.org/drawingml/2006/spreadsheetDrawing" xmlns:a="http://schemas.openxmlformats.org/drawingml/2006/main">
  <xdr:twoCellAnchor editAs="absolute">
    <xdr:from>
      <xdr:col>10</xdr:col>
      <xdr:colOff>314325</xdr:colOff>
      <xdr:row>0</xdr:row>
      <xdr:rowOff>209549</xdr:rowOff>
    </xdr:from>
    <xdr:to>
      <xdr:col>12</xdr:col>
      <xdr:colOff>295173</xdr:colOff>
      <xdr:row>1</xdr:row>
      <xdr:rowOff>152361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762625" y="209549"/>
          <a:ext cx="819048" cy="304762"/>
        </a:xfrm>
        <a:prstGeom prst="rect">
          <a:avLst/>
        </a:prstGeom>
        <a:noFill/>
        <a:ln w="1">
          <a:noFill/>
          <a:miter lim="800000"/>
          <a:headEnd/>
          <a:tailEnd type="none" w="med" len="med"/>
        </a:ln>
        <a:effectLst/>
      </xdr:spPr>
    </xdr:pic>
    <xdr:clientData fPrintsWithSheet="0"/>
  </xdr:twoCellAnchor>
</xdr:wsDr>
</file>

<file path=xl/drawings/drawing101.xml><?xml version="1.0" encoding="utf-8"?>
<xdr:wsDr xmlns:xdr="http://schemas.openxmlformats.org/drawingml/2006/spreadsheetDrawing" xmlns:a="http://schemas.openxmlformats.org/drawingml/2006/main">
  <xdr:twoCellAnchor editAs="absolute">
    <xdr:from>
      <xdr:col>10</xdr:col>
      <xdr:colOff>419100</xdr:colOff>
      <xdr:row>0</xdr:row>
      <xdr:rowOff>228599</xdr:rowOff>
    </xdr:from>
    <xdr:to>
      <xdr:col>12</xdr:col>
      <xdr:colOff>380898</xdr:colOff>
      <xdr:row>1</xdr:row>
      <xdr:rowOff>171411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991100" y="228599"/>
          <a:ext cx="819048" cy="304762"/>
        </a:xfrm>
        <a:prstGeom prst="rect">
          <a:avLst/>
        </a:prstGeom>
        <a:noFill/>
        <a:ln w="1">
          <a:noFill/>
          <a:miter lim="800000"/>
          <a:headEnd/>
          <a:tailEnd type="none" w="med" len="med"/>
        </a:ln>
        <a:effectLst/>
      </xdr:spPr>
    </xdr:pic>
    <xdr:clientData fPrintsWithSheet="0"/>
  </xdr:twoCellAnchor>
</xdr:wsDr>
</file>

<file path=xl/drawings/drawing102.xml><?xml version="1.0" encoding="utf-8"?>
<xdr:wsDr xmlns:xdr="http://schemas.openxmlformats.org/drawingml/2006/spreadsheetDrawing" xmlns:a="http://schemas.openxmlformats.org/drawingml/2006/main">
  <xdr:twoCellAnchor editAs="absolute">
    <xdr:from>
      <xdr:col>9</xdr:col>
      <xdr:colOff>400050</xdr:colOff>
      <xdr:row>0</xdr:row>
      <xdr:rowOff>238124</xdr:rowOff>
    </xdr:from>
    <xdr:to>
      <xdr:col>11</xdr:col>
      <xdr:colOff>361848</xdr:colOff>
      <xdr:row>1</xdr:row>
      <xdr:rowOff>180936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972050" y="238124"/>
          <a:ext cx="819048" cy="304762"/>
        </a:xfrm>
        <a:prstGeom prst="rect">
          <a:avLst/>
        </a:prstGeom>
        <a:noFill/>
        <a:ln w="1">
          <a:noFill/>
          <a:miter lim="800000"/>
          <a:headEnd/>
          <a:tailEnd type="none" w="med" len="med"/>
        </a:ln>
        <a:effectLst/>
      </xdr:spPr>
    </xdr:pic>
    <xdr:clientData fPrintsWithSheet="0"/>
  </xdr:twoCellAnchor>
</xdr:wsDr>
</file>

<file path=xl/drawings/drawing103.xml><?xml version="1.0" encoding="utf-8"?>
<xdr:wsDr xmlns:xdr="http://schemas.openxmlformats.org/drawingml/2006/spreadsheetDrawing" xmlns:a="http://schemas.openxmlformats.org/drawingml/2006/main">
  <xdr:twoCellAnchor editAs="absolute">
    <xdr:from>
      <xdr:col>9</xdr:col>
      <xdr:colOff>304800</xdr:colOff>
      <xdr:row>0</xdr:row>
      <xdr:rowOff>276224</xdr:rowOff>
    </xdr:from>
    <xdr:to>
      <xdr:col>11</xdr:col>
      <xdr:colOff>266598</xdr:colOff>
      <xdr:row>2</xdr:row>
      <xdr:rowOff>28536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556250" y="276224"/>
          <a:ext cx="863498" cy="304762"/>
        </a:xfrm>
        <a:prstGeom prst="rect">
          <a:avLst/>
        </a:prstGeom>
        <a:noFill/>
        <a:ln w="1">
          <a:noFill/>
          <a:miter lim="800000"/>
          <a:headEnd/>
          <a:tailEnd type="none" w="med" len="med"/>
        </a:ln>
        <a:effectLst/>
      </xdr:spPr>
    </xdr:pic>
    <xdr:clientData fPrintsWithSheet="0"/>
  </xdr:twoCellAnchor>
</xdr:wsDr>
</file>

<file path=xl/drawings/drawing104.xml><?xml version="1.0" encoding="utf-8"?>
<xdr:wsDr xmlns:xdr="http://schemas.openxmlformats.org/drawingml/2006/spreadsheetDrawing" xmlns:a="http://schemas.openxmlformats.org/drawingml/2006/main">
  <xdr:twoCellAnchor editAs="absolute">
    <xdr:from>
      <xdr:col>11</xdr:col>
      <xdr:colOff>0</xdr:colOff>
      <xdr:row>0</xdr:row>
      <xdr:rowOff>257174</xdr:rowOff>
    </xdr:from>
    <xdr:to>
      <xdr:col>12</xdr:col>
      <xdr:colOff>390423</xdr:colOff>
      <xdr:row>1</xdr:row>
      <xdr:rowOff>180975</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57174"/>
          <a:ext cx="819048" cy="285751"/>
        </a:xfrm>
        <a:prstGeom prst="rect">
          <a:avLst/>
        </a:prstGeom>
        <a:noFill/>
        <a:ln w="1">
          <a:noFill/>
          <a:miter lim="800000"/>
          <a:headEnd/>
          <a:tailEnd type="none" w="med" len="med"/>
        </a:ln>
        <a:effectLst/>
      </xdr:spPr>
    </xdr:pic>
    <xdr:clientData fPrintsWithSheet="0"/>
  </xdr:twoCellAnchor>
</xdr:wsDr>
</file>

<file path=xl/drawings/drawing105.xml><?xml version="1.0" encoding="utf-8"?>
<xdr:wsDr xmlns:xdr="http://schemas.openxmlformats.org/drawingml/2006/spreadsheetDrawing" xmlns:a="http://schemas.openxmlformats.org/drawingml/2006/main">
  <xdr:twoCellAnchor editAs="absolute">
    <xdr:from>
      <xdr:col>10</xdr:col>
      <xdr:colOff>266700</xdr:colOff>
      <xdr:row>0</xdr:row>
      <xdr:rowOff>200024</xdr:rowOff>
    </xdr:from>
    <xdr:to>
      <xdr:col>12</xdr:col>
      <xdr:colOff>228498</xdr:colOff>
      <xdr:row>1</xdr:row>
      <xdr:rowOff>142836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476875" y="200024"/>
          <a:ext cx="819048" cy="304762"/>
        </a:xfrm>
        <a:prstGeom prst="rect">
          <a:avLst/>
        </a:prstGeom>
        <a:noFill/>
        <a:ln w="1">
          <a:noFill/>
          <a:miter lim="800000"/>
          <a:headEnd/>
          <a:tailEnd type="none" w="med" len="med"/>
        </a:ln>
        <a:effectLst/>
      </xdr:spPr>
    </xdr:pic>
    <xdr:clientData fPrintsWithSheet="0"/>
  </xdr:twoCellAnchor>
</xdr:wsDr>
</file>

<file path=xl/drawings/drawing106.xml><?xml version="1.0" encoding="utf-8"?>
<xdr:wsDr xmlns:xdr="http://schemas.openxmlformats.org/drawingml/2006/spreadsheetDrawing" xmlns:a="http://schemas.openxmlformats.org/drawingml/2006/main">
  <xdr:twoCellAnchor editAs="absolute">
    <xdr:from>
      <xdr:col>11</xdr:col>
      <xdr:colOff>120650</xdr:colOff>
      <xdr:row>0</xdr:row>
      <xdr:rowOff>165099</xdr:rowOff>
    </xdr:from>
    <xdr:to>
      <xdr:col>13</xdr:col>
      <xdr:colOff>107848</xdr:colOff>
      <xdr:row>2</xdr:row>
      <xdr:rowOff>19011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435850" y="165099"/>
          <a:ext cx="863498" cy="304762"/>
        </a:xfrm>
        <a:prstGeom prst="rect">
          <a:avLst/>
        </a:prstGeom>
        <a:noFill/>
        <a:ln w="1">
          <a:noFill/>
          <a:miter lim="800000"/>
          <a:headEnd/>
          <a:tailEnd type="none" w="med" len="med"/>
        </a:ln>
        <a:effectLst/>
      </xdr:spPr>
    </xdr:pic>
    <xdr:clientData fPrintsWithSheet="0"/>
  </xdr:twoCellAnchor>
</xdr:wsDr>
</file>

<file path=xl/drawings/drawing107.xml><?xml version="1.0" encoding="utf-8"?>
<xdr:wsDr xmlns:xdr="http://schemas.openxmlformats.org/drawingml/2006/spreadsheetDrawing" xmlns:a="http://schemas.openxmlformats.org/drawingml/2006/main">
  <xdr:twoCellAnchor editAs="absolute">
    <xdr:from>
      <xdr:col>12</xdr:col>
      <xdr:colOff>47625</xdr:colOff>
      <xdr:row>1</xdr:row>
      <xdr:rowOff>19049</xdr:rowOff>
    </xdr:from>
    <xdr:to>
      <xdr:col>13</xdr:col>
      <xdr:colOff>418998</xdr:colOff>
      <xdr:row>2</xdr:row>
      <xdr:rowOff>142836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D00-000002000000}"/>
            </a:ext>
          </a:extLst>
        </xdr:cNvPr>
        <xdr:cNvPicPr preferRelativeResize="0">
          <a:picLocks noChangeArrowheads="1"/>
        </xdr:cNvPicPr>
      </xdr:nvPicPr>
      <xdr:blipFill>
        <a:blip xmlns:r="http://schemas.openxmlformats.org/officeDocument/2006/relationships" r:embed="rId2" cstate="print"/>
        <a:stretch>
          <a:fillRect/>
        </a:stretch>
      </xdr:blipFill>
      <xdr:spPr bwMode="auto">
        <a:xfrm>
          <a:off x="5829300" y="380999"/>
          <a:ext cx="819048" cy="304762"/>
        </a:xfrm>
        <a:prstGeom prst="rect">
          <a:avLst/>
        </a:prstGeom>
        <a:noFill/>
        <a:ln w="1">
          <a:noFill/>
          <a:miter lim="800000"/>
          <a:headEnd/>
          <a:tailEnd type="none" w="med" len="med"/>
        </a:ln>
        <a:effectLst/>
      </xdr:spPr>
    </xdr:pic>
    <xdr:clientData fPrintsWithSheet="0"/>
  </xdr:twoCellAnchor>
</xdr:wsDr>
</file>

<file path=xl/drawings/drawing108.xml><?xml version="1.0" encoding="utf-8"?>
<xdr:wsDr xmlns:xdr="http://schemas.openxmlformats.org/drawingml/2006/spreadsheetDrawing" xmlns:a="http://schemas.openxmlformats.org/drawingml/2006/main">
  <xdr:twoCellAnchor editAs="absolute">
    <xdr:from>
      <xdr:col>10</xdr:col>
      <xdr:colOff>0</xdr:colOff>
      <xdr:row>0</xdr:row>
      <xdr:rowOff>209549</xdr:rowOff>
    </xdr:from>
    <xdr:to>
      <xdr:col>11</xdr:col>
      <xdr:colOff>390423</xdr:colOff>
      <xdr:row>1</xdr:row>
      <xdr:rowOff>152361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E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29300" y="209549"/>
          <a:ext cx="819048" cy="304762"/>
        </a:xfrm>
        <a:prstGeom prst="rect">
          <a:avLst/>
        </a:prstGeom>
        <a:noFill/>
        <a:ln w="1">
          <a:noFill/>
          <a:miter lim="800000"/>
          <a:headEnd/>
          <a:tailEnd type="none" w="med" len="med"/>
        </a:ln>
        <a:effectLst/>
      </xdr:spPr>
    </xdr:pic>
    <xdr:clientData fPrintsWithSheet="0"/>
  </xdr:twoCellAnchor>
</xdr:wsDr>
</file>

<file path=xl/drawings/drawing109.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4F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4F00-000003000000}"/>
            </a:ext>
          </a:extLst>
        </xdr:cNvPr>
        <xdr:cNvSpPr>
          <a:spLocks noChangeArrowheads="1"/>
        </xdr:cNvSpPr>
      </xdr:nvSpPr>
      <xdr:spPr bwMode="auto">
        <a:xfrm>
          <a:off x="5365750" y="1393825"/>
          <a:ext cx="219075" cy="1065213"/>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4F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57151</xdr:rowOff>
    </xdr:from>
    <xdr:to>
      <xdr:col>10</xdr:col>
      <xdr:colOff>533400</xdr:colOff>
      <xdr:row>7</xdr:row>
      <xdr:rowOff>58739</xdr:rowOff>
    </xdr:to>
    <xdr:sp macro="" textlink="">
      <xdr:nvSpPr>
        <xdr:cNvPr id="5" name="Line 7">
          <a:extLst>
            <a:ext uri="{FF2B5EF4-FFF2-40B4-BE49-F238E27FC236}">
              <a16:creationId xmlns:a16="http://schemas.microsoft.com/office/drawing/2014/main" id="{00000000-0008-0000-4F00-000005000000}"/>
            </a:ext>
          </a:extLst>
        </xdr:cNvPr>
        <xdr:cNvSpPr>
          <a:spLocks noChangeShapeType="1"/>
        </xdr:cNvSpPr>
      </xdr:nvSpPr>
      <xdr:spPr bwMode="auto">
        <a:xfrm flipV="1">
          <a:off x="4973637" y="1390651"/>
          <a:ext cx="1370013"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4F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4F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38</xdr:row>
      <xdr:rowOff>73025</xdr:rowOff>
    </xdr:from>
    <xdr:to>
      <xdr:col>10</xdr:col>
      <xdr:colOff>536575</xdr:colOff>
      <xdr:row>42</xdr:row>
      <xdr:rowOff>46038</xdr:rowOff>
    </xdr:to>
    <xdr:sp macro="" textlink="">
      <xdr:nvSpPr>
        <xdr:cNvPr id="8" name="Rectangle 2">
          <a:extLst>
            <a:ext uri="{FF2B5EF4-FFF2-40B4-BE49-F238E27FC236}">
              <a16:creationId xmlns:a16="http://schemas.microsoft.com/office/drawing/2014/main" id="{00000000-0008-0000-4F00-000008000000}"/>
            </a:ext>
          </a:extLst>
        </xdr:cNvPr>
        <xdr:cNvSpPr>
          <a:spLocks noChangeArrowheads="1"/>
        </xdr:cNvSpPr>
      </xdr:nvSpPr>
      <xdr:spPr bwMode="auto">
        <a:xfrm>
          <a:off x="0" y="61690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39</xdr:row>
      <xdr:rowOff>57150</xdr:rowOff>
    </xdr:from>
    <xdr:to>
      <xdr:col>5</xdr:col>
      <xdr:colOff>547687</xdr:colOff>
      <xdr:row>41</xdr:row>
      <xdr:rowOff>68263</xdr:rowOff>
    </xdr:to>
    <xdr:sp macro="" textlink="">
      <xdr:nvSpPr>
        <xdr:cNvPr id="9" name="Rectangle 3">
          <a:extLst>
            <a:ext uri="{FF2B5EF4-FFF2-40B4-BE49-F238E27FC236}">
              <a16:creationId xmlns:a16="http://schemas.microsoft.com/office/drawing/2014/main" id="{00000000-0008-0000-4F00-000009000000}"/>
            </a:ext>
          </a:extLst>
        </xdr:cNvPr>
        <xdr:cNvSpPr>
          <a:spLocks noChangeArrowheads="1"/>
        </xdr:cNvSpPr>
      </xdr:nvSpPr>
      <xdr:spPr bwMode="auto">
        <a:xfrm>
          <a:off x="147637" y="6343650"/>
          <a:ext cx="3305175" cy="392113"/>
        </a:xfrm>
        <a:prstGeom prst="rect">
          <a:avLst/>
        </a:prstGeom>
        <a:solidFill>
          <a:srgbClr val="E1EAEF"/>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196849</xdr:colOff>
      <xdr:row>39</xdr:row>
      <xdr:rowOff>80963</xdr:rowOff>
    </xdr:from>
    <xdr:to>
      <xdr:col>5</xdr:col>
      <xdr:colOff>152399</xdr:colOff>
      <xdr:row>41</xdr:row>
      <xdr:rowOff>17646</xdr:rowOff>
    </xdr:to>
    <xdr:sp macro="" textlink="">
      <xdr:nvSpPr>
        <xdr:cNvPr id="10" name="Text Box 10">
          <a:extLst>
            <a:ext uri="{FF2B5EF4-FFF2-40B4-BE49-F238E27FC236}">
              <a16:creationId xmlns:a16="http://schemas.microsoft.com/office/drawing/2014/main" id="{00000000-0008-0000-4F00-00000A000000}"/>
            </a:ext>
          </a:extLst>
        </xdr:cNvPr>
        <xdr:cNvSpPr txBox="1">
          <a:spLocks noChangeArrowheads="1"/>
        </xdr:cNvSpPr>
      </xdr:nvSpPr>
      <xdr:spPr bwMode="auto">
        <a:xfrm>
          <a:off x="196849" y="6367463"/>
          <a:ext cx="2860675"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  Conceitos e Nomenclaturas</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11_q13_q15_q17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2CDC873-C7D5-4AA6-A695-E44A0D80BFC0}"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11_q13_q15_q17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0FE9F98-09CD-4ADD-B8D3-2E780357645C}"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0.69647</cdr:x>
      <cdr:y>0.01779</cdr:y>
    </cdr:from>
    <cdr:to>
      <cdr:x>0.89688</cdr:x>
      <cdr:y>0.1661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478637" y="-167683"/>
          <a:ext cx="484400" cy="9360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110.xml><?xml version="1.0" encoding="utf-8"?>
<xdr:wsDr xmlns:xdr="http://schemas.openxmlformats.org/drawingml/2006/spreadsheetDrawing" xmlns:a="http://schemas.openxmlformats.org/drawingml/2006/main">
  <xdr:twoCellAnchor editAs="absolute">
    <xdr:from>
      <xdr:col>8</xdr:col>
      <xdr:colOff>473075</xdr:colOff>
      <xdr:row>0</xdr:row>
      <xdr:rowOff>38100</xdr:rowOff>
    </xdr:from>
    <xdr:to>
      <xdr:col>9</xdr:col>
      <xdr:colOff>565150</xdr:colOff>
      <xdr:row>1</xdr:row>
      <xdr:rowOff>133350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50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568950" y="38100"/>
          <a:ext cx="796925" cy="266700"/>
        </a:xfrm>
        <a:prstGeom prst="rect">
          <a:avLst/>
        </a:prstGeom>
        <a:noFill/>
        <a:ln w="1">
          <a:noFill/>
          <a:miter lim="800000"/>
          <a:headEnd/>
          <a:tailEnd type="none" w="med" len="med"/>
        </a:ln>
        <a:effectLst/>
      </xdr:spPr>
    </xdr:pic>
    <xdr:clientData fPrintsWithSheet="0"/>
  </xdr:twoCellAnchor>
</xdr:wsDr>
</file>

<file path=xl/drawings/drawing111.xml><?xml version="1.0" encoding="utf-8"?>
<xdr:wsDr xmlns:xdr="http://schemas.openxmlformats.org/drawingml/2006/spreadsheetDrawing" xmlns:a="http://schemas.openxmlformats.org/drawingml/2006/main">
  <xdr:twoCellAnchor editAs="absolute">
    <xdr:from>
      <xdr:col>9</xdr:col>
      <xdr:colOff>276225</xdr:colOff>
      <xdr:row>0</xdr:row>
      <xdr:rowOff>123825</xdr:rowOff>
    </xdr:from>
    <xdr:to>
      <xdr:col>10</xdr:col>
      <xdr:colOff>0</xdr:colOff>
      <xdr:row>2</xdr:row>
      <xdr:rowOff>60325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62625" y="123825"/>
          <a:ext cx="847725" cy="269875"/>
        </a:xfrm>
        <a:prstGeom prst="rect">
          <a:avLst/>
        </a:prstGeom>
        <a:noFill/>
        <a:ln w="1">
          <a:noFill/>
          <a:miter lim="800000"/>
          <a:headEnd/>
          <a:tailEnd type="none" w="med" len="med"/>
        </a:ln>
        <a:effectLst/>
      </xdr:spPr>
    </xdr:pic>
    <xdr:clientData fPrintsWithSheet="0"/>
  </xdr:twoCellAnchor>
</xdr:wsDr>
</file>

<file path=xl/drawings/drawing112.xml><?xml version="1.0" encoding="utf-8"?>
<xdr:wsDr xmlns:xdr="http://schemas.openxmlformats.org/drawingml/2006/spreadsheetDrawing" xmlns:a="http://schemas.openxmlformats.org/drawingml/2006/main">
  <xdr:twoCellAnchor editAs="absolute">
    <xdr:from>
      <xdr:col>8</xdr:col>
      <xdr:colOff>276225</xdr:colOff>
      <xdr:row>0</xdr:row>
      <xdr:rowOff>107950</xdr:rowOff>
    </xdr:from>
    <xdr:to>
      <xdr:col>9</xdr:col>
      <xdr:colOff>495300</xdr:colOff>
      <xdr:row>2</xdr:row>
      <xdr:rowOff>44450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52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972050" y="107950"/>
          <a:ext cx="828675" cy="269875"/>
        </a:xfrm>
        <a:prstGeom prst="rect">
          <a:avLst/>
        </a:prstGeom>
        <a:noFill/>
        <a:ln w="1">
          <a:noFill/>
          <a:miter lim="800000"/>
          <a:headEnd/>
          <a:tailEnd type="none" w="med" len="med"/>
        </a:ln>
        <a:effectLst/>
      </xdr:spPr>
    </xdr:pic>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0</xdr:col>
      <xdr:colOff>47624</xdr:colOff>
      <xdr:row>2</xdr:row>
      <xdr:rowOff>152125</xdr:rowOff>
    </xdr:from>
    <xdr:to>
      <xdr:col>22</xdr:col>
      <xdr:colOff>606777</xdr:colOff>
      <xdr:row>4</xdr:row>
      <xdr:rowOff>77125</xdr:rowOff>
    </xdr:to>
    <xdr:grpSp>
      <xdr:nvGrpSpPr>
        <xdr:cNvPr id="2" name="Agrupar 1">
          <a:extLst>
            <a:ext uri="{FF2B5EF4-FFF2-40B4-BE49-F238E27FC236}">
              <a16:creationId xmlns:a16="http://schemas.microsoft.com/office/drawing/2014/main" id="{00000000-0008-0000-0800-000002000000}"/>
            </a:ext>
          </a:extLst>
        </xdr:cNvPr>
        <xdr:cNvGrpSpPr/>
      </xdr:nvGrpSpPr>
      <xdr:grpSpPr>
        <a:xfrm>
          <a:off x="47624" y="533125"/>
          <a:ext cx="12989278" cy="306000"/>
          <a:chOff x="230187" y="595689"/>
          <a:chExt cx="5846763" cy="515561"/>
        </a:xfrm>
      </xdr:grpSpPr>
      <xdr:sp macro="" textlink="">
        <xdr:nvSpPr>
          <xdr:cNvPr id="3" name="Rectangle 3">
            <a:extLst>
              <a:ext uri="{FF2B5EF4-FFF2-40B4-BE49-F238E27FC236}">
                <a16:creationId xmlns:a16="http://schemas.microsoft.com/office/drawing/2014/main" id="{00000000-0008-0000-0800-00000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 name="Text Box 10">
            <a:extLst>
              <a:ext uri="{FF2B5EF4-FFF2-40B4-BE49-F238E27FC236}">
                <a16:creationId xmlns:a16="http://schemas.microsoft.com/office/drawing/2014/main" id="{00000000-0008-0000-0800-000004000000}"/>
              </a:ext>
            </a:extLst>
          </xdr:cNvPr>
          <xdr:cNvSpPr txBox="1">
            <a:spLocks noChangeArrowheads="1"/>
          </xdr:cNvSpPr>
        </xdr:nvSpPr>
        <xdr:spPr bwMode="auto">
          <a:xfrm>
            <a:off x="307901" y="595689"/>
            <a:ext cx="908701" cy="42624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 médias mensais</a:t>
            </a:r>
            <a:endParaRPr lang="en-US" altLang="pt-PT" sz="1200" b="1">
              <a:solidFill>
                <a:srgbClr val="00467A"/>
              </a:solidFill>
              <a:latin typeface="Arial" charset="0"/>
            </a:endParaRPr>
          </a:p>
        </xdr:txBody>
      </xdr:sp>
    </xdr:grpSp>
    <xdr:clientData/>
  </xdr:twoCellAnchor>
  <xdr:twoCellAnchor editAs="oneCell">
    <xdr:from>
      <xdr:col>0</xdr:col>
      <xdr:colOff>66675</xdr:colOff>
      <xdr:row>0</xdr:row>
      <xdr:rowOff>0</xdr:rowOff>
    </xdr:from>
    <xdr:to>
      <xdr:col>1</xdr:col>
      <xdr:colOff>383503</xdr:colOff>
      <xdr:row>2</xdr:row>
      <xdr:rowOff>52161</xdr:rowOff>
    </xdr:to>
    <xdr:pic>
      <xdr:nvPicPr>
        <xdr:cNvPr id="5" name="Imagem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66675" y="0"/>
          <a:ext cx="907378" cy="417286"/>
        </a:xfrm>
        <a:prstGeom prst="rect">
          <a:avLst/>
        </a:prstGeom>
      </xdr:spPr>
    </xdr:pic>
    <xdr:clientData/>
  </xdr:twoCellAnchor>
  <xdr:twoCellAnchor>
    <xdr:from>
      <xdr:col>1</xdr:col>
      <xdr:colOff>469834</xdr:colOff>
      <xdr:row>0</xdr:row>
      <xdr:rowOff>41276</xdr:rowOff>
    </xdr:from>
    <xdr:to>
      <xdr:col>22</xdr:col>
      <xdr:colOff>596836</xdr:colOff>
      <xdr:row>2</xdr:row>
      <xdr:rowOff>165100</xdr:rowOff>
    </xdr:to>
    <xdr:sp macro="" textlink="">
      <xdr:nvSpPr>
        <xdr:cNvPr id="6" name="Rectangle 17">
          <a:extLst>
            <a:ext uri="{FF2B5EF4-FFF2-40B4-BE49-F238E27FC236}">
              <a16:creationId xmlns:a16="http://schemas.microsoft.com/office/drawing/2014/main" id="{00000000-0008-0000-0800-000006000000}"/>
            </a:ext>
          </a:extLst>
        </xdr:cNvPr>
        <xdr:cNvSpPr>
          <a:spLocks noChangeArrowheads="1"/>
        </xdr:cNvSpPr>
      </xdr:nvSpPr>
      <xdr:spPr bwMode="auto">
        <a:xfrm>
          <a:off x="1060384" y="41276"/>
          <a:ext cx="12617452" cy="49212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2013 - 2023: Quadros de Pessoal</a:t>
          </a:r>
        </a:p>
        <a:p>
          <a:pPr defTabSz="988538">
            <a:defRPr/>
          </a:pPr>
          <a:r>
            <a:rPr lang="pt-PT" sz="1600" b="1" i="1">
              <a:solidFill>
                <a:srgbClr val="FFE600"/>
              </a:solidFill>
              <a:effectLst>
                <a:outerShdw blurRad="38100" dist="38100" dir="2700000" algn="tl">
                  <a:srgbClr val="000000"/>
                </a:outerShdw>
              </a:effectLst>
              <a:latin typeface="Arial" charset="0"/>
            </a:rPr>
            <a:t>Estrutura Empresarial - Remunerações</a:t>
          </a:r>
        </a:p>
      </xdr:txBody>
    </xdr:sp>
    <xdr:clientData/>
  </xdr:twoCellAnchor>
  <xdr:twoCellAnchor>
    <xdr:from>
      <xdr:col>4</xdr:col>
      <xdr:colOff>46094</xdr:colOff>
      <xdr:row>27</xdr:row>
      <xdr:rowOff>130484</xdr:rowOff>
    </xdr:from>
    <xdr:to>
      <xdr:col>5</xdr:col>
      <xdr:colOff>64908</xdr:colOff>
      <xdr:row>28</xdr:row>
      <xdr:rowOff>132156</xdr:rowOff>
    </xdr:to>
    <xdr:grpSp>
      <xdr:nvGrpSpPr>
        <xdr:cNvPr id="8" name="Agrupar 7">
          <a:extLst>
            <a:ext uri="{FF2B5EF4-FFF2-40B4-BE49-F238E27FC236}">
              <a16:creationId xmlns:a16="http://schemas.microsoft.com/office/drawing/2014/main" id="{00000000-0008-0000-0800-000008000000}"/>
            </a:ext>
          </a:extLst>
        </xdr:cNvPr>
        <xdr:cNvGrpSpPr/>
      </xdr:nvGrpSpPr>
      <xdr:grpSpPr>
        <a:xfrm>
          <a:off x="2293994" y="5273984"/>
          <a:ext cx="580789" cy="192172"/>
          <a:chOff x="2408294" y="5054526"/>
          <a:chExt cx="609364" cy="179986"/>
        </a:xfrm>
      </xdr:grpSpPr>
      <xdr:sp macro="" textlink="">
        <xdr:nvSpPr>
          <xdr:cNvPr id="9" name="CaixaDeTexto 8">
            <a:extLst>
              <a:ext uri="{FF2B5EF4-FFF2-40B4-BE49-F238E27FC236}">
                <a16:creationId xmlns:a16="http://schemas.microsoft.com/office/drawing/2014/main" id="{00000000-0008-0000-0800-000009000000}"/>
              </a:ext>
            </a:extLst>
          </xdr:cNvPr>
          <xdr:cNvSpPr txBox="1"/>
        </xdr:nvSpPr>
        <xdr:spPr>
          <a:xfrm>
            <a:off x="2408294" y="5054526"/>
            <a:ext cx="609364" cy="1799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endParaRPr lang="pt-PT" sz="800" b="1"/>
          </a:p>
        </xdr:txBody>
      </xdr:sp>
    </xdr:grpSp>
    <xdr:clientData/>
  </xdr:twoCellAnchor>
  <xdr:twoCellAnchor>
    <xdr:from>
      <xdr:col>6</xdr:col>
      <xdr:colOff>345109</xdr:colOff>
      <xdr:row>27</xdr:row>
      <xdr:rowOff>64141</xdr:rowOff>
    </xdr:from>
    <xdr:to>
      <xdr:col>7</xdr:col>
      <xdr:colOff>249169</xdr:colOff>
      <xdr:row>28</xdr:row>
      <xdr:rowOff>57727</xdr:rowOff>
    </xdr:to>
    <xdr:sp macro="" textlink="">
      <xdr:nvSpPr>
        <xdr:cNvPr id="10" name="CaixaDeTexto 9">
          <a:extLst>
            <a:ext uri="{FF2B5EF4-FFF2-40B4-BE49-F238E27FC236}">
              <a16:creationId xmlns:a16="http://schemas.microsoft.com/office/drawing/2014/main" id="{00000000-0008-0000-0800-00000A000000}"/>
            </a:ext>
          </a:extLst>
        </xdr:cNvPr>
        <xdr:cNvSpPr txBox="1"/>
      </xdr:nvSpPr>
      <xdr:spPr>
        <a:xfrm>
          <a:off x="3888409" y="5061591"/>
          <a:ext cx="494610" cy="177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endParaRPr lang="pt-PT" sz="800" b="1"/>
        </a:p>
      </xdr:txBody>
    </xdr:sp>
    <xdr:clientData/>
  </xdr:twoCellAnchor>
  <xdr:twoCellAnchor>
    <xdr:from>
      <xdr:col>0</xdr:col>
      <xdr:colOff>27573</xdr:colOff>
      <xdr:row>20</xdr:row>
      <xdr:rowOff>2819</xdr:rowOff>
    </xdr:from>
    <xdr:to>
      <xdr:col>23</xdr:col>
      <xdr:colOff>0</xdr:colOff>
      <xdr:row>21</xdr:row>
      <xdr:rowOff>125801</xdr:rowOff>
    </xdr:to>
    <xdr:grpSp>
      <xdr:nvGrpSpPr>
        <xdr:cNvPr id="15" name="Agrupar 14">
          <a:extLst>
            <a:ext uri="{FF2B5EF4-FFF2-40B4-BE49-F238E27FC236}">
              <a16:creationId xmlns:a16="http://schemas.microsoft.com/office/drawing/2014/main" id="{00000000-0008-0000-0800-00000F000000}"/>
            </a:ext>
          </a:extLst>
        </xdr:cNvPr>
        <xdr:cNvGrpSpPr/>
      </xdr:nvGrpSpPr>
      <xdr:grpSpPr>
        <a:xfrm>
          <a:off x="27573" y="3812819"/>
          <a:ext cx="13012152" cy="313482"/>
          <a:chOff x="230187" y="612160"/>
          <a:chExt cx="5846763" cy="499090"/>
        </a:xfrm>
      </xdr:grpSpPr>
      <xdr:sp macro="" textlink="">
        <xdr:nvSpPr>
          <xdr:cNvPr id="19" name="Rectangle 3">
            <a:extLst>
              <a:ext uri="{FF2B5EF4-FFF2-40B4-BE49-F238E27FC236}">
                <a16:creationId xmlns:a16="http://schemas.microsoft.com/office/drawing/2014/main" id="{00000000-0008-0000-0800-00001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0" name="Text Box 10">
            <a:extLst>
              <a:ext uri="{FF2B5EF4-FFF2-40B4-BE49-F238E27FC236}">
                <a16:creationId xmlns:a16="http://schemas.microsoft.com/office/drawing/2014/main" id="{00000000-0008-0000-0800-000014000000}"/>
              </a:ext>
            </a:extLst>
          </xdr:cNvPr>
          <xdr:cNvSpPr txBox="1">
            <a:spLocks noChangeArrowheads="1"/>
          </xdr:cNvSpPr>
        </xdr:nvSpPr>
        <xdr:spPr bwMode="auto">
          <a:xfrm>
            <a:off x="273050" y="612160"/>
            <a:ext cx="1284349" cy="402777"/>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...Por secção de atividade do estabelecimento</a:t>
            </a:r>
          </a:p>
        </xdr:txBody>
      </xdr:sp>
    </xdr:grpSp>
    <xdr:clientData/>
  </xdr:twoCellAnchor>
  <xdr:twoCellAnchor editAs="absolute">
    <xdr:from>
      <xdr:col>0</xdr:col>
      <xdr:colOff>171738</xdr:colOff>
      <xdr:row>21</xdr:row>
      <xdr:rowOff>140377</xdr:rowOff>
    </xdr:from>
    <xdr:to>
      <xdr:col>3</xdr:col>
      <xdr:colOff>562840</xdr:colOff>
      <xdr:row>26</xdr:row>
      <xdr:rowOff>52532</xdr:rowOff>
    </xdr:to>
    <mc:AlternateContent xmlns:mc="http://schemas.openxmlformats.org/markup-compatibility/2006">
      <mc:Choice xmlns:a14="http://schemas.microsoft.com/office/drawing/2010/main" Requires="a14">
        <xdr:graphicFrame macro="">
          <xdr:nvGraphicFramePr>
            <xdr:cNvPr id="46" name="Tipo Remuneração 4">
              <a:extLst>
                <a:ext uri="{FF2B5EF4-FFF2-40B4-BE49-F238E27FC236}">
                  <a16:creationId xmlns:a16="http://schemas.microsoft.com/office/drawing/2014/main" id="{00000000-0008-0000-0800-00002E000000}"/>
                </a:ext>
              </a:extLst>
            </xdr:cNvPr>
            <xdr:cNvGraphicFramePr/>
          </xdr:nvGraphicFramePr>
          <xdr:xfrm>
            <a:off x="0" y="0"/>
            <a:ext cx="0" cy="0"/>
          </xdr:xfrm>
          <a:graphic>
            <a:graphicData uri="http://schemas.microsoft.com/office/drawing/2010/slicer">
              <sle:slicer xmlns:sle="http://schemas.microsoft.com/office/drawing/2010/slicer" name="Tipo Remuneração 4"/>
            </a:graphicData>
          </a:graphic>
        </xdr:graphicFrame>
      </mc:Choice>
      <mc:Fallback>
        <xdr:sp macro="" textlink="">
          <xdr:nvSpPr>
            <xdr:cNvPr id="0" name=""/>
            <xdr:cNvSpPr>
              <a:spLocks noTextEdit="1"/>
            </xdr:cNvSpPr>
          </xdr:nvSpPr>
          <xdr:spPr>
            <a:xfrm>
              <a:off x="171738" y="4140877"/>
              <a:ext cx="2077027" cy="86465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fLocksWithSheet="0"/>
  </xdr:twoCellAnchor>
  <xdr:twoCellAnchor editAs="absolute">
    <xdr:from>
      <xdr:col>0</xdr:col>
      <xdr:colOff>147206</xdr:colOff>
      <xdr:row>25</xdr:row>
      <xdr:rowOff>181841</xdr:rowOff>
    </xdr:from>
    <xdr:to>
      <xdr:col>5</xdr:col>
      <xdr:colOff>502709</xdr:colOff>
      <xdr:row>34</xdr:row>
      <xdr:rowOff>42334</xdr:rowOff>
    </xdr:to>
    <mc:AlternateContent xmlns:mc="http://schemas.openxmlformats.org/markup-compatibility/2006">
      <mc:Choice xmlns:a14="http://schemas.microsoft.com/office/drawing/2010/main" Requires="a14">
        <xdr:graphicFrame macro="">
          <xdr:nvGraphicFramePr>
            <xdr:cNvPr id="47" name="Selecionar CAE 2">
              <a:extLst>
                <a:ext uri="{FF2B5EF4-FFF2-40B4-BE49-F238E27FC236}">
                  <a16:creationId xmlns:a16="http://schemas.microsoft.com/office/drawing/2014/main" id="{00000000-0008-0000-0800-00002F000000}"/>
                </a:ext>
              </a:extLst>
            </xdr:cNvPr>
            <xdr:cNvGraphicFramePr/>
          </xdr:nvGraphicFramePr>
          <xdr:xfrm>
            <a:off x="0" y="0"/>
            <a:ext cx="0" cy="0"/>
          </xdr:xfrm>
          <a:graphic>
            <a:graphicData uri="http://schemas.microsoft.com/office/drawing/2010/slicer">
              <sle:slicer xmlns:sle="http://schemas.microsoft.com/office/drawing/2010/slicer" name="Selecionar CAE 2"/>
            </a:graphicData>
          </a:graphic>
        </xdr:graphicFrame>
      </mc:Choice>
      <mc:Fallback>
        <xdr:sp macro="" textlink="">
          <xdr:nvSpPr>
            <xdr:cNvPr id="0" name=""/>
            <xdr:cNvSpPr>
              <a:spLocks noTextEdit="1"/>
            </xdr:cNvSpPr>
          </xdr:nvSpPr>
          <xdr:spPr>
            <a:xfrm>
              <a:off x="147206" y="4944341"/>
              <a:ext cx="3165378" cy="1574993"/>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fLocksWithSheet="0"/>
  </xdr:twoCellAnchor>
  <xdr:twoCellAnchor>
    <xdr:from>
      <xdr:col>6</xdr:col>
      <xdr:colOff>146049</xdr:colOff>
      <xdr:row>21</xdr:row>
      <xdr:rowOff>133350</xdr:rowOff>
    </xdr:from>
    <xdr:to>
      <xdr:col>22</xdr:col>
      <xdr:colOff>466725</xdr:colOff>
      <xdr:row>36</xdr:row>
      <xdr:rowOff>47625</xdr:rowOff>
    </xdr:to>
    <xdr:graphicFrame macro="">
      <xdr:nvGraphicFramePr>
        <xdr:cNvPr id="48" name="Gráfico 47">
          <a:extLst>
            <a:ext uri="{FF2B5EF4-FFF2-40B4-BE49-F238E27FC236}">
              <a16:creationId xmlns:a16="http://schemas.microsoft.com/office/drawing/2014/main"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7</xdr:row>
      <xdr:rowOff>177800</xdr:rowOff>
    </xdr:from>
    <xdr:to>
      <xdr:col>7</xdr:col>
      <xdr:colOff>247650</xdr:colOff>
      <xdr:row>19</xdr:row>
      <xdr:rowOff>177894</xdr:rowOff>
    </xdr:to>
    <xdr:grpSp>
      <xdr:nvGrpSpPr>
        <xdr:cNvPr id="67" name="Agrupar 66">
          <a:extLst>
            <a:ext uri="{FF2B5EF4-FFF2-40B4-BE49-F238E27FC236}">
              <a16:creationId xmlns:a16="http://schemas.microsoft.com/office/drawing/2014/main" id="{00000000-0008-0000-0800-000043000000}"/>
            </a:ext>
          </a:extLst>
        </xdr:cNvPr>
        <xdr:cNvGrpSpPr/>
      </xdr:nvGrpSpPr>
      <xdr:grpSpPr>
        <a:xfrm>
          <a:off x="12700" y="1511300"/>
          <a:ext cx="4168775" cy="2286094"/>
          <a:chOff x="36182300" y="8426450"/>
          <a:chExt cx="4819650" cy="2597244"/>
        </a:xfrm>
      </xdr:grpSpPr>
      <xdr:graphicFrame macro="">
        <xdr:nvGraphicFramePr>
          <xdr:cNvPr id="68" name="Gráfico 67">
            <a:extLst>
              <a:ext uri="{FF2B5EF4-FFF2-40B4-BE49-F238E27FC236}">
                <a16:creationId xmlns:a16="http://schemas.microsoft.com/office/drawing/2014/main" id="{00000000-0008-0000-0800-00004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69" name="CaixaDeTexto 68">
            <a:extLst>
              <a:ext uri="{FF2B5EF4-FFF2-40B4-BE49-F238E27FC236}">
                <a16:creationId xmlns:a16="http://schemas.microsoft.com/office/drawing/2014/main" id="{00000000-0008-0000-0800-000045000000}"/>
              </a:ext>
            </a:extLst>
          </xdr:cNvPr>
          <xdr:cNvSpPr txBox="1"/>
        </xdr:nvSpPr>
        <xdr:spPr>
          <a:xfrm>
            <a:off x="39577074" y="911225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Base</a:t>
            </a:r>
          </a:p>
        </xdr:txBody>
      </xdr:sp>
      <xdr:sp macro="" textlink="">
        <xdr:nvSpPr>
          <xdr:cNvPr id="70" name="CaixaDeTexto 69">
            <a:extLst>
              <a:ext uri="{FF2B5EF4-FFF2-40B4-BE49-F238E27FC236}">
                <a16:creationId xmlns:a16="http://schemas.microsoft.com/office/drawing/2014/main" id="{00000000-0008-0000-0800-000046000000}"/>
              </a:ext>
            </a:extLst>
          </xdr:cNvPr>
          <xdr:cNvSpPr txBox="1"/>
        </xdr:nvSpPr>
        <xdr:spPr>
          <a:xfrm>
            <a:off x="39567950" y="995680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Ganho</a:t>
            </a:r>
          </a:p>
        </xdr:txBody>
      </xdr:sp>
      <xdr:sp macro="" textlink="q22_q23_q33_q34_Fig!$BH$5">
        <xdr:nvSpPr>
          <xdr:cNvPr id="71" name="CaixaDeTexto 70">
            <a:extLst>
              <a:ext uri="{FF2B5EF4-FFF2-40B4-BE49-F238E27FC236}">
                <a16:creationId xmlns:a16="http://schemas.microsoft.com/office/drawing/2014/main" id="{00000000-0008-0000-0800-000047000000}"/>
              </a:ext>
            </a:extLst>
          </xdr:cNvPr>
          <xdr:cNvSpPr txBox="1"/>
        </xdr:nvSpPr>
        <xdr:spPr>
          <a:xfrm>
            <a:off x="39561342" y="10299700"/>
            <a:ext cx="1013632" cy="3168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6E12D4-8965-44E4-A4D0-F1B6393578C1}" type="TxLink">
              <a:rPr lang="en-US" sz="1000" b="1" i="0" u="none" strike="noStrike">
                <a:solidFill>
                  <a:schemeClr val="bg1"/>
                </a:solidFill>
                <a:latin typeface="Arial"/>
                <a:ea typeface="+mn-ea"/>
                <a:cs typeface="Arial"/>
              </a:rPr>
              <a:pPr marL="0" indent="0" algn="ctr"/>
              <a:t>34,1%</a:t>
            </a:fld>
            <a:endParaRPr lang="pt-PT" sz="1000" b="1" i="0" u="none" strike="noStrike">
              <a:solidFill>
                <a:schemeClr val="bg1"/>
              </a:solidFill>
              <a:latin typeface="+mn-lt"/>
              <a:ea typeface="+mn-ea"/>
              <a:cs typeface="Arial"/>
            </a:endParaRPr>
          </a:p>
        </xdr:txBody>
      </xdr:sp>
      <xdr:sp macro="" textlink="q22_q23_q33_q34_Fig!$BH$4">
        <xdr:nvSpPr>
          <xdr:cNvPr id="72" name="CaixaDeTexto 71">
            <a:extLst>
              <a:ext uri="{FF2B5EF4-FFF2-40B4-BE49-F238E27FC236}">
                <a16:creationId xmlns:a16="http://schemas.microsoft.com/office/drawing/2014/main" id="{00000000-0008-0000-0800-000048000000}"/>
              </a:ext>
            </a:extLst>
          </xdr:cNvPr>
          <xdr:cNvSpPr txBox="1"/>
        </xdr:nvSpPr>
        <xdr:spPr>
          <a:xfrm>
            <a:off x="39574300" y="9455149"/>
            <a:ext cx="1013632" cy="3168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5434AC-5A8C-43C8-A5D7-B506D11131D2}" type="TxLink">
              <a:rPr lang="en-US" sz="1000" b="1" i="0" u="none" strike="noStrike">
                <a:solidFill>
                  <a:schemeClr val="bg1"/>
                </a:solidFill>
                <a:latin typeface="Arial"/>
                <a:cs typeface="Arial"/>
              </a:rPr>
              <a:pPr algn="ctr"/>
              <a:t>33,7%</a:t>
            </a:fld>
            <a:endParaRPr lang="pt-PT" sz="1000" b="1">
              <a:solidFill>
                <a:schemeClr val="bg1"/>
              </a:solidFill>
              <a:latin typeface="+mn-lt"/>
            </a:endParaRPr>
          </a:p>
        </xdr:txBody>
      </xdr:sp>
    </xdr:grpSp>
    <xdr:clientData/>
  </xdr:twoCellAnchor>
  <xdr:twoCellAnchor>
    <xdr:from>
      <xdr:col>10</xdr:col>
      <xdr:colOff>228600</xdr:colOff>
      <xdr:row>4</xdr:row>
      <xdr:rowOff>85725</xdr:rowOff>
    </xdr:from>
    <xdr:to>
      <xdr:col>22</xdr:col>
      <xdr:colOff>523874</xdr:colOff>
      <xdr:row>20</xdr:row>
      <xdr:rowOff>9525</xdr:rowOff>
    </xdr:to>
    <xdr:graphicFrame macro="">
      <xdr:nvGraphicFramePr>
        <xdr:cNvPr id="31" name="Gráfico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571503</xdr:colOff>
      <xdr:row>41</xdr:row>
      <xdr:rowOff>133350</xdr:rowOff>
    </xdr:from>
    <xdr:to>
      <xdr:col>22</xdr:col>
      <xdr:colOff>299400</xdr:colOff>
      <xdr:row>52</xdr:row>
      <xdr:rowOff>114300</xdr:rowOff>
    </xdr:to>
    <xdr:grpSp>
      <xdr:nvGrpSpPr>
        <xdr:cNvPr id="40" name="Agrupar 39">
          <a:extLst>
            <a:ext uri="{FF2B5EF4-FFF2-40B4-BE49-F238E27FC236}">
              <a16:creationId xmlns:a16="http://schemas.microsoft.com/office/drawing/2014/main" id="{00000000-0008-0000-0800-000028000000}"/>
            </a:ext>
          </a:extLst>
        </xdr:cNvPr>
        <xdr:cNvGrpSpPr/>
      </xdr:nvGrpSpPr>
      <xdr:grpSpPr>
        <a:xfrm>
          <a:off x="8382003" y="7943850"/>
          <a:ext cx="4376097" cy="2076450"/>
          <a:chOff x="45205649" y="5095875"/>
          <a:chExt cx="3000375" cy="3905250"/>
        </a:xfrm>
      </xdr:grpSpPr>
      <xdr:graphicFrame macro="">
        <xdr:nvGraphicFramePr>
          <xdr:cNvPr id="41" name="Gráfico 40">
            <a:extLst>
              <a:ext uri="{FF2B5EF4-FFF2-40B4-BE49-F238E27FC236}">
                <a16:creationId xmlns:a16="http://schemas.microsoft.com/office/drawing/2014/main" id="{00000000-0008-0000-0800-000029000000}"/>
              </a:ext>
            </a:extLst>
          </xdr:cNvPr>
          <xdr:cNvGraphicFramePr>
            <a:graphicFrameLocks/>
          </xdr:cNvGraphicFramePr>
        </xdr:nvGraphicFramePr>
        <xdr:xfrm>
          <a:off x="45205649" y="5095875"/>
          <a:ext cx="3000375" cy="3905250"/>
        </xdr:xfrm>
        <a:graphic>
          <a:graphicData uri="http://schemas.openxmlformats.org/drawingml/2006/chart">
            <c:chart xmlns:c="http://schemas.openxmlformats.org/drawingml/2006/chart" xmlns:r="http://schemas.openxmlformats.org/officeDocument/2006/relationships" r:id="rId5"/>
          </a:graphicData>
        </a:graphic>
      </xdr:graphicFrame>
      <xdr:sp macro="" textlink="q22_q23_q33_q34_Fig!$BM$26">
        <xdr:nvSpPr>
          <xdr:cNvPr id="42" name="CaixaDeTexto 41">
            <a:extLst>
              <a:ext uri="{FF2B5EF4-FFF2-40B4-BE49-F238E27FC236}">
                <a16:creationId xmlns:a16="http://schemas.microsoft.com/office/drawing/2014/main" id="{00000000-0008-0000-0800-00002A000000}"/>
              </a:ext>
            </a:extLst>
          </xdr:cNvPr>
          <xdr:cNvSpPr txBox="1"/>
        </xdr:nvSpPr>
        <xdr:spPr>
          <a:xfrm>
            <a:off x="46567157" y="5384313"/>
            <a:ext cx="468970" cy="227077"/>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3A07DF7-A319-4AD1-8FA7-89FB3A2E76C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1.294,03 €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3_q34_Fig!$BN$26">
        <xdr:nvSpPr>
          <xdr:cNvPr id="43" name="CaixaDeTexto 42">
            <a:extLst>
              <a:ext uri="{FF2B5EF4-FFF2-40B4-BE49-F238E27FC236}">
                <a16:creationId xmlns:a16="http://schemas.microsoft.com/office/drawing/2014/main" id="{00000000-0008-0000-0800-00002B000000}"/>
              </a:ext>
            </a:extLst>
          </xdr:cNvPr>
          <xdr:cNvSpPr txBox="1"/>
        </xdr:nvSpPr>
        <xdr:spPr>
          <a:xfrm>
            <a:off x="46567158" y="5667850"/>
            <a:ext cx="468970" cy="227077"/>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4CFA93-6BFE-4609-8D66-884C4CF692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3_q34_Fig!$BO$25">
        <xdr:nvSpPr>
          <xdr:cNvPr id="44" name="CaixaDeTexto 43">
            <a:extLst>
              <a:ext uri="{FF2B5EF4-FFF2-40B4-BE49-F238E27FC236}">
                <a16:creationId xmlns:a16="http://schemas.microsoft.com/office/drawing/2014/main" id="{00000000-0008-0000-0800-00002C000000}"/>
              </a:ext>
            </a:extLst>
          </xdr:cNvPr>
          <xdr:cNvSpPr txBox="1"/>
        </xdr:nvSpPr>
        <xdr:spPr>
          <a:xfrm>
            <a:off x="47476894" y="5384209"/>
            <a:ext cx="468970" cy="227077"/>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76025AA-CC5A-4A5C-B7FE-866B0947C87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1.129,64 €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3_q34_Fig!$BP$25">
        <xdr:nvSpPr>
          <xdr:cNvPr id="45" name="CaixaDeTexto 44">
            <a:extLst>
              <a:ext uri="{FF2B5EF4-FFF2-40B4-BE49-F238E27FC236}">
                <a16:creationId xmlns:a16="http://schemas.microsoft.com/office/drawing/2014/main" id="{00000000-0008-0000-0800-00002D000000}"/>
              </a:ext>
            </a:extLst>
          </xdr:cNvPr>
          <xdr:cNvSpPr txBox="1"/>
        </xdr:nvSpPr>
        <xdr:spPr>
          <a:xfrm>
            <a:off x="47476895" y="5697785"/>
            <a:ext cx="468970" cy="227077"/>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D5C8ABA-A640-4197-8539-34E9824DD12E}"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1.332,02 €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clientData/>
  </xdr:twoCellAnchor>
  <xdr:twoCellAnchor>
    <xdr:from>
      <xdr:col>15</xdr:col>
      <xdr:colOff>38618</xdr:colOff>
      <xdr:row>37</xdr:row>
      <xdr:rowOff>155737</xdr:rowOff>
    </xdr:from>
    <xdr:to>
      <xdr:col>22</xdr:col>
      <xdr:colOff>505343</xdr:colOff>
      <xdr:row>41</xdr:row>
      <xdr:rowOff>30937</xdr:rowOff>
    </xdr:to>
    <xdr:sp macro="" textlink="q22_q23_q33_q34_Fig!$BZ$37">
      <xdr:nvSpPr>
        <xdr:cNvPr id="49" name="CaixaDeTexto 48">
          <a:extLst>
            <a:ext uri="{FF2B5EF4-FFF2-40B4-BE49-F238E27FC236}">
              <a16:creationId xmlns:a16="http://schemas.microsoft.com/office/drawing/2014/main" id="{00000000-0008-0000-0800-000031000000}"/>
            </a:ext>
          </a:extLst>
        </xdr:cNvPr>
        <xdr:cNvSpPr txBox="1"/>
      </xdr:nvSpPr>
      <xdr:spPr>
        <a:xfrm>
          <a:off x="8865118" y="6971404"/>
          <a:ext cx="4714169" cy="608977"/>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AA5EC0D-310F-45B7-8569-D357C6298D02}"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Remunerações - 2023:
Base Mulheres = 87,3% da dos Homens (H), entre 85,3% da dos H (Médios) e 92,2% da dos H (Micro).
Ganho Mulheres = 84,4% da dos H, entre 81,8% da dos H (Médios) e 91,6% da dos H (Micro).</a:t>
          </a:fld>
          <a:endParaRPr kumimoji="0" lang="pt-PT" sz="8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35447</xdr:colOff>
      <xdr:row>35</xdr:row>
      <xdr:rowOff>60291</xdr:rowOff>
    </xdr:from>
    <xdr:to>
      <xdr:col>22</xdr:col>
      <xdr:colOff>553509</xdr:colOff>
      <xdr:row>36</xdr:row>
      <xdr:rowOff>161211</xdr:rowOff>
    </xdr:to>
    <xdr:grpSp>
      <xdr:nvGrpSpPr>
        <xdr:cNvPr id="11" name="Agrupar 10">
          <a:extLst>
            <a:ext uri="{FF2B5EF4-FFF2-40B4-BE49-F238E27FC236}">
              <a16:creationId xmlns:a16="http://schemas.microsoft.com/office/drawing/2014/main" id="{00000000-0008-0000-0800-00000B000000}"/>
            </a:ext>
          </a:extLst>
        </xdr:cNvPr>
        <xdr:cNvGrpSpPr/>
      </xdr:nvGrpSpPr>
      <xdr:grpSpPr>
        <a:xfrm>
          <a:off x="35447" y="6727791"/>
          <a:ext cx="12976762" cy="291420"/>
          <a:chOff x="38100" y="6799533"/>
          <a:chExt cx="12985200" cy="306000"/>
        </a:xfrm>
      </xdr:grpSpPr>
      <xdr:grpSp>
        <xdr:nvGrpSpPr>
          <xdr:cNvPr id="24" name="Agrupar 23">
            <a:extLst>
              <a:ext uri="{FF2B5EF4-FFF2-40B4-BE49-F238E27FC236}">
                <a16:creationId xmlns:a16="http://schemas.microsoft.com/office/drawing/2014/main" id="{00000000-0008-0000-0800-000018000000}"/>
              </a:ext>
            </a:extLst>
          </xdr:cNvPr>
          <xdr:cNvGrpSpPr/>
        </xdr:nvGrpSpPr>
        <xdr:grpSpPr>
          <a:xfrm>
            <a:off x="38100" y="6799533"/>
            <a:ext cx="12985200" cy="306000"/>
            <a:chOff x="230187" y="612158"/>
            <a:chExt cx="5846763" cy="499092"/>
          </a:xfrm>
        </xdr:grpSpPr>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6" name="Text Box 10">
              <a:extLst>
                <a:ext uri="{FF2B5EF4-FFF2-40B4-BE49-F238E27FC236}">
                  <a16:creationId xmlns:a16="http://schemas.microsoft.com/office/drawing/2014/main" id="{00000000-0008-0000-0800-00001A000000}"/>
                </a:ext>
              </a:extLst>
            </xdr:cNvPr>
            <xdr:cNvSpPr txBox="1">
              <a:spLocks noChangeArrowheads="1"/>
            </xdr:cNvSpPr>
          </xdr:nvSpPr>
          <xdr:spPr bwMode="auto">
            <a:xfrm>
              <a:off x="264330" y="612158"/>
              <a:ext cx="982294" cy="41262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 Por Dimensão do</a:t>
              </a:r>
              <a:r>
                <a:rPr lang="en-US" altLang="pt-PT" sz="1000" b="1" baseline="0">
                  <a:solidFill>
                    <a:srgbClr val="00467A"/>
                  </a:solidFill>
                  <a:latin typeface="+mn-lt"/>
                </a:rPr>
                <a:t> estabelecimento</a:t>
              </a:r>
              <a:endParaRPr lang="en-US" altLang="pt-PT" sz="1000" b="1">
                <a:solidFill>
                  <a:srgbClr val="00467A"/>
                </a:solidFill>
                <a:latin typeface="+mn-lt"/>
              </a:endParaRPr>
            </a:p>
          </xdr:txBody>
        </xdr:sp>
      </xdr:grpSp>
      <xdr:grpSp>
        <xdr:nvGrpSpPr>
          <xdr:cNvPr id="7" name="Agrupar 6">
            <a:extLst>
              <a:ext uri="{FF2B5EF4-FFF2-40B4-BE49-F238E27FC236}">
                <a16:creationId xmlns:a16="http://schemas.microsoft.com/office/drawing/2014/main" id="{00000000-0008-0000-0800-000007000000}"/>
              </a:ext>
            </a:extLst>
          </xdr:cNvPr>
          <xdr:cNvGrpSpPr/>
        </xdr:nvGrpSpPr>
        <xdr:grpSpPr>
          <a:xfrm>
            <a:off x="9144000" y="6829425"/>
            <a:ext cx="1904997" cy="257172"/>
            <a:chOff x="8172450" y="10477500"/>
            <a:chExt cx="1904997" cy="257172"/>
          </a:xfrm>
        </xdr:grpSpPr>
        <xdr:sp macro="" textlink="">
          <xdr:nvSpPr>
            <xdr:cNvPr id="55" name="Text Box 10">
              <a:extLst>
                <a:ext uri="{FF2B5EF4-FFF2-40B4-BE49-F238E27FC236}">
                  <a16:creationId xmlns:a16="http://schemas.microsoft.com/office/drawing/2014/main" id="{00000000-0008-0000-0800-000037000000}"/>
                </a:ext>
              </a:extLst>
            </xdr:cNvPr>
            <xdr:cNvSpPr txBox="1">
              <a:spLocks noChangeArrowheads="1"/>
            </xdr:cNvSpPr>
          </xdr:nvSpPr>
          <xdr:spPr bwMode="auto">
            <a:xfrm>
              <a:off x="8172450" y="10477500"/>
              <a:ext cx="1065693" cy="251966"/>
            </a:xfrm>
            <a:prstGeom prst="rect">
              <a:avLst/>
            </a:prstGeom>
            <a:solidFill>
              <a:srgbClr val="FFE600"/>
            </a:solidFill>
            <a:ln w="9525">
              <a:solidFill>
                <a:srgbClr val="000000"/>
              </a:solidFill>
              <a:miter lim="800000"/>
              <a:headEnd/>
              <a:tailEnd/>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o ano:</a:t>
              </a:r>
              <a:endParaRPr lang="en-US" altLang="pt-PT" sz="1200" b="1">
                <a:solidFill>
                  <a:schemeClr val="tx2">
                    <a:lumMod val="75000"/>
                  </a:schemeClr>
                </a:solidFill>
                <a:latin typeface="Arial" charset="0"/>
              </a:endParaRPr>
            </a:p>
          </xdr:txBody>
        </xdr:sp>
        <mc:AlternateContent xmlns:mc="http://schemas.openxmlformats.org/markup-compatibility/2006">
          <mc:Choice xmlns:a14="http://schemas.microsoft.com/office/drawing/2010/main" Requires="a14">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9267822" y="10487024"/>
                  <a:ext cx="809625" cy="247648"/>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clientData/>
  </xdr:twoCellAnchor>
  <xdr:twoCellAnchor>
    <xdr:from>
      <xdr:col>20</xdr:col>
      <xdr:colOff>565084</xdr:colOff>
      <xdr:row>0</xdr:row>
      <xdr:rowOff>146051</xdr:rowOff>
    </xdr:from>
    <xdr:to>
      <xdr:col>22</xdr:col>
      <xdr:colOff>436550</xdr:colOff>
      <xdr:row>2</xdr:row>
      <xdr:rowOff>2478</xdr:rowOff>
    </xdr:to>
    <xdr:sp macro="" textlink="">
      <xdr:nvSpPr>
        <xdr:cNvPr id="50" name="Text Box 10">
          <a:hlinkClick xmlns:r="http://schemas.openxmlformats.org/officeDocument/2006/relationships" r:id="rId6"/>
          <a:extLst>
            <a:ext uri="{FF2B5EF4-FFF2-40B4-BE49-F238E27FC236}">
              <a16:creationId xmlns:a16="http://schemas.microsoft.com/office/drawing/2014/main" id="{00000000-0008-0000-0800-000032000000}"/>
            </a:ext>
          </a:extLst>
        </xdr:cNvPr>
        <xdr:cNvSpPr txBox="1">
          <a:spLocks noChangeArrowheads="1"/>
        </xdr:cNvSpPr>
      </xdr:nvSpPr>
      <xdr:spPr bwMode="auto">
        <a:xfrm>
          <a:off x="11861734" y="14605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1</xdr:col>
      <xdr:colOff>473685</xdr:colOff>
      <xdr:row>36</xdr:row>
      <xdr:rowOff>109846</xdr:rowOff>
    </xdr:from>
    <xdr:to>
      <xdr:col>5</xdr:col>
      <xdr:colOff>178409</xdr:colOff>
      <xdr:row>38</xdr:row>
      <xdr:rowOff>6353</xdr:rowOff>
    </xdr:to>
    <xdr:sp macro="" textlink="">
      <xdr:nvSpPr>
        <xdr:cNvPr id="12" name="CaixaDeTexto 11">
          <a:extLst>
            <a:ext uri="{FF2B5EF4-FFF2-40B4-BE49-F238E27FC236}">
              <a16:creationId xmlns:a16="http://schemas.microsoft.com/office/drawing/2014/main" id="{00000000-0008-0000-0800-00000C000000}"/>
            </a:ext>
          </a:extLst>
        </xdr:cNvPr>
        <xdr:cNvSpPr txBox="1"/>
      </xdr:nvSpPr>
      <xdr:spPr>
        <a:xfrm>
          <a:off x="1035660" y="6967846"/>
          <a:ext cx="1952624" cy="27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 média mensal base</a:t>
          </a:r>
        </a:p>
      </xdr:txBody>
    </xdr:sp>
    <xdr:clientData/>
  </xdr:twoCellAnchor>
  <xdr:twoCellAnchor>
    <xdr:from>
      <xdr:col>9</xdr:col>
      <xdr:colOff>96148</xdr:colOff>
      <xdr:row>36</xdr:row>
      <xdr:rowOff>126779</xdr:rowOff>
    </xdr:from>
    <xdr:to>
      <xdr:col>12</xdr:col>
      <xdr:colOff>458097</xdr:colOff>
      <xdr:row>38</xdr:row>
      <xdr:rowOff>23286</xdr:rowOff>
    </xdr:to>
    <xdr:sp macro="" textlink="">
      <xdr:nvSpPr>
        <xdr:cNvPr id="52" name="CaixaDeTexto 51">
          <a:extLst>
            <a:ext uri="{FF2B5EF4-FFF2-40B4-BE49-F238E27FC236}">
              <a16:creationId xmlns:a16="http://schemas.microsoft.com/office/drawing/2014/main" id="{00000000-0008-0000-0800-000034000000}"/>
            </a:ext>
          </a:extLst>
        </xdr:cNvPr>
        <xdr:cNvSpPr txBox="1"/>
      </xdr:nvSpPr>
      <xdr:spPr>
        <a:xfrm>
          <a:off x="5153923" y="6984779"/>
          <a:ext cx="1952624" cy="27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 média mensal ganho</a:t>
          </a:r>
        </a:p>
      </xdr:txBody>
    </xdr:sp>
    <xdr:clientData/>
  </xdr:twoCellAnchor>
  <xdr:twoCellAnchor>
    <xdr:from>
      <xdr:col>18</xdr:col>
      <xdr:colOff>6350</xdr:colOff>
      <xdr:row>36</xdr:row>
      <xdr:rowOff>151345</xdr:rowOff>
    </xdr:from>
    <xdr:to>
      <xdr:col>21</xdr:col>
      <xdr:colOff>244474</xdr:colOff>
      <xdr:row>37</xdr:row>
      <xdr:rowOff>170395</xdr:rowOff>
    </xdr:to>
    <xdr:sp macro="" textlink="">
      <xdr:nvSpPr>
        <xdr:cNvPr id="53" name="CaixaDeTexto 52">
          <a:extLst>
            <a:ext uri="{FF2B5EF4-FFF2-40B4-BE49-F238E27FC236}">
              <a16:creationId xmlns:a16="http://schemas.microsoft.com/office/drawing/2014/main" id="{00000000-0008-0000-0800-000035000000}"/>
            </a:ext>
          </a:extLst>
        </xdr:cNvPr>
        <xdr:cNvSpPr txBox="1"/>
      </xdr:nvSpPr>
      <xdr:spPr>
        <a:xfrm>
          <a:off x="10140950" y="7009345"/>
          <a:ext cx="198119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...por Dimensão e Sexo</a:t>
          </a:r>
        </a:p>
      </xdr:txBody>
    </xdr:sp>
    <xdr:clientData/>
  </xdr:twoCellAnchor>
  <xdr:twoCellAnchor editAs="absolute">
    <xdr:from>
      <xdr:col>7</xdr:col>
      <xdr:colOff>219075</xdr:colOff>
      <xdr:row>6</xdr:row>
      <xdr:rowOff>171450</xdr:rowOff>
    </xdr:from>
    <xdr:to>
      <xdr:col>10</xdr:col>
      <xdr:colOff>238125</xdr:colOff>
      <xdr:row>17</xdr:row>
      <xdr:rowOff>19049</xdr:rowOff>
    </xdr:to>
    <xdr:grpSp>
      <xdr:nvGrpSpPr>
        <xdr:cNvPr id="13" name="Agrupar 12">
          <a:extLst>
            <a:ext uri="{FF2B5EF4-FFF2-40B4-BE49-F238E27FC236}">
              <a16:creationId xmlns:a16="http://schemas.microsoft.com/office/drawing/2014/main" id="{00000000-0008-0000-0800-00000D000000}"/>
            </a:ext>
          </a:extLst>
        </xdr:cNvPr>
        <xdr:cNvGrpSpPr/>
      </xdr:nvGrpSpPr>
      <xdr:grpSpPr>
        <a:xfrm>
          <a:off x="4152900" y="1314450"/>
          <a:ext cx="1704975" cy="1943099"/>
          <a:chOff x="4191000" y="1362075"/>
          <a:chExt cx="1704975" cy="1943099"/>
        </a:xfrm>
      </xdr:grpSpPr>
      <mc:AlternateContent xmlns:mc="http://schemas.openxmlformats.org/markup-compatibility/2006">
        <mc:Choice xmlns:a14="http://schemas.microsoft.com/office/drawing/2010/main" Requires="a14">
          <xdr:graphicFrame macro="">
            <xdr:nvGraphicFramePr>
              <xdr:cNvPr id="32" name="Tipo de remuneração 1">
                <a:extLst>
                  <a:ext uri="{FF2B5EF4-FFF2-40B4-BE49-F238E27FC236}">
                    <a16:creationId xmlns:a16="http://schemas.microsoft.com/office/drawing/2014/main" id="{00000000-0008-0000-0800-000020000000}"/>
                  </a:ext>
                </a:extLst>
              </xdr:cNvPr>
              <xdr:cNvGraphicFramePr/>
            </xdr:nvGraphicFramePr>
            <xdr:xfrm>
              <a:off x="4191000" y="1362075"/>
              <a:ext cx="1704975" cy="838200"/>
            </xdr:xfrm>
            <a:graphic>
              <a:graphicData uri="http://schemas.microsoft.com/office/drawing/2010/slicer">
                <sle:slicer xmlns:sle="http://schemas.microsoft.com/office/drawing/2010/slicer" name="Tipo de remuneração 1"/>
              </a:graphicData>
            </a:graphic>
          </xdr:graphicFrame>
        </mc:Choice>
        <mc:Fallback>
          <xdr:sp macro="" textlink="">
            <xdr:nvSpPr>
              <xdr:cNvPr id="0" name=""/>
              <xdr:cNvSpPr>
                <a:spLocks noTextEdit="1"/>
              </xdr:cNvSpPr>
            </xdr:nvSpPr>
            <xdr:spPr>
              <a:xfrm>
                <a:off x="4152900" y="1314450"/>
                <a:ext cx="1704975" cy="8382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mc:AlternateContent xmlns:mc="http://schemas.openxmlformats.org/markup-compatibility/2006">
        <mc:Choice xmlns:a14="http://schemas.microsoft.com/office/drawing/2010/main" Requires="a14">
          <xdr:graphicFrame macro="">
            <xdr:nvGraphicFramePr>
              <xdr:cNvPr id="54" name="Sexo 2">
                <a:extLst>
                  <a:ext uri="{FF2B5EF4-FFF2-40B4-BE49-F238E27FC236}">
                    <a16:creationId xmlns:a16="http://schemas.microsoft.com/office/drawing/2014/main" id="{00000000-0008-0000-0800-000036000000}"/>
                  </a:ext>
                </a:extLst>
              </xdr:cNvPr>
              <xdr:cNvGraphicFramePr/>
            </xdr:nvGraphicFramePr>
            <xdr:xfrm>
              <a:off x="4191000" y="2171699"/>
              <a:ext cx="1685925" cy="1133475"/>
            </xdr:xfrm>
            <a:graphic>
              <a:graphicData uri="http://schemas.microsoft.com/office/drawing/2010/slicer">
                <sle:slicer xmlns:sle="http://schemas.microsoft.com/office/drawing/2010/slicer" name="Sexo 2"/>
              </a:graphicData>
            </a:graphic>
          </xdr:graphicFrame>
        </mc:Choice>
        <mc:Fallback>
          <xdr:sp macro="" textlink="">
            <xdr:nvSpPr>
              <xdr:cNvPr id="0" name=""/>
              <xdr:cNvSpPr>
                <a:spLocks noTextEdit="1"/>
              </xdr:cNvSpPr>
            </xdr:nvSpPr>
            <xdr:spPr>
              <a:xfrm>
                <a:off x="4152900" y="2124074"/>
                <a:ext cx="1685925" cy="113347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grpSp>
    <xdr:clientData fLocksWithSheet="0"/>
  </xdr:twoCellAnchor>
  <xdr:twoCellAnchor>
    <xdr:from>
      <xdr:col>0</xdr:col>
      <xdr:colOff>345722</xdr:colOff>
      <xdr:row>40</xdr:row>
      <xdr:rowOff>169333</xdr:rowOff>
    </xdr:from>
    <xdr:to>
      <xdr:col>13</xdr:col>
      <xdr:colOff>323715</xdr:colOff>
      <xdr:row>51</xdr:row>
      <xdr:rowOff>140459</xdr:rowOff>
    </xdr:to>
    <xdr:grpSp>
      <xdr:nvGrpSpPr>
        <xdr:cNvPr id="51" name="Agrupar 50">
          <a:extLst>
            <a:ext uri="{FF2B5EF4-FFF2-40B4-BE49-F238E27FC236}">
              <a16:creationId xmlns:a16="http://schemas.microsoft.com/office/drawing/2014/main" id="{00000000-0008-0000-0800-000033000000}"/>
            </a:ext>
          </a:extLst>
        </xdr:cNvPr>
        <xdr:cNvGrpSpPr/>
      </xdr:nvGrpSpPr>
      <xdr:grpSpPr>
        <a:xfrm>
          <a:off x="345722" y="7789333"/>
          <a:ext cx="7207468" cy="2066626"/>
          <a:chOff x="20056474" y="10299703"/>
          <a:chExt cx="8510403" cy="2749548"/>
        </a:xfrm>
      </xdr:grpSpPr>
      <xdr:graphicFrame macro="">
        <xdr:nvGraphicFramePr>
          <xdr:cNvPr id="58" name="Gráfico 57">
            <a:extLst>
              <a:ext uri="{FF2B5EF4-FFF2-40B4-BE49-F238E27FC236}">
                <a16:creationId xmlns:a16="http://schemas.microsoft.com/office/drawing/2014/main" id="{00000000-0008-0000-0800-00003A000000}"/>
              </a:ext>
            </a:extLst>
          </xdr:cNvPr>
          <xdr:cNvGraphicFramePr/>
        </xdr:nvGraphicFramePr>
        <xdr:xfrm>
          <a:off x="20056474" y="10299703"/>
          <a:ext cx="4571998" cy="27432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59" name="Gráfico 58">
            <a:extLst>
              <a:ext uri="{FF2B5EF4-FFF2-40B4-BE49-F238E27FC236}">
                <a16:creationId xmlns:a16="http://schemas.microsoft.com/office/drawing/2014/main" id="{00000000-0008-0000-0800-00003B000000}"/>
              </a:ext>
            </a:extLst>
          </xdr:cNvPr>
          <xdr:cNvGraphicFramePr>
            <a:graphicFrameLocks/>
          </xdr:cNvGraphicFramePr>
        </xdr:nvGraphicFramePr>
        <xdr:xfrm>
          <a:off x="24428449" y="10306051"/>
          <a:ext cx="4138428" cy="2743200"/>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0</xdr:col>
      <xdr:colOff>331611</xdr:colOff>
      <xdr:row>37</xdr:row>
      <xdr:rowOff>176389</xdr:rowOff>
    </xdr:from>
    <xdr:to>
      <xdr:col>6</xdr:col>
      <xdr:colOff>412051</xdr:colOff>
      <xdr:row>41</xdr:row>
      <xdr:rowOff>85405</xdr:rowOff>
    </xdr:to>
    <xdr:sp macro="" textlink="">
      <xdr:nvSpPr>
        <xdr:cNvPr id="60" name="CaixaDeTexto 59">
          <a:extLst>
            <a:ext uri="{FF2B5EF4-FFF2-40B4-BE49-F238E27FC236}">
              <a16:creationId xmlns:a16="http://schemas.microsoft.com/office/drawing/2014/main" id="{00000000-0008-0000-0800-00003C000000}"/>
            </a:ext>
          </a:extLst>
        </xdr:cNvPr>
        <xdr:cNvSpPr txBox="1"/>
      </xdr:nvSpPr>
      <xdr:spPr>
        <a:xfrm>
          <a:off x="331611" y="6992056"/>
          <a:ext cx="3636440" cy="642793"/>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2023</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1.010 € (Micro - 1 a 9 pessoas) e 1.457 €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2023 vs 2013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27% (Médios - 50 a 249 pessoas) e 36% (Micro - 1 a 9 pessoas)</a:t>
          </a:r>
        </a:p>
      </xdr:txBody>
    </xdr:sp>
    <xdr:clientData/>
  </xdr:twoCellAnchor>
  <xdr:twoCellAnchor>
    <xdr:from>
      <xdr:col>7</xdr:col>
      <xdr:colOff>152400</xdr:colOff>
      <xdr:row>37</xdr:row>
      <xdr:rowOff>176391</xdr:rowOff>
    </xdr:from>
    <xdr:to>
      <xdr:col>13</xdr:col>
      <xdr:colOff>260350</xdr:colOff>
      <xdr:row>41</xdr:row>
      <xdr:rowOff>152401</xdr:rowOff>
    </xdr:to>
    <xdr:sp macro="" textlink="">
      <xdr:nvSpPr>
        <xdr:cNvPr id="61" name="CaixaDeTexto 60">
          <a:extLst>
            <a:ext uri="{FF2B5EF4-FFF2-40B4-BE49-F238E27FC236}">
              <a16:creationId xmlns:a16="http://schemas.microsoft.com/office/drawing/2014/main" id="{00000000-0008-0000-0800-00003D000000}"/>
            </a:ext>
          </a:extLst>
        </xdr:cNvPr>
        <xdr:cNvSpPr txBox="1"/>
      </xdr:nvSpPr>
      <xdr:spPr>
        <a:xfrm>
          <a:off x="4286250" y="7015341"/>
          <a:ext cx="3568700" cy="71261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2023</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1.172 € (Micro - 1 a 9 pessoas) e 1.815 €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2023 vs 2013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28% (Médios - 50 a 249 pessoas) e 35% (Grandes - 250 e + pessoas e Micro - 1 a 9 pessoas)</a:t>
          </a:r>
        </a:p>
      </xdr:txBody>
    </xdr:sp>
    <xdr:clientData/>
  </xdr:twoCellAnchor>
  <xdr:twoCellAnchor>
    <xdr:from>
      <xdr:col>0</xdr:col>
      <xdr:colOff>88900</xdr:colOff>
      <xdr:row>4</xdr:row>
      <xdr:rowOff>107950</xdr:rowOff>
    </xdr:from>
    <xdr:to>
      <xdr:col>7</xdr:col>
      <xdr:colOff>24911</xdr:colOff>
      <xdr:row>7</xdr:row>
      <xdr:rowOff>158505</xdr:rowOff>
    </xdr:to>
    <xdr:sp macro="" textlink="">
      <xdr:nvSpPr>
        <xdr:cNvPr id="56" name="CaixaDeTexto 55">
          <a:extLst>
            <a:ext uri="{FF2B5EF4-FFF2-40B4-BE49-F238E27FC236}">
              <a16:creationId xmlns:a16="http://schemas.microsoft.com/office/drawing/2014/main" id="{00000000-0008-0000-0800-000038000000}"/>
            </a:ext>
          </a:extLst>
        </xdr:cNvPr>
        <xdr:cNvSpPr txBox="1"/>
      </xdr:nvSpPr>
      <xdr:spPr>
        <a:xfrm>
          <a:off x="88900" y="844550"/>
          <a:ext cx="4069861" cy="603005"/>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en-US" sz="900" b="1" u="sng" baseline="0">
              <a:solidFill>
                <a:schemeClr val="dk1"/>
              </a:solidFill>
              <a:effectLst/>
              <a:latin typeface="+mn-lt"/>
              <a:ea typeface="+mn-ea"/>
              <a:cs typeface="+mn-cs"/>
            </a:rPr>
            <a:t>2023:</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2023 vs. 2022: </a:t>
          </a:r>
          <a:endParaRPr lang="pt-PT" sz="900">
            <a:effectLst/>
          </a:endParaRPr>
        </a:p>
        <a:p>
          <a:pPr eaLnBrk="1" fontAlgn="auto" latinLnBrk="0" hangingPunct="1"/>
          <a:r>
            <a:rPr lang="en-US" sz="900" b="0" baseline="0">
              <a:solidFill>
                <a:schemeClr val="dk1"/>
              </a:solidFill>
              <a:effectLst/>
              <a:latin typeface="+mn-lt"/>
              <a:ea typeface="+mn-ea"/>
              <a:cs typeface="+mn-cs"/>
            </a:rPr>
            <a:t>1.220 € de remuneração base                    + 76 € de remuneração base  (+6,7%)</a:t>
          </a:r>
          <a:endParaRPr lang="pt-PT" sz="900">
            <a:effectLst/>
          </a:endParaRPr>
        </a:p>
        <a:p>
          <a:pPr eaLnBrk="1" fontAlgn="auto" latinLnBrk="0" hangingPunct="1"/>
          <a:r>
            <a:rPr lang="en-US" sz="900" b="0" baseline="0">
              <a:solidFill>
                <a:schemeClr val="dk1"/>
              </a:solidFill>
              <a:effectLst/>
              <a:latin typeface="+mn-lt"/>
              <a:ea typeface="+mn-ea"/>
              <a:cs typeface="+mn-cs"/>
            </a:rPr>
            <a:t>1.467 € de remuneração ganho                 + 99 € de remuneração ganho (+7,2%)</a:t>
          </a:r>
          <a:endParaRPr lang="en-US" sz="900" b="1" baseline="0">
            <a:solidFill>
              <a:schemeClr val="dk1"/>
            </a:solidFill>
            <a:effectLst/>
            <a:latin typeface="+mn-lt"/>
            <a:ea typeface="+mn-ea"/>
            <a:cs typeface="+mn-cs"/>
          </a:endParaRP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22_q23_q33_q34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AFC81DC-3EC4-477D-8B43-E36C4DC9E67C}"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22_q23_q33_q34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8E4F49-4FD5-4F90-859B-56F07EF8E503}"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0.71539</cdr:x>
      <cdr:y>0.03293</cdr:y>
    </cdr:from>
    <cdr:to>
      <cdr:x>0.90894</cdr:x>
      <cdr:y>0.17431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653375" y="-188062"/>
          <a:ext cx="367200" cy="9144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14.xml><?xml version="1.0" encoding="utf-8"?>
<c:userShapes xmlns:c="http://schemas.openxmlformats.org/drawingml/2006/chart">
  <cdr:relSizeAnchor xmlns:cdr="http://schemas.openxmlformats.org/drawingml/2006/chartDrawing">
    <cdr:from>
      <cdr:x>0.63774</cdr:x>
      <cdr:y>0.08462</cdr:y>
    </cdr:from>
    <cdr:to>
      <cdr:x>0.73468</cdr:x>
      <cdr:y>0.21154</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2790812" y="175709"/>
          <a:ext cx="424219" cy="263543"/>
          <a:chOff x="1958149" y="369817"/>
          <a:chExt cx="473434" cy="291245"/>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4"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58149" y="374649"/>
            <a:ext cx="180567" cy="27132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15.xml><?xml version="1.0" encoding="utf-8"?>
<xdr:wsDr xmlns:xdr="http://schemas.openxmlformats.org/drawingml/2006/spreadsheetDrawing" xmlns:a="http://schemas.openxmlformats.org/drawingml/2006/main">
  <xdr:twoCellAnchor>
    <xdr:from>
      <xdr:col>0</xdr:col>
      <xdr:colOff>144116</xdr:colOff>
      <xdr:row>25</xdr:row>
      <xdr:rowOff>107533</xdr:rowOff>
    </xdr:from>
    <xdr:to>
      <xdr:col>7</xdr:col>
      <xdr:colOff>435092</xdr:colOff>
      <xdr:row>28</xdr:row>
      <xdr:rowOff>59400</xdr:rowOff>
    </xdr:to>
    <xdr:grpSp>
      <xdr:nvGrpSpPr>
        <xdr:cNvPr id="73" name="Agrupar 72">
          <a:extLst>
            <a:ext uri="{FF2B5EF4-FFF2-40B4-BE49-F238E27FC236}">
              <a16:creationId xmlns:a16="http://schemas.microsoft.com/office/drawing/2014/main" id="{00000000-0008-0000-0900-000049000000}"/>
            </a:ext>
          </a:extLst>
        </xdr:cNvPr>
        <xdr:cNvGrpSpPr/>
      </xdr:nvGrpSpPr>
      <xdr:grpSpPr>
        <a:xfrm>
          <a:off x="144116" y="4917658"/>
          <a:ext cx="4224801" cy="523367"/>
          <a:chOff x="27137591" y="6707909"/>
          <a:chExt cx="3833088" cy="561600"/>
        </a:xfrm>
      </xdr:grpSpPr>
      <xdr:grpSp>
        <xdr:nvGrpSpPr>
          <xdr:cNvPr id="74" name="Agrupar 73">
            <a:extLst>
              <a:ext uri="{FF2B5EF4-FFF2-40B4-BE49-F238E27FC236}">
                <a16:creationId xmlns:a16="http://schemas.microsoft.com/office/drawing/2014/main" id="{00000000-0008-0000-0900-00004A000000}"/>
              </a:ext>
            </a:extLst>
          </xdr:cNvPr>
          <xdr:cNvGrpSpPr/>
        </xdr:nvGrpSpPr>
        <xdr:grpSpPr>
          <a:xfrm>
            <a:off x="27137591" y="6875734"/>
            <a:ext cx="2083575" cy="246637"/>
            <a:chOff x="120650" y="4292600"/>
            <a:chExt cx="2076453" cy="247564"/>
          </a:xfrm>
        </xdr:grpSpPr>
        <mc:AlternateContent xmlns:mc="http://schemas.openxmlformats.org/markup-compatibility/2006">
          <mc:Choice xmlns:a14="http://schemas.microsoft.com/office/drawing/2010/main" Requires="a14">
            <xdr:sp macro="" textlink="">
              <xdr:nvSpPr>
                <xdr:cNvPr id="132106" name="Drop Down 10" hidden="1">
                  <a:extLst>
                    <a:ext uri="{63B3BB69-23CF-44E3-9099-C40C66FF867C}">
                      <a14:compatExt spid="_x0000_s132106"/>
                    </a:ext>
                    <a:ext uri="{FF2B5EF4-FFF2-40B4-BE49-F238E27FC236}">
                      <a16:creationId xmlns:a16="http://schemas.microsoft.com/office/drawing/2014/main" id="{00000000-0008-0000-0900-00000A040200}"/>
                    </a:ext>
                  </a:extLst>
                </xdr:cNvPr>
                <xdr:cNvSpPr/>
              </xdr:nvSpPr>
              <xdr:spPr bwMode="auto">
                <a:xfrm>
                  <a:off x="1524003" y="4298864"/>
                  <a:ext cx="673100" cy="2413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7" name="Text Box 10">
              <a:extLst>
                <a:ext uri="{FF2B5EF4-FFF2-40B4-BE49-F238E27FC236}">
                  <a16:creationId xmlns:a16="http://schemas.microsoft.com/office/drawing/2014/main" id="{00000000-0008-0000-0900-00004D000000}"/>
                </a:ext>
              </a:extLst>
            </xdr:cNvPr>
            <xdr:cNvSpPr txBox="1">
              <a:spLocks noChangeArrowheads="1"/>
            </xdr:cNvSpPr>
          </xdr:nvSpPr>
          <xdr:spPr bwMode="auto">
            <a:xfrm>
              <a:off x="120650" y="429260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76" name="Gráfico 75">
            <a:extLst>
              <a:ext uri="{FF2B5EF4-FFF2-40B4-BE49-F238E27FC236}">
                <a16:creationId xmlns:a16="http://schemas.microsoft.com/office/drawing/2014/main" id="{00000000-0008-0000-0900-00004C000000}"/>
              </a:ext>
            </a:extLst>
          </xdr:cNvPr>
          <xdr:cNvGraphicFramePr>
            <a:graphicFrameLocks/>
          </xdr:cNvGraphicFramePr>
        </xdr:nvGraphicFramePr>
        <xdr:xfrm>
          <a:off x="29394725" y="6707909"/>
          <a:ext cx="1575954" cy="5616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8</xdr:col>
      <xdr:colOff>113416</xdr:colOff>
      <xdr:row>25</xdr:row>
      <xdr:rowOff>95402</xdr:rowOff>
    </xdr:from>
    <xdr:to>
      <xdr:col>15</xdr:col>
      <xdr:colOff>330566</xdr:colOff>
      <xdr:row>28</xdr:row>
      <xdr:rowOff>47523</xdr:rowOff>
    </xdr:to>
    <xdr:grpSp>
      <xdr:nvGrpSpPr>
        <xdr:cNvPr id="78" name="Agrupar 77">
          <a:extLst>
            <a:ext uri="{FF2B5EF4-FFF2-40B4-BE49-F238E27FC236}">
              <a16:creationId xmlns:a16="http://schemas.microsoft.com/office/drawing/2014/main" id="{00000000-0008-0000-0900-00004E000000}"/>
            </a:ext>
          </a:extLst>
        </xdr:cNvPr>
        <xdr:cNvGrpSpPr/>
      </xdr:nvGrpSpPr>
      <xdr:grpSpPr>
        <a:xfrm>
          <a:off x="4609216" y="4905527"/>
          <a:ext cx="4112875" cy="523621"/>
          <a:chOff x="31830818" y="6707909"/>
          <a:chExt cx="3758044" cy="561600"/>
        </a:xfrm>
      </xdr:grpSpPr>
      <xdr:grpSp>
        <xdr:nvGrpSpPr>
          <xdr:cNvPr id="79" name="Agrupar 78">
            <a:extLst>
              <a:ext uri="{FF2B5EF4-FFF2-40B4-BE49-F238E27FC236}">
                <a16:creationId xmlns:a16="http://schemas.microsoft.com/office/drawing/2014/main" id="{00000000-0008-0000-0900-00004F000000}"/>
              </a:ext>
            </a:extLst>
          </xdr:cNvPr>
          <xdr:cNvGrpSpPr/>
        </xdr:nvGrpSpPr>
        <xdr:grpSpPr>
          <a:xfrm>
            <a:off x="31830818" y="6875780"/>
            <a:ext cx="2050208" cy="240392"/>
            <a:chOff x="5127622" y="4549780"/>
            <a:chExt cx="2050996" cy="241300"/>
          </a:xfrm>
        </xdr:grpSpPr>
        <xdr:sp macro="" textlink="">
          <xdr:nvSpPr>
            <xdr:cNvPr id="81" name="Text Box 10">
              <a:extLst>
                <a:ext uri="{FF2B5EF4-FFF2-40B4-BE49-F238E27FC236}">
                  <a16:creationId xmlns:a16="http://schemas.microsoft.com/office/drawing/2014/main" id="{00000000-0008-0000-0900-000051000000}"/>
                </a:ext>
              </a:extLst>
            </xdr:cNvPr>
            <xdr:cNvSpPr txBox="1">
              <a:spLocks noChangeArrowheads="1"/>
            </xdr:cNvSpPr>
          </xdr:nvSpPr>
          <xdr:spPr bwMode="auto">
            <a:xfrm>
              <a:off x="5127622" y="454978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2107" name="Drop Down 11" hidden="1">
                  <a:extLst>
                    <a:ext uri="{63B3BB69-23CF-44E3-9099-C40C66FF867C}">
                      <a14:compatExt spid="_x0000_s132107"/>
                    </a:ext>
                    <a:ext uri="{FF2B5EF4-FFF2-40B4-BE49-F238E27FC236}">
                      <a16:creationId xmlns:a16="http://schemas.microsoft.com/office/drawing/2014/main" id="{00000000-0008-0000-0900-00000B040200}"/>
                    </a:ext>
                  </a:extLst>
                </xdr:cNvPr>
                <xdr:cNvSpPr/>
              </xdr:nvSpPr>
              <xdr:spPr bwMode="auto">
                <a:xfrm>
                  <a:off x="6505528" y="4549780"/>
                  <a:ext cx="673090" cy="241202"/>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0" name="Gráfico 79">
            <a:extLst>
              <a:ext uri="{FF2B5EF4-FFF2-40B4-BE49-F238E27FC236}">
                <a16:creationId xmlns:a16="http://schemas.microsoft.com/office/drawing/2014/main" id="{00000000-0008-0000-0900-000050000000}"/>
              </a:ext>
            </a:extLst>
          </xdr:cNvPr>
          <xdr:cNvGraphicFramePr>
            <a:graphicFrameLocks/>
          </xdr:cNvGraphicFramePr>
        </xdr:nvGraphicFramePr>
        <xdr:xfrm>
          <a:off x="34012908" y="6707909"/>
          <a:ext cx="1575954" cy="5616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16</xdr:col>
      <xdr:colOff>90069</xdr:colOff>
      <xdr:row>25</xdr:row>
      <xdr:rowOff>85726</xdr:rowOff>
    </xdr:from>
    <xdr:to>
      <xdr:col>23</xdr:col>
      <xdr:colOff>32960</xdr:colOff>
      <xdr:row>28</xdr:row>
      <xdr:rowOff>37593</xdr:rowOff>
    </xdr:to>
    <xdr:grpSp>
      <xdr:nvGrpSpPr>
        <xdr:cNvPr id="82" name="Agrupar 81">
          <a:extLst>
            <a:ext uri="{FF2B5EF4-FFF2-40B4-BE49-F238E27FC236}">
              <a16:creationId xmlns:a16="http://schemas.microsoft.com/office/drawing/2014/main" id="{00000000-0008-0000-0900-000052000000}"/>
            </a:ext>
          </a:extLst>
        </xdr:cNvPr>
        <xdr:cNvGrpSpPr/>
      </xdr:nvGrpSpPr>
      <xdr:grpSpPr>
        <a:xfrm>
          <a:off x="9062619" y="4895851"/>
          <a:ext cx="3977106" cy="523367"/>
          <a:chOff x="36599092" y="6759864"/>
          <a:chExt cx="3688772" cy="561600"/>
        </a:xfrm>
      </xdr:grpSpPr>
      <xdr:grpSp>
        <xdr:nvGrpSpPr>
          <xdr:cNvPr id="83" name="Agrupar 82">
            <a:extLst>
              <a:ext uri="{FF2B5EF4-FFF2-40B4-BE49-F238E27FC236}">
                <a16:creationId xmlns:a16="http://schemas.microsoft.com/office/drawing/2014/main" id="{00000000-0008-0000-0900-000053000000}"/>
              </a:ext>
            </a:extLst>
          </xdr:cNvPr>
          <xdr:cNvGrpSpPr/>
        </xdr:nvGrpSpPr>
        <xdr:grpSpPr>
          <a:xfrm>
            <a:off x="36599092" y="6916343"/>
            <a:ext cx="2054313" cy="246654"/>
            <a:chOff x="9423400" y="4330700"/>
            <a:chExt cx="2063816" cy="247582"/>
          </a:xfrm>
        </xdr:grpSpPr>
        <xdr:sp macro="" textlink="">
          <xdr:nvSpPr>
            <xdr:cNvPr id="85" name="Text Box 10">
              <a:extLst>
                <a:ext uri="{FF2B5EF4-FFF2-40B4-BE49-F238E27FC236}">
                  <a16:creationId xmlns:a16="http://schemas.microsoft.com/office/drawing/2014/main" id="{00000000-0008-0000-0900-000055000000}"/>
                </a:ext>
              </a:extLst>
            </xdr:cNvPr>
            <xdr:cNvSpPr txBox="1">
              <a:spLocks noChangeArrowheads="1"/>
            </xdr:cNvSpPr>
          </xdr:nvSpPr>
          <xdr:spPr bwMode="auto">
            <a:xfrm>
              <a:off x="9423400" y="433070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2108" name="Drop Down 12" hidden="1">
                  <a:extLst>
                    <a:ext uri="{63B3BB69-23CF-44E3-9099-C40C66FF867C}">
                      <a14:compatExt spid="_x0000_s132108"/>
                    </a:ext>
                    <a:ext uri="{FF2B5EF4-FFF2-40B4-BE49-F238E27FC236}">
                      <a16:creationId xmlns:a16="http://schemas.microsoft.com/office/drawing/2014/main" id="{00000000-0008-0000-0900-00000C040200}"/>
                    </a:ext>
                  </a:extLst>
                </xdr:cNvPr>
                <xdr:cNvSpPr/>
              </xdr:nvSpPr>
              <xdr:spPr bwMode="auto">
                <a:xfrm>
                  <a:off x="10814104" y="4337067"/>
                  <a:ext cx="673112" cy="241215"/>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4" name="Gráfico 83">
            <a:extLst>
              <a:ext uri="{FF2B5EF4-FFF2-40B4-BE49-F238E27FC236}">
                <a16:creationId xmlns:a16="http://schemas.microsoft.com/office/drawing/2014/main" id="{00000000-0008-0000-0900-000054000000}"/>
              </a:ext>
            </a:extLst>
          </xdr:cNvPr>
          <xdr:cNvGraphicFramePr>
            <a:graphicFrameLocks/>
          </xdr:cNvGraphicFramePr>
        </xdr:nvGraphicFramePr>
        <xdr:xfrm>
          <a:off x="38711910" y="6759864"/>
          <a:ext cx="1575954" cy="5616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0</xdr:colOff>
      <xdr:row>4</xdr:row>
      <xdr:rowOff>107671</xdr:rowOff>
    </xdr:from>
    <xdr:to>
      <xdr:col>7</xdr:col>
      <xdr:colOff>366150</xdr:colOff>
      <xdr:row>6</xdr:row>
      <xdr:rowOff>29957</xdr:rowOff>
    </xdr:to>
    <xdr:grpSp>
      <xdr:nvGrpSpPr>
        <xdr:cNvPr id="2" name="Agrupar 1">
          <a:extLst>
            <a:ext uri="{FF2B5EF4-FFF2-40B4-BE49-F238E27FC236}">
              <a16:creationId xmlns:a16="http://schemas.microsoft.com/office/drawing/2014/main" id="{00000000-0008-0000-0900-000002000000}"/>
            </a:ext>
          </a:extLst>
        </xdr:cNvPr>
        <xdr:cNvGrpSpPr/>
      </xdr:nvGrpSpPr>
      <xdr:grpSpPr>
        <a:xfrm>
          <a:off x="0" y="917296"/>
          <a:ext cx="4299975" cy="303286"/>
          <a:chOff x="230187" y="644543"/>
          <a:chExt cx="5846763" cy="466707"/>
        </a:xfrm>
      </xdr:grpSpPr>
      <xdr:sp macro="" textlink="">
        <xdr:nvSpPr>
          <xdr:cNvPr id="3" name="Rectangle 3">
            <a:extLst>
              <a:ext uri="{FF2B5EF4-FFF2-40B4-BE49-F238E27FC236}">
                <a16:creationId xmlns:a16="http://schemas.microsoft.com/office/drawing/2014/main" id="{00000000-0008-0000-0900-00000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 name="Text Box 10">
            <a:extLst>
              <a:ext uri="{FF2B5EF4-FFF2-40B4-BE49-F238E27FC236}">
                <a16:creationId xmlns:a16="http://schemas.microsoft.com/office/drawing/2014/main" id="{00000000-0008-0000-0900-000004000000}"/>
              </a:ext>
            </a:extLst>
          </xdr:cNvPr>
          <xdr:cNvSpPr txBox="1">
            <a:spLocks noChangeArrowheads="1"/>
          </xdr:cNvSpPr>
        </xdr:nvSpPr>
        <xdr:spPr bwMode="auto">
          <a:xfrm>
            <a:off x="307902" y="644543"/>
            <a:ext cx="2564358" cy="38930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editAs="oneCell">
    <xdr:from>
      <xdr:col>0</xdr:col>
      <xdr:colOff>66675</xdr:colOff>
      <xdr:row>0</xdr:row>
      <xdr:rowOff>0</xdr:rowOff>
    </xdr:from>
    <xdr:to>
      <xdr:col>1</xdr:col>
      <xdr:colOff>383503</xdr:colOff>
      <xdr:row>2</xdr:row>
      <xdr:rowOff>1361</xdr:rowOff>
    </xdr:to>
    <xdr:pic>
      <xdr:nvPicPr>
        <xdr:cNvPr id="5" name="Imagem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66675" y="0"/>
          <a:ext cx="878803" cy="429986"/>
        </a:xfrm>
        <a:prstGeom prst="rect">
          <a:avLst/>
        </a:prstGeom>
      </xdr:spPr>
    </xdr:pic>
    <xdr:clientData/>
  </xdr:twoCellAnchor>
  <xdr:twoCellAnchor>
    <xdr:from>
      <xdr:col>1</xdr:col>
      <xdr:colOff>417362</xdr:colOff>
      <xdr:row>0</xdr:row>
      <xdr:rowOff>0</xdr:rowOff>
    </xdr:from>
    <xdr:to>
      <xdr:col>22</xdr:col>
      <xdr:colOff>577850</xdr:colOff>
      <xdr:row>2</xdr:row>
      <xdr:rowOff>76200</xdr:rowOff>
    </xdr:to>
    <xdr:sp macro="" textlink="">
      <xdr:nvSpPr>
        <xdr:cNvPr id="6" name="Rectangle 17">
          <a:extLst>
            <a:ext uri="{FF2B5EF4-FFF2-40B4-BE49-F238E27FC236}">
              <a16:creationId xmlns:a16="http://schemas.microsoft.com/office/drawing/2014/main" id="{00000000-0008-0000-0900-000006000000}"/>
            </a:ext>
          </a:extLst>
        </xdr:cNvPr>
        <xdr:cNvSpPr>
          <a:spLocks noChangeArrowheads="1"/>
        </xdr:cNvSpPr>
      </xdr:nvSpPr>
      <xdr:spPr bwMode="auto">
        <a:xfrm rot="5400000">
          <a:off x="6779344" y="-5800007"/>
          <a:ext cx="457200" cy="12057213"/>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vert="vert270"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2013 - 2023: Quadros de Pessoal</a:t>
          </a:r>
        </a:p>
        <a:p>
          <a:pPr defTabSz="988538">
            <a:defRPr/>
          </a:pPr>
          <a:r>
            <a:rPr lang="pt-PT" sz="1600" b="1" i="1">
              <a:solidFill>
                <a:srgbClr val="FFE600"/>
              </a:solidFill>
              <a:effectLst>
                <a:outerShdw blurRad="38100" dist="38100" dir="2700000" algn="tl">
                  <a:srgbClr val="000000"/>
                </a:outerShdw>
              </a:effectLst>
              <a:latin typeface="Arial" charset="0"/>
            </a:rPr>
            <a:t>Distritos</a:t>
          </a:r>
        </a:p>
      </xdr:txBody>
    </xdr:sp>
    <xdr:clientData/>
  </xdr:twoCellAnchor>
  <xdr:twoCellAnchor>
    <xdr:from>
      <xdr:col>7</xdr:col>
      <xdr:colOff>419100</xdr:colOff>
      <xdr:row>4</xdr:row>
      <xdr:rowOff>89698</xdr:rowOff>
    </xdr:from>
    <xdr:to>
      <xdr:col>15</xdr:col>
      <xdr:colOff>239150</xdr:colOff>
      <xdr:row>6</xdr:row>
      <xdr:rowOff>45398</xdr:rowOff>
    </xdr:to>
    <xdr:grpSp>
      <xdr:nvGrpSpPr>
        <xdr:cNvPr id="33" name="Agrupar 32">
          <a:extLst>
            <a:ext uri="{FF2B5EF4-FFF2-40B4-BE49-F238E27FC236}">
              <a16:creationId xmlns:a16="http://schemas.microsoft.com/office/drawing/2014/main" id="{00000000-0008-0000-0900-000021000000}"/>
            </a:ext>
          </a:extLst>
        </xdr:cNvPr>
        <xdr:cNvGrpSpPr/>
      </xdr:nvGrpSpPr>
      <xdr:grpSpPr>
        <a:xfrm>
          <a:off x="4352925" y="899323"/>
          <a:ext cx="4277750" cy="336700"/>
          <a:chOff x="230187" y="612160"/>
          <a:chExt cx="5846763" cy="499090"/>
        </a:xfrm>
      </xdr:grpSpPr>
      <xdr:sp macro="" textlink="">
        <xdr:nvSpPr>
          <xdr:cNvPr id="37" name="Rectangle 3">
            <a:extLst>
              <a:ext uri="{FF2B5EF4-FFF2-40B4-BE49-F238E27FC236}">
                <a16:creationId xmlns:a16="http://schemas.microsoft.com/office/drawing/2014/main" id="{00000000-0008-0000-0900-000025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38" name="Text Box 10">
            <a:extLst>
              <a:ext uri="{FF2B5EF4-FFF2-40B4-BE49-F238E27FC236}">
                <a16:creationId xmlns:a16="http://schemas.microsoft.com/office/drawing/2014/main" id="{00000000-0008-0000-0900-000026000000}"/>
              </a:ext>
            </a:extLst>
          </xdr:cNvPr>
          <xdr:cNvSpPr txBox="1">
            <a:spLocks noChangeArrowheads="1"/>
          </xdr:cNvSpPr>
        </xdr:nvSpPr>
        <xdr:spPr bwMode="auto">
          <a:xfrm>
            <a:off x="273049" y="612160"/>
            <a:ext cx="2074661" cy="41324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clientData/>
  </xdr:twoCellAnchor>
  <xdr:twoCellAnchor>
    <xdr:from>
      <xdr:col>15</xdr:col>
      <xdr:colOff>317500</xdr:colOff>
      <xdr:row>4</xdr:row>
      <xdr:rowOff>81233</xdr:rowOff>
    </xdr:from>
    <xdr:to>
      <xdr:col>22</xdr:col>
      <xdr:colOff>590550</xdr:colOff>
      <xdr:row>6</xdr:row>
      <xdr:rowOff>36933</xdr:rowOff>
    </xdr:to>
    <xdr:grpSp>
      <xdr:nvGrpSpPr>
        <xdr:cNvPr id="43" name="Agrupar 42">
          <a:extLst>
            <a:ext uri="{FF2B5EF4-FFF2-40B4-BE49-F238E27FC236}">
              <a16:creationId xmlns:a16="http://schemas.microsoft.com/office/drawing/2014/main" id="{00000000-0008-0000-0900-00002B000000}"/>
            </a:ext>
          </a:extLst>
        </xdr:cNvPr>
        <xdr:cNvGrpSpPr/>
      </xdr:nvGrpSpPr>
      <xdr:grpSpPr>
        <a:xfrm>
          <a:off x="8709025" y="890858"/>
          <a:ext cx="4330700" cy="336700"/>
          <a:chOff x="230187" y="612158"/>
          <a:chExt cx="5846763" cy="499092"/>
        </a:xfrm>
      </xdr:grpSpPr>
      <xdr:sp macro="" textlink="">
        <xdr:nvSpPr>
          <xdr:cNvPr id="44" name="Rectangle 3">
            <a:extLst>
              <a:ext uri="{FF2B5EF4-FFF2-40B4-BE49-F238E27FC236}">
                <a16:creationId xmlns:a16="http://schemas.microsoft.com/office/drawing/2014/main" id="{00000000-0008-0000-0900-00002C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5" name="Text Box 10">
            <a:extLst>
              <a:ext uri="{FF2B5EF4-FFF2-40B4-BE49-F238E27FC236}">
                <a16:creationId xmlns:a16="http://schemas.microsoft.com/office/drawing/2014/main" id="{00000000-0008-0000-0900-00002D000000}"/>
              </a:ext>
            </a:extLst>
          </xdr:cNvPr>
          <xdr:cNvSpPr txBox="1">
            <a:spLocks noChangeArrowheads="1"/>
          </xdr:cNvSpPr>
        </xdr:nvSpPr>
        <xdr:spPr bwMode="auto">
          <a:xfrm>
            <a:off x="264329" y="612158"/>
            <a:ext cx="2533750" cy="42573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a:t>
            </a:r>
            <a:r>
              <a:rPr lang="en-US" altLang="pt-PT" sz="1000" b="1" baseline="0">
                <a:solidFill>
                  <a:srgbClr val="00467A"/>
                </a:solidFill>
                <a:latin typeface="+mn-lt"/>
              </a:rPr>
              <a:t> médias mensais</a:t>
            </a:r>
            <a:endParaRPr lang="en-US" altLang="pt-PT" sz="1000" b="1">
              <a:solidFill>
                <a:srgbClr val="00467A"/>
              </a:solidFill>
              <a:latin typeface="+mn-lt"/>
            </a:endParaRPr>
          </a:p>
        </xdr:txBody>
      </xdr:sp>
    </xdr:grpSp>
    <xdr:clientData/>
  </xdr:twoCellAnchor>
  <xdr:twoCellAnchor>
    <xdr:from>
      <xdr:col>0</xdr:col>
      <xdr:colOff>47996</xdr:colOff>
      <xdr:row>2</xdr:row>
      <xdr:rowOff>120650</xdr:rowOff>
    </xdr:from>
    <xdr:to>
      <xdr:col>22</xdr:col>
      <xdr:colOff>577849</xdr:colOff>
      <xdr:row>4</xdr:row>
      <xdr:rowOff>50800</xdr:rowOff>
    </xdr:to>
    <xdr:grpSp>
      <xdr:nvGrpSpPr>
        <xdr:cNvPr id="20" name="Agrupar 19">
          <a:extLst>
            <a:ext uri="{FF2B5EF4-FFF2-40B4-BE49-F238E27FC236}">
              <a16:creationId xmlns:a16="http://schemas.microsoft.com/office/drawing/2014/main" id="{00000000-0008-0000-0900-000014000000}"/>
            </a:ext>
          </a:extLst>
        </xdr:cNvPr>
        <xdr:cNvGrpSpPr/>
      </xdr:nvGrpSpPr>
      <xdr:grpSpPr>
        <a:xfrm>
          <a:off x="47996" y="549275"/>
          <a:ext cx="12988553" cy="311150"/>
          <a:chOff x="47996" y="590550"/>
          <a:chExt cx="13610853" cy="298450"/>
        </a:xfrm>
      </xdr:grpSpPr>
      <xdr:sp macro="" textlink="">
        <xdr:nvSpPr>
          <xdr:cNvPr id="88" name="Text Box 10">
            <a:extLst>
              <a:ext uri="{FF2B5EF4-FFF2-40B4-BE49-F238E27FC236}">
                <a16:creationId xmlns:a16="http://schemas.microsoft.com/office/drawing/2014/main" id="{00000000-0008-0000-0900-000058000000}"/>
              </a:ext>
            </a:extLst>
          </xdr:cNvPr>
          <xdr:cNvSpPr txBox="1">
            <a:spLocks noChangeArrowheads="1"/>
          </xdr:cNvSpPr>
        </xdr:nvSpPr>
        <xdr:spPr bwMode="auto">
          <a:xfrm>
            <a:off x="47996" y="590550"/>
            <a:ext cx="13610853" cy="29845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endParaRPr lang="en-US" altLang="pt-PT" sz="1200" b="1">
              <a:solidFill>
                <a:srgbClr val="00467A"/>
              </a:solidFill>
              <a:latin typeface="Arial" charset="0"/>
            </a:endParaRPr>
          </a:p>
        </xdr:txBody>
      </xdr:sp>
      <mc:AlternateContent xmlns:mc="http://schemas.openxmlformats.org/markup-compatibility/2006">
        <mc:Choice xmlns:a14="http://schemas.microsoft.com/office/drawing/2010/main" Requires="a14">
          <xdr:sp macro="" textlink="">
            <xdr:nvSpPr>
              <xdr:cNvPr id="132100" name="Drop Down 4" hidden="1">
                <a:extLst>
                  <a:ext uri="{63B3BB69-23CF-44E3-9099-C40C66FF867C}">
                    <a14:compatExt spid="_x0000_s132100"/>
                  </a:ext>
                  <a:ext uri="{FF2B5EF4-FFF2-40B4-BE49-F238E27FC236}">
                    <a16:creationId xmlns:a16="http://schemas.microsoft.com/office/drawing/2014/main" id="{00000000-0008-0000-0900-000004040200}"/>
                  </a:ext>
                </a:extLst>
              </xdr:cNvPr>
              <xdr:cNvSpPr/>
            </xdr:nvSpPr>
            <xdr:spPr bwMode="auto">
              <a:xfrm>
                <a:off x="1619929" y="625863"/>
                <a:ext cx="1123950" cy="196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89" name="Text Box 10">
            <a:extLst>
              <a:ext uri="{FF2B5EF4-FFF2-40B4-BE49-F238E27FC236}">
                <a16:creationId xmlns:a16="http://schemas.microsoft.com/office/drawing/2014/main" id="{00000000-0008-0000-0900-000059000000}"/>
              </a:ext>
            </a:extLst>
          </xdr:cNvPr>
          <xdr:cNvSpPr txBox="1">
            <a:spLocks noChangeArrowheads="1"/>
          </xdr:cNvSpPr>
        </xdr:nvSpPr>
        <xdr:spPr bwMode="auto">
          <a:xfrm>
            <a:off x="150340" y="613164"/>
            <a:ext cx="1434396"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distrito</a:t>
            </a:r>
            <a:endParaRPr lang="en-US" altLang="pt-PT" sz="1200" b="1">
              <a:solidFill>
                <a:schemeClr val="bg1"/>
              </a:solidFill>
              <a:latin typeface="Arial" charset="0"/>
            </a:endParaRPr>
          </a:p>
        </xdr:txBody>
      </xdr:sp>
    </xdr:grpSp>
    <xdr:clientData/>
  </xdr:twoCellAnchor>
  <xdr:twoCellAnchor>
    <xdr:from>
      <xdr:col>0</xdr:col>
      <xdr:colOff>88900</xdr:colOff>
      <xdr:row>10</xdr:row>
      <xdr:rowOff>120650</xdr:rowOff>
    </xdr:from>
    <xdr:to>
      <xdr:col>7</xdr:col>
      <xdr:colOff>275050</xdr:colOff>
      <xdr:row>26</xdr:row>
      <xdr:rowOff>41550</xdr:rowOff>
    </xdr:to>
    <xdr:grpSp>
      <xdr:nvGrpSpPr>
        <xdr:cNvPr id="90" name="Agrupar 89">
          <a:extLst>
            <a:ext uri="{FF2B5EF4-FFF2-40B4-BE49-F238E27FC236}">
              <a16:creationId xmlns:a16="http://schemas.microsoft.com/office/drawing/2014/main" id="{00000000-0008-0000-0900-00005A000000}"/>
            </a:ext>
          </a:extLst>
        </xdr:cNvPr>
        <xdr:cNvGrpSpPr/>
      </xdr:nvGrpSpPr>
      <xdr:grpSpPr>
        <a:xfrm>
          <a:off x="88900" y="2073275"/>
          <a:ext cx="4119975" cy="2968900"/>
          <a:chOff x="36182300" y="8426450"/>
          <a:chExt cx="4819650" cy="2597244"/>
        </a:xfrm>
      </xdr:grpSpPr>
      <xdr:graphicFrame macro="">
        <xdr:nvGraphicFramePr>
          <xdr:cNvPr id="91" name="Gráfico 90">
            <a:extLst>
              <a:ext uri="{FF2B5EF4-FFF2-40B4-BE49-F238E27FC236}">
                <a16:creationId xmlns:a16="http://schemas.microsoft.com/office/drawing/2014/main" id="{00000000-0008-0000-0900-00005B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2" name="CaixaDeTexto 91">
            <a:extLst>
              <a:ext uri="{FF2B5EF4-FFF2-40B4-BE49-F238E27FC236}">
                <a16:creationId xmlns:a16="http://schemas.microsoft.com/office/drawing/2014/main" id="{00000000-0008-0000-0900-00005C000000}"/>
              </a:ext>
            </a:extLst>
          </xdr:cNvPr>
          <xdr:cNvSpPr txBox="1"/>
        </xdr:nvSpPr>
        <xdr:spPr>
          <a:xfrm>
            <a:off x="39836722" y="8902700"/>
            <a:ext cx="913867"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93" name="CaixaDeTexto 92">
            <a:extLst>
              <a:ext uri="{FF2B5EF4-FFF2-40B4-BE49-F238E27FC236}">
                <a16:creationId xmlns:a16="http://schemas.microsoft.com/office/drawing/2014/main" id="{00000000-0008-0000-0900-00005D000000}"/>
              </a:ext>
            </a:extLst>
          </xdr:cNvPr>
          <xdr:cNvSpPr txBox="1"/>
        </xdr:nvSpPr>
        <xdr:spPr>
          <a:xfrm>
            <a:off x="39833549" y="9721850"/>
            <a:ext cx="91349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3_q7_q11_q15_q24_q35_Fig!$AG$23">
        <xdr:nvSpPr>
          <xdr:cNvPr id="94" name="CaixaDeTexto 93">
            <a:extLst>
              <a:ext uri="{FF2B5EF4-FFF2-40B4-BE49-F238E27FC236}">
                <a16:creationId xmlns:a16="http://schemas.microsoft.com/office/drawing/2014/main" id="{00000000-0008-0000-0900-00005E000000}"/>
              </a:ext>
            </a:extLst>
          </xdr:cNvPr>
          <xdr:cNvSpPr txBox="1"/>
        </xdr:nvSpPr>
        <xdr:spPr>
          <a:xfrm>
            <a:off x="39839898" y="9994900"/>
            <a:ext cx="913867"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32E978C-36E4-4EF9-9691-B755701A40E7}" type="TxLink">
              <a:rPr lang="en-US" sz="1000" b="1" i="0" u="none" strike="noStrike">
                <a:solidFill>
                  <a:schemeClr val="bg1"/>
                </a:solidFill>
                <a:latin typeface="Arial"/>
                <a:ea typeface="+mn-ea"/>
                <a:cs typeface="Arial"/>
              </a:rPr>
              <a:pPr marL="0" indent="0" algn="ctr"/>
              <a:t>8,9%</a:t>
            </a:fld>
            <a:endParaRPr lang="pt-PT" sz="1000" b="1" i="0" u="none" strike="noStrike">
              <a:solidFill>
                <a:schemeClr val="bg1"/>
              </a:solidFill>
              <a:latin typeface="+mn-lt"/>
              <a:ea typeface="+mn-ea"/>
              <a:cs typeface="Arial"/>
            </a:endParaRPr>
          </a:p>
        </xdr:txBody>
      </xdr:sp>
      <xdr:sp macro="" textlink="q3_q7_q11_q15_q24_q35_Fig!$AG$22">
        <xdr:nvSpPr>
          <xdr:cNvPr id="95" name="CaixaDeTexto 94">
            <a:extLst>
              <a:ext uri="{FF2B5EF4-FFF2-40B4-BE49-F238E27FC236}">
                <a16:creationId xmlns:a16="http://schemas.microsoft.com/office/drawing/2014/main" id="{00000000-0008-0000-0900-00005F000000}"/>
              </a:ext>
            </a:extLst>
          </xdr:cNvPr>
          <xdr:cNvSpPr txBox="1"/>
        </xdr:nvSpPr>
        <xdr:spPr>
          <a:xfrm>
            <a:off x="39839898" y="9201150"/>
            <a:ext cx="913867"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EC43F0F-F246-42EF-943E-C5ACB6D9EB24}" type="TxLink">
              <a:rPr lang="en-US" sz="1000" b="1" i="0" u="none" strike="noStrike">
                <a:solidFill>
                  <a:schemeClr val="bg1"/>
                </a:solidFill>
                <a:latin typeface="Arial"/>
                <a:cs typeface="Arial"/>
              </a:rPr>
              <a:pPr algn="ctr"/>
              <a:t>11,2%</a:t>
            </a:fld>
            <a:endParaRPr lang="pt-PT" sz="1000" b="1">
              <a:solidFill>
                <a:schemeClr val="bg1"/>
              </a:solidFill>
              <a:latin typeface="+mn-lt"/>
            </a:endParaRPr>
          </a:p>
        </xdr:txBody>
      </xdr:sp>
    </xdr:grpSp>
    <xdr:clientData/>
  </xdr:twoCellAnchor>
  <xdr:twoCellAnchor>
    <xdr:from>
      <xdr:col>0</xdr:col>
      <xdr:colOff>152400</xdr:colOff>
      <xdr:row>32</xdr:row>
      <xdr:rowOff>184149</xdr:rowOff>
    </xdr:from>
    <xdr:to>
      <xdr:col>7</xdr:col>
      <xdr:colOff>11864</xdr:colOff>
      <xdr:row>55</xdr:row>
      <xdr:rowOff>88699</xdr:rowOff>
    </xdr:to>
    <xdr:grpSp>
      <xdr:nvGrpSpPr>
        <xdr:cNvPr id="13" name="Agrupar 12">
          <a:extLst>
            <a:ext uri="{FF2B5EF4-FFF2-40B4-BE49-F238E27FC236}">
              <a16:creationId xmlns:a16="http://schemas.microsoft.com/office/drawing/2014/main" id="{00000000-0008-0000-0900-00000D000000}"/>
            </a:ext>
          </a:extLst>
        </xdr:cNvPr>
        <xdr:cNvGrpSpPr/>
      </xdr:nvGrpSpPr>
      <xdr:grpSpPr>
        <a:xfrm>
          <a:off x="152400" y="6327774"/>
          <a:ext cx="3793289" cy="4286050"/>
          <a:chOff x="152400" y="5626100"/>
          <a:chExt cx="3993314" cy="4140000"/>
        </a:xfrm>
      </xdr:grpSpPr>
      <xdr:graphicFrame macro="">
        <xdr:nvGraphicFramePr>
          <xdr:cNvPr id="98" name="Gráfico 97">
            <a:extLst>
              <a:ext uri="{FF2B5EF4-FFF2-40B4-BE49-F238E27FC236}">
                <a16:creationId xmlns:a16="http://schemas.microsoft.com/office/drawing/2014/main" id="{00000000-0008-0000-0900-000062000000}"/>
              </a:ext>
            </a:extLst>
          </xdr:cNvPr>
          <xdr:cNvGraphicFramePr/>
        </xdr:nvGraphicFramePr>
        <xdr:xfrm>
          <a:off x="152400" y="5626100"/>
          <a:ext cx="2700000" cy="4140000"/>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100" name="Agrupar 99">
            <a:extLst>
              <a:ext uri="{FF2B5EF4-FFF2-40B4-BE49-F238E27FC236}">
                <a16:creationId xmlns:a16="http://schemas.microsoft.com/office/drawing/2014/main" id="{00000000-0008-0000-0900-000064000000}"/>
              </a:ext>
            </a:extLst>
          </xdr:cNvPr>
          <xdr:cNvGrpSpPr/>
        </xdr:nvGrpSpPr>
        <xdr:grpSpPr>
          <a:xfrm>
            <a:off x="2133577" y="5715000"/>
            <a:ext cx="2012137" cy="3886200"/>
            <a:chOff x="25929945" y="6707910"/>
            <a:chExt cx="2164306" cy="3088635"/>
          </a:xfrm>
        </xdr:grpSpPr>
        <mc:AlternateContent xmlns:mc="http://schemas.openxmlformats.org/markup-compatibility/2006">
          <mc:Choice xmlns:cx4="http://schemas.microsoft.com/office/drawing/2016/5/10/chartex" Requires="cx4">
            <xdr:graphicFrame macro="">
              <xdr:nvGraphicFramePr>
                <xdr:cNvPr id="101" name="Gráfico 100">
                  <a:extLst>
                    <a:ext uri="{FF2B5EF4-FFF2-40B4-BE49-F238E27FC236}">
                      <a16:creationId xmlns:a16="http://schemas.microsoft.com/office/drawing/2014/main" id="{00000000-0008-0000-0900-000065000000}"/>
                    </a:ext>
                  </a:extLst>
                </xdr:cNvPr>
                <xdr:cNvGraphicFramePr/>
              </xdr:nvGraphicFramePr>
              <xdr:xfrm>
                <a:off x="25929945" y="6707910"/>
                <a:ext cx="2075527" cy="1529773"/>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5929945" y="6707910"/>
                  <a:ext cx="2075527" cy="1529773"/>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102" name="Gráfico 101">
                  <a:extLst>
                    <a:ext uri="{FF2B5EF4-FFF2-40B4-BE49-F238E27FC236}">
                      <a16:creationId xmlns:a16="http://schemas.microsoft.com/office/drawing/2014/main" id="{00000000-0008-0000-0900-000066000000}"/>
                    </a:ext>
                  </a:extLst>
                </xdr:cNvPr>
                <xdr:cNvGraphicFramePr/>
              </xdr:nvGraphicFramePr>
              <xdr:xfrm>
                <a:off x="26018728" y="8266545"/>
                <a:ext cx="2075523" cy="153000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26018728" y="8266545"/>
                  <a:ext cx="2075523" cy="1530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8</xdr:col>
      <xdr:colOff>47625</xdr:colOff>
      <xdr:row>10</xdr:row>
      <xdr:rowOff>133350</xdr:rowOff>
    </xdr:from>
    <xdr:to>
      <xdr:col>15</xdr:col>
      <xdr:colOff>249650</xdr:colOff>
      <xdr:row>26</xdr:row>
      <xdr:rowOff>54250</xdr:rowOff>
    </xdr:to>
    <xdr:grpSp>
      <xdr:nvGrpSpPr>
        <xdr:cNvPr id="103" name="Agrupar 102">
          <a:extLst>
            <a:ext uri="{FF2B5EF4-FFF2-40B4-BE49-F238E27FC236}">
              <a16:creationId xmlns:a16="http://schemas.microsoft.com/office/drawing/2014/main" id="{00000000-0008-0000-0900-000067000000}"/>
            </a:ext>
          </a:extLst>
        </xdr:cNvPr>
        <xdr:cNvGrpSpPr/>
      </xdr:nvGrpSpPr>
      <xdr:grpSpPr>
        <a:xfrm>
          <a:off x="4543425" y="2085975"/>
          <a:ext cx="4097750" cy="2968900"/>
          <a:chOff x="36182300" y="8426450"/>
          <a:chExt cx="4819650" cy="2597244"/>
        </a:xfrm>
      </xdr:grpSpPr>
      <xdr:graphicFrame macro="">
        <xdr:nvGraphicFramePr>
          <xdr:cNvPr id="104" name="Gráfico 103">
            <a:extLst>
              <a:ext uri="{FF2B5EF4-FFF2-40B4-BE49-F238E27FC236}">
                <a16:creationId xmlns:a16="http://schemas.microsoft.com/office/drawing/2014/main" id="{00000000-0008-0000-0900-000068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05" name="CaixaDeTexto 104">
            <a:extLst>
              <a:ext uri="{FF2B5EF4-FFF2-40B4-BE49-F238E27FC236}">
                <a16:creationId xmlns:a16="http://schemas.microsoft.com/office/drawing/2014/main" id="{00000000-0008-0000-0900-000069000000}"/>
              </a:ext>
            </a:extLst>
          </xdr:cNvPr>
          <xdr:cNvSpPr txBox="1"/>
        </xdr:nvSpPr>
        <xdr:spPr>
          <a:xfrm>
            <a:off x="39836724" y="8902700"/>
            <a:ext cx="918824"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106" name="CaixaDeTexto 105">
            <a:extLst>
              <a:ext uri="{FF2B5EF4-FFF2-40B4-BE49-F238E27FC236}">
                <a16:creationId xmlns:a16="http://schemas.microsoft.com/office/drawing/2014/main" id="{00000000-0008-0000-0900-00006A000000}"/>
              </a:ext>
            </a:extLst>
          </xdr:cNvPr>
          <xdr:cNvSpPr txBox="1"/>
        </xdr:nvSpPr>
        <xdr:spPr>
          <a:xfrm>
            <a:off x="39833550" y="9721850"/>
            <a:ext cx="918824"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3_q7_q11_q15_q24_q35_Fig!$AG$63">
        <xdr:nvSpPr>
          <xdr:cNvPr id="107" name="CaixaDeTexto 106">
            <a:extLst>
              <a:ext uri="{FF2B5EF4-FFF2-40B4-BE49-F238E27FC236}">
                <a16:creationId xmlns:a16="http://schemas.microsoft.com/office/drawing/2014/main" id="{00000000-0008-0000-0900-00006B000000}"/>
              </a:ext>
            </a:extLst>
          </xdr:cNvPr>
          <xdr:cNvSpPr txBox="1"/>
        </xdr:nvSpPr>
        <xdr:spPr>
          <a:xfrm>
            <a:off x="39839899" y="9994900"/>
            <a:ext cx="918824"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2D5924-8C9A-41C8-91E0-F846F9A251E2}" type="TxLink">
              <a:rPr lang="en-US" sz="1000" b="1" i="0" u="none" strike="noStrike">
                <a:solidFill>
                  <a:schemeClr val="bg1"/>
                </a:solidFill>
                <a:latin typeface="Arial"/>
                <a:ea typeface="+mn-ea"/>
                <a:cs typeface="Arial"/>
              </a:rPr>
              <a:pPr marL="0" indent="0" algn="ctr"/>
              <a:t>42,2%</a:t>
            </a:fld>
            <a:endParaRPr lang="pt-PT" sz="1000" b="1" i="0" u="none" strike="noStrike">
              <a:solidFill>
                <a:schemeClr val="bg1"/>
              </a:solidFill>
              <a:latin typeface="+mn-lt"/>
              <a:ea typeface="+mn-ea"/>
              <a:cs typeface="Arial"/>
            </a:endParaRPr>
          </a:p>
        </xdr:txBody>
      </xdr:sp>
      <xdr:sp macro="" textlink="q3_q7_q11_q15_q24_q35_Fig!$AG$62">
        <xdr:nvSpPr>
          <xdr:cNvPr id="108" name="CaixaDeTexto 107">
            <a:extLst>
              <a:ext uri="{FF2B5EF4-FFF2-40B4-BE49-F238E27FC236}">
                <a16:creationId xmlns:a16="http://schemas.microsoft.com/office/drawing/2014/main" id="{00000000-0008-0000-0900-00006C000000}"/>
              </a:ext>
            </a:extLst>
          </xdr:cNvPr>
          <xdr:cNvSpPr txBox="1"/>
        </xdr:nvSpPr>
        <xdr:spPr>
          <a:xfrm>
            <a:off x="39839900" y="9201150"/>
            <a:ext cx="918824"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6DB01A9-3583-4425-97F6-0D959BD0A5C1}" type="TxLink">
              <a:rPr lang="en-US" sz="1000" b="1" i="0" u="none" strike="noStrike">
                <a:solidFill>
                  <a:schemeClr val="bg1"/>
                </a:solidFill>
                <a:latin typeface="Arial"/>
                <a:cs typeface="Arial"/>
              </a:rPr>
              <a:pPr algn="ctr"/>
              <a:t>40,6%</a:t>
            </a:fld>
            <a:endParaRPr lang="pt-PT" sz="1000" b="1">
              <a:solidFill>
                <a:schemeClr val="bg1"/>
              </a:solidFill>
              <a:latin typeface="+mn-lt"/>
            </a:endParaRPr>
          </a:p>
        </xdr:txBody>
      </xdr:sp>
    </xdr:grpSp>
    <xdr:clientData/>
  </xdr:twoCellAnchor>
  <xdr:twoCellAnchor>
    <xdr:from>
      <xdr:col>15</xdr:col>
      <xdr:colOff>419100</xdr:colOff>
      <xdr:row>11</xdr:row>
      <xdr:rowOff>99479</xdr:rowOff>
    </xdr:from>
    <xdr:to>
      <xdr:col>22</xdr:col>
      <xdr:colOff>471900</xdr:colOff>
      <xdr:row>26</xdr:row>
      <xdr:rowOff>118529</xdr:rowOff>
    </xdr:to>
    <xdr:grpSp>
      <xdr:nvGrpSpPr>
        <xdr:cNvPr id="113" name="Agrupar 112">
          <a:extLst>
            <a:ext uri="{FF2B5EF4-FFF2-40B4-BE49-F238E27FC236}">
              <a16:creationId xmlns:a16="http://schemas.microsoft.com/office/drawing/2014/main" id="{00000000-0008-0000-0900-000071000000}"/>
            </a:ext>
          </a:extLst>
        </xdr:cNvPr>
        <xdr:cNvGrpSpPr/>
      </xdr:nvGrpSpPr>
      <xdr:grpSpPr>
        <a:xfrm>
          <a:off x="8810625" y="2242604"/>
          <a:ext cx="4119975" cy="2876550"/>
          <a:chOff x="36182300" y="8426450"/>
          <a:chExt cx="4819650" cy="2597244"/>
        </a:xfrm>
      </xdr:grpSpPr>
      <xdr:graphicFrame macro="">
        <xdr:nvGraphicFramePr>
          <xdr:cNvPr id="114" name="Gráfico 113">
            <a:extLst>
              <a:ext uri="{FF2B5EF4-FFF2-40B4-BE49-F238E27FC236}">
                <a16:creationId xmlns:a16="http://schemas.microsoft.com/office/drawing/2014/main" id="{00000000-0008-0000-0900-000072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15" name="CaixaDeTexto 114">
            <a:extLst>
              <a:ext uri="{FF2B5EF4-FFF2-40B4-BE49-F238E27FC236}">
                <a16:creationId xmlns:a16="http://schemas.microsoft.com/office/drawing/2014/main" id="{00000000-0008-0000-0900-000073000000}"/>
              </a:ext>
            </a:extLst>
          </xdr:cNvPr>
          <xdr:cNvSpPr txBox="1"/>
        </xdr:nvSpPr>
        <xdr:spPr>
          <a:xfrm>
            <a:off x="39836724" y="890270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116" name="CaixaDeTexto 115">
            <a:extLst>
              <a:ext uri="{FF2B5EF4-FFF2-40B4-BE49-F238E27FC236}">
                <a16:creationId xmlns:a16="http://schemas.microsoft.com/office/drawing/2014/main" id="{00000000-0008-0000-0900-000074000000}"/>
              </a:ext>
            </a:extLst>
          </xdr:cNvPr>
          <xdr:cNvSpPr txBox="1"/>
        </xdr:nvSpPr>
        <xdr:spPr>
          <a:xfrm>
            <a:off x="39833549" y="972185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3_q7_q11_q15_q24_q35_Fig!$AG$103">
        <xdr:nvSpPr>
          <xdr:cNvPr id="117" name="CaixaDeTexto 116">
            <a:extLst>
              <a:ext uri="{FF2B5EF4-FFF2-40B4-BE49-F238E27FC236}">
                <a16:creationId xmlns:a16="http://schemas.microsoft.com/office/drawing/2014/main" id="{00000000-0008-0000-0900-000075000000}"/>
              </a:ext>
            </a:extLst>
          </xdr:cNvPr>
          <xdr:cNvSpPr txBox="1"/>
        </xdr:nvSpPr>
        <xdr:spPr>
          <a:xfrm>
            <a:off x="39839897" y="9994900"/>
            <a:ext cx="913867" cy="266537"/>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BEB6391-2DA1-4399-8E59-5272F0F21967}" type="TxLink">
              <a:rPr lang="en-US" sz="1000" b="1" i="0" u="none" strike="noStrike">
                <a:solidFill>
                  <a:schemeClr val="bg1"/>
                </a:solidFill>
                <a:latin typeface="Arial"/>
                <a:ea typeface="+mn-ea"/>
                <a:cs typeface="Arial"/>
              </a:rPr>
              <a:pPr marL="0" indent="0" algn="ctr"/>
              <a:t>27,2%</a:t>
            </a:fld>
            <a:endParaRPr lang="pt-PT" sz="1000" b="1" i="0" u="none" strike="noStrike">
              <a:solidFill>
                <a:schemeClr val="bg1"/>
              </a:solidFill>
              <a:latin typeface="+mn-lt"/>
              <a:ea typeface="+mn-ea"/>
              <a:cs typeface="Arial"/>
            </a:endParaRPr>
          </a:p>
        </xdr:txBody>
      </xdr:sp>
      <xdr:sp macro="" textlink="q3_q7_q11_q15_q24_q35_Fig!$AG$102">
        <xdr:nvSpPr>
          <xdr:cNvPr id="118" name="CaixaDeTexto 117">
            <a:extLst>
              <a:ext uri="{FF2B5EF4-FFF2-40B4-BE49-F238E27FC236}">
                <a16:creationId xmlns:a16="http://schemas.microsoft.com/office/drawing/2014/main" id="{00000000-0008-0000-0900-000076000000}"/>
              </a:ext>
            </a:extLst>
          </xdr:cNvPr>
          <xdr:cNvSpPr txBox="1"/>
        </xdr:nvSpPr>
        <xdr:spPr>
          <a:xfrm>
            <a:off x="39839901" y="9201150"/>
            <a:ext cx="913867" cy="26653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28287C6-FD56-4FDB-A45D-6AFD0E0E070A}" type="TxLink">
              <a:rPr lang="en-US" sz="1000" b="1" i="0" u="none" strike="noStrike">
                <a:solidFill>
                  <a:schemeClr val="bg1"/>
                </a:solidFill>
                <a:latin typeface="Arial"/>
                <a:cs typeface="Arial"/>
              </a:rPr>
              <a:pPr algn="ctr"/>
              <a:t>27,0%</a:t>
            </a:fld>
            <a:endParaRPr lang="pt-PT" sz="1000" b="1">
              <a:solidFill>
                <a:schemeClr val="bg1"/>
              </a:solidFill>
              <a:latin typeface="+mn-lt"/>
            </a:endParaRPr>
          </a:p>
        </xdr:txBody>
      </xdr:sp>
    </xdr:grpSp>
    <xdr:clientData/>
  </xdr:twoCellAnchor>
  <xdr:twoCellAnchor>
    <xdr:from>
      <xdr:col>8</xdr:col>
      <xdr:colOff>86785</xdr:colOff>
      <xdr:row>33</xdr:row>
      <xdr:rowOff>4230</xdr:rowOff>
    </xdr:from>
    <xdr:to>
      <xdr:col>15</xdr:col>
      <xdr:colOff>42814</xdr:colOff>
      <xdr:row>55</xdr:row>
      <xdr:rowOff>99280</xdr:rowOff>
    </xdr:to>
    <xdr:grpSp>
      <xdr:nvGrpSpPr>
        <xdr:cNvPr id="14" name="Agrupar 13">
          <a:extLst>
            <a:ext uri="{FF2B5EF4-FFF2-40B4-BE49-F238E27FC236}">
              <a16:creationId xmlns:a16="http://schemas.microsoft.com/office/drawing/2014/main" id="{00000000-0008-0000-0900-00000E000000}"/>
            </a:ext>
          </a:extLst>
        </xdr:cNvPr>
        <xdr:cNvGrpSpPr/>
      </xdr:nvGrpSpPr>
      <xdr:grpSpPr>
        <a:xfrm>
          <a:off x="4582585" y="6338355"/>
          <a:ext cx="3851754" cy="4286050"/>
          <a:chOff x="4686304" y="5695949"/>
          <a:chExt cx="4047546" cy="4140000"/>
        </a:xfrm>
      </xdr:grpSpPr>
      <xdr:graphicFrame macro="">
        <xdr:nvGraphicFramePr>
          <xdr:cNvPr id="111" name="Gráfico 110">
            <a:extLst>
              <a:ext uri="{FF2B5EF4-FFF2-40B4-BE49-F238E27FC236}">
                <a16:creationId xmlns:a16="http://schemas.microsoft.com/office/drawing/2014/main" id="{00000000-0008-0000-0900-00006F000000}"/>
              </a:ext>
            </a:extLst>
          </xdr:cNvPr>
          <xdr:cNvGraphicFramePr/>
        </xdr:nvGraphicFramePr>
        <xdr:xfrm>
          <a:off x="4686304" y="5695949"/>
          <a:ext cx="2700000" cy="4140000"/>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60" name="Agrupar 59">
            <a:extLst>
              <a:ext uri="{FF2B5EF4-FFF2-40B4-BE49-F238E27FC236}">
                <a16:creationId xmlns:a16="http://schemas.microsoft.com/office/drawing/2014/main" id="{00000000-0008-0000-0900-00003C000000}"/>
              </a:ext>
            </a:extLst>
          </xdr:cNvPr>
          <xdr:cNvGrpSpPr/>
        </xdr:nvGrpSpPr>
        <xdr:grpSpPr>
          <a:xfrm>
            <a:off x="6775450" y="5772150"/>
            <a:ext cx="1958400" cy="3888000"/>
            <a:chOff x="30699366" y="10194636"/>
            <a:chExt cx="1935370" cy="3790590"/>
          </a:xfrm>
        </xdr:grpSpPr>
        <mc:AlternateContent xmlns:mc="http://schemas.openxmlformats.org/markup-compatibility/2006">
          <mc:Choice xmlns:cx4="http://schemas.microsoft.com/office/drawing/2016/5/10/chartex" Requires="cx4">
            <xdr:graphicFrame macro="">
              <xdr:nvGraphicFramePr>
                <xdr:cNvPr id="61" name="Gráfico 60">
                  <a:extLst>
                    <a:ext uri="{FF2B5EF4-FFF2-40B4-BE49-F238E27FC236}">
                      <a16:creationId xmlns:a16="http://schemas.microsoft.com/office/drawing/2014/main" id="{00000000-0008-0000-0900-00003D000000}"/>
                    </a:ext>
                  </a:extLst>
                </xdr:cNvPr>
                <xdr:cNvGraphicFramePr/>
              </xdr:nvGraphicFramePr>
              <xdr:xfrm>
                <a:off x="30705136" y="10194636"/>
                <a:ext cx="1929600" cy="1925999"/>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30705136" y="10194636"/>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62" name="Gráfico 61">
                  <a:extLst>
                    <a:ext uri="{FF2B5EF4-FFF2-40B4-BE49-F238E27FC236}">
                      <a16:creationId xmlns:a16="http://schemas.microsoft.com/office/drawing/2014/main" id="{00000000-0008-0000-0900-00003E000000}"/>
                    </a:ext>
                  </a:extLst>
                </xdr:cNvPr>
                <xdr:cNvGraphicFramePr/>
              </xdr:nvGraphicFramePr>
              <xdr:xfrm>
                <a:off x="30699366" y="12059227"/>
                <a:ext cx="1929600" cy="1925999"/>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30699366" y="12059227"/>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15</xdr:col>
      <xdr:colOff>529166</xdr:colOff>
      <xdr:row>33</xdr:row>
      <xdr:rowOff>38095</xdr:rowOff>
    </xdr:from>
    <xdr:to>
      <xdr:col>22</xdr:col>
      <xdr:colOff>187526</xdr:colOff>
      <xdr:row>55</xdr:row>
      <xdr:rowOff>133145</xdr:rowOff>
    </xdr:to>
    <xdr:grpSp>
      <xdr:nvGrpSpPr>
        <xdr:cNvPr id="16" name="Agrupar 15">
          <a:extLst>
            <a:ext uri="{FF2B5EF4-FFF2-40B4-BE49-F238E27FC236}">
              <a16:creationId xmlns:a16="http://schemas.microsoft.com/office/drawing/2014/main" id="{00000000-0008-0000-0900-000010000000}"/>
            </a:ext>
          </a:extLst>
        </xdr:cNvPr>
        <xdr:cNvGrpSpPr/>
      </xdr:nvGrpSpPr>
      <xdr:grpSpPr>
        <a:xfrm>
          <a:off x="8920691" y="6372220"/>
          <a:ext cx="3725535" cy="4286050"/>
          <a:chOff x="9321800" y="5695949"/>
          <a:chExt cx="3925560" cy="4140000"/>
        </a:xfrm>
      </xdr:grpSpPr>
      <xdr:grpSp>
        <xdr:nvGrpSpPr>
          <xdr:cNvPr id="15" name="Agrupar 14">
            <a:extLst>
              <a:ext uri="{FF2B5EF4-FFF2-40B4-BE49-F238E27FC236}">
                <a16:creationId xmlns:a16="http://schemas.microsoft.com/office/drawing/2014/main" id="{00000000-0008-0000-0900-00000F000000}"/>
              </a:ext>
            </a:extLst>
          </xdr:cNvPr>
          <xdr:cNvGrpSpPr/>
        </xdr:nvGrpSpPr>
        <xdr:grpSpPr>
          <a:xfrm>
            <a:off x="11288960" y="5768938"/>
            <a:ext cx="1958400" cy="3888000"/>
            <a:chOff x="10933360" y="5102189"/>
            <a:chExt cx="1937290" cy="3770711"/>
          </a:xfrm>
        </xdr:grpSpPr>
        <mc:AlternateContent xmlns:mc="http://schemas.openxmlformats.org/markup-compatibility/2006">
          <mc:Choice xmlns:cx4="http://schemas.microsoft.com/office/drawing/2016/5/10/chartex" Requires="cx4">
            <xdr:graphicFrame macro="">
              <xdr:nvGraphicFramePr>
                <xdr:cNvPr id="122" name="Gráfico 121">
                  <a:extLst>
                    <a:ext uri="{FF2B5EF4-FFF2-40B4-BE49-F238E27FC236}">
                      <a16:creationId xmlns:a16="http://schemas.microsoft.com/office/drawing/2014/main" id="{00000000-0008-0000-0900-00007A000000}"/>
                    </a:ext>
                  </a:extLst>
                </xdr:cNvPr>
                <xdr:cNvGraphicFramePr/>
              </xdr:nvGraphicFramePr>
              <xdr:xfrm>
                <a:off x="10933360" y="5102189"/>
                <a:ext cx="1929600" cy="1916778"/>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10933360" y="5102189"/>
                  <a:ext cx="1929600" cy="1916778"/>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123" name="Gráfico 122">
                  <a:extLst>
                    <a:ext uri="{FF2B5EF4-FFF2-40B4-BE49-F238E27FC236}">
                      <a16:creationId xmlns:a16="http://schemas.microsoft.com/office/drawing/2014/main" id="{00000000-0008-0000-0900-00007B000000}"/>
                    </a:ext>
                  </a:extLst>
                </xdr:cNvPr>
                <xdr:cNvGraphicFramePr/>
              </xdr:nvGraphicFramePr>
              <xdr:xfrm>
                <a:off x="10941050" y="6946900"/>
                <a:ext cx="1929600" cy="192600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0941050" y="6946900"/>
                  <a:ext cx="1929600" cy="1926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aphicFrame macro="">
        <xdr:nvGraphicFramePr>
          <xdr:cNvPr id="65" name="Gráfico 64">
            <a:extLst>
              <a:ext uri="{FF2B5EF4-FFF2-40B4-BE49-F238E27FC236}">
                <a16:creationId xmlns:a16="http://schemas.microsoft.com/office/drawing/2014/main" id="{00000000-0008-0000-0900-000041000000}"/>
              </a:ext>
            </a:extLst>
          </xdr:cNvPr>
          <xdr:cNvGraphicFramePr>
            <a:graphicFrameLocks/>
          </xdr:cNvGraphicFramePr>
        </xdr:nvGraphicFramePr>
        <xdr:xfrm>
          <a:off x="9321800" y="5695949"/>
          <a:ext cx="2700000" cy="414000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0</xdr:col>
      <xdr:colOff>0</xdr:colOff>
      <xdr:row>6</xdr:row>
      <xdr:rowOff>76200</xdr:rowOff>
    </xdr:from>
    <xdr:to>
      <xdr:col>7</xdr:col>
      <xdr:colOff>373350</xdr:colOff>
      <xdr:row>10</xdr:row>
      <xdr:rowOff>46900</xdr:rowOff>
    </xdr:to>
    <xdr:sp macro="" textlink="q3_q7_q11_q15_q24_q35_Fig!$AE$46">
      <xdr:nvSpPr>
        <xdr:cNvPr id="67" name="CaixaDeTexto 66">
          <a:extLst>
            <a:ext uri="{FF2B5EF4-FFF2-40B4-BE49-F238E27FC236}">
              <a16:creationId xmlns:a16="http://schemas.microsoft.com/office/drawing/2014/main" id="{00000000-0008-0000-0900-000043000000}"/>
            </a:ext>
          </a:extLst>
        </xdr:cNvPr>
        <xdr:cNvSpPr txBox="1"/>
      </xdr:nvSpPr>
      <xdr:spPr>
        <a:xfrm>
          <a:off x="0" y="1181100"/>
          <a:ext cx="4507200" cy="720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7279F53C-A5DB-4BE7-9830-A4A7BE858FF6}" type="TxLink">
            <a:rPr lang="en-US" sz="1000" b="1" i="0" u="none" strike="noStrike">
              <a:solidFill>
                <a:srgbClr val="17375E"/>
              </a:solidFill>
              <a:latin typeface="Calibri"/>
              <a:cs typeface="Calibri"/>
            </a:rPr>
            <a:pPr algn="l"/>
            <a:t>2023:
O distrito de Lisboa era a sede de 65.753 empresas (variação de 11,2% face a 2013, ou seja, mais 6.644) e era a localização de 77.253 estabelecimentos (variação de 8,9% face a 2013, ou seja, mais 6.292).</a:t>
          </a:fld>
          <a:endParaRPr lang="pt-PT" sz="1000" b="1">
            <a:solidFill>
              <a:srgbClr val="17375E"/>
            </a:solidFill>
            <a:latin typeface="+mn-lt"/>
          </a:endParaRPr>
        </a:p>
      </xdr:txBody>
    </xdr:sp>
    <xdr:clientData/>
  </xdr:twoCellAnchor>
  <xdr:twoCellAnchor>
    <xdr:from>
      <xdr:col>7</xdr:col>
      <xdr:colOff>425450</xdr:colOff>
      <xdr:row>6</xdr:row>
      <xdr:rowOff>88900</xdr:rowOff>
    </xdr:from>
    <xdr:to>
      <xdr:col>15</xdr:col>
      <xdr:colOff>252700</xdr:colOff>
      <xdr:row>10</xdr:row>
      <xdr:rowOff>59600</xdr:rowOff>
    </xdr:to>
    <xdr:sp macro="" textlink="q3_q7_q11_q15_q24_q35_Fig!$AE$69">
      <xdr:nvSpPr>
        <xdr:cNvPr id="68" name="CaixaDeTexto 67">
          <a:extLst>
            <a:ext uri="{FF2B5EF4-FFF2-40B4-BE49-F238E27FC236}">
              <a16:creationId xmlns:a16="http://schemas.microsoft.com/office/drawing/2014/main" id="{00000000-0008-0000-0900-000044000000}"/>
            </a:ext>
          </a:extLst>
        </xdr:cNvPr>
        <xdr:cNvSpPr txBox="1"/>
      </xdr:nvSpPr>
      <xdr:spPr>
        <a:xfrm>
          <a:off x="4559300" y="1193800"/>
          <a:ext cx="4507200" cy="720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B68D530-8978-42BF-A477-72FE6EFAFB1D}" type="TxLink">
            <a:rPr lang="en-US" sz="1000" b="1" i="0" u="none" strike="noStrike">
              <a:solidFill>
                <a:srgbClr val="17375E"/>
              </a:solidFill>
              <a:latin typeface="Calibri"/>
              <a:cs typeface="Calibri"/>
            </a:rPr>
            <a:pPr algn="l"/>
            <a:t>2023:
As empresas do distrito de Lisboa tinham ao seu serviço 1.039.751 pessoas (variação de 40,6% face a 2013, ou seja, mais 300.460) e tinham 994.831 TCO (variação de 42,2% face a 2013, ou seja, mais 295.398).</a:t>
          </a:fld>
          <a:endParaRPr lang="pt-PT" sz="1000" b="1">
            <a:solidFill>
              <a:srgbClr val="17375E"/>
            </a:solidFill>
            <a:latin typeface="+mn-lt"/>
          </a:endParaRPr>
        </a:p>
      </xdr:txBody>
    </xdr:sp>
    <xdr:clientData/>
  </xdr:twoCellAnchor>
  <xdr:twoCellAnchor>
    <xdr:from>
      <xdr:col>15</xdr:col>
      <xdr:colOff>317500</xdr:colOff>
      <xdr:row>6</xdr:row>
      <xdr:rowOff>82550</xdr:rowOff>
    </xdr:from>
    <xdr:to>
      <xdr:col>22</xdr:col>
      <xdr:colOff>558800</xdr:colOff>
      <xdr:row>11</xdr:row>
      <xdr:rowOff>21166</xdr:rowOff>
    </xdr:to>
    <xdr:sp macro="" textlink="q3_q7_q11_q15_q24_q35_Fig!$AE$109">
      <xdr:nvSpPr>
        <xdr:cNvPr id="69" name="CaixaDeTexto 68">
          <a:extLst>
            <a:ext uri="{FF2B5EF4-FFF2-40B4-BE49-F238E27FC236}">
              <a16:creationId xmlns:a16="http://schemas.microsoft.com/office/drawing/2014/main" id="{00000000-0008-0000-0900-000045000000}"/>
            </a:ext>
          </a:extLst>
        </xdr:cNvPr>
        <xdr:cNvSpPr txBox="1"/>
      </xdr:nvSpPr>
      <xdr:spPr>
        <a:xfrm>
          <a:off x="8699500" y="1278467"/>
          <a:ext cx="4315883" cy="891116"/>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677BE54-6F28-4EC0-8FA0-7616C2A8B54A}" type="TxLink">
            <a:rPr lang="en-US" sz="1000" b="1" i="0" u="none" strike="noStrike">
              <a:solidFill>
                <a:srgbClr val="17375E"/>
              </a:solidFill>
              <a:latin typeface="Calibri"/>
              <a:cs typeface="Calibri"/>
            </a:rPr>
            <a:pPr algn="l"/>
            <a:t>2023:
No distrito de Lisboa a remuneração média mensal base era de 1.474,8 euros (variação de 27% face a 2013, ou seja, + 314,0 euros) e de 1.779,4 euros a remuneração média mensal ganho (variação de 27,2% face a 2013, ou seja, + 380,3 euros).</a:t>
          </a:fld>
          <a:endParaRPr lang="pt-PT" sz="1000" b="1">
            <a:solidFill>
              <a:srgbClr val="17375E"/>
            </a:solidFill>
            <a:latin typeface="+mn-lt"/>
          </a:endParaRPr>
        </a:p>
      </xdr:txBody>
    </xdr:sp>
    <xdr:clientData/>
  </xdr:twoCellAnchor>
  <xdr:twoCellAnchor>
    <xdr:from>
      <xdr:col>7</xdr:col>
      <xdr:colOff>521757</xdr:colOff>
      <xdr:row>27</xdr:row>
      <xdr:rowOff>181679</xdr:rowOff>
    </xdr:from>
    <xdr:to>
      <xdr:col>15</xdr:col>
      <xdr:colOff>369657</xdr:colOff>
      <xdr:row>33</xdr:row>
      <xdr:rowOff>6934</xdr:rowOff>
    </xdr:to>
    <xdr:sp macro="" textlink="q3_q7_q11_q15_q24_q35_Fig!$AY$2">
      <xdr:nvSpPr>
        <xdr:cNvPr id="71" name="CaixaDeTexto 70">
          <a:extLst>
            <a:ext uri="{FF2B5EF4-FFF2-40B4-BE49-F238E27FC236}">
              <a16:creationId xmlns:a16="http://schemas.microsoft.com/office/drawing/2014/main" id="{00000000-0008-0000-0900-000047000000}"/>
            </a:ext>
          </a:extLst>
        </xdr:cNvPr>
        <xdr:cNvSpPr txBox="1"/>
      </xdr:nvSpPr>
      <xdr:spPr>
        <a:xfrm>
          <a:off x="4670424" y="5212290"/>
          <a:ext cx="4525733" cy="92592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1F28934-1925-4A62-87C6-4367C739C557}" type="TxLink">
            <a:rPr lang="en-US" sz="1000" b="1" i="0" u="none" strike="noStrike">
              <a:solidFill>
                <a:srgbClr val="19375E"/>
              </a:solidFill>
              <a:latin typeface="Calibri"/>
              <a:cs typeface="Calibri"/>
            </a:rPr>
            <a:pPr algn="l"/>
            <a:t>2023:
As empresas do distrito de Lisboa tinham ao seu serviço 1.039.751 pessoas (29,8% do Continente, ocupando a 1º posição entre 18 distritos) e  994.831 TCO ( 30,2% do Continente, sendo o 1º de 18 distritos).</a:t>
          </a:fld>
          <a:endParaRPr lang="pt-PT" sz="1000" b="1">
            <a:solidFill>
              <a:srgbClr val="19375E"/>
            </a:solidFill>
            <a:latin typeface="+mn-lt"/>
          </a:endParaRPr>
        </a:p>
      </xdr:txBody>
    </xdr:sp>
    <xdr:clientData/>
  </xdr:twoCellAnchor>
  <xdr:oneCellAnchor>
    <xdr:from>
      <xdr:col>0</xdr:col>
      <xdr:colOff>53975</xdr:colOff>
      <xdr:row>27</xdr:row>
      <xdr:rowOff>176036</xdr:rowOff>
    </xdr:from>
    <xdr:ext cx="4305600" cy="962026"/>
    <xdr:sp macro="" textlink="q3_q7_q11_q15_q24_q35_Fig!$AL$4">
      <xdr:nvSpPr>
        <xdr:cNvPr id="70" name="CaixaDeTexto 69">
          <a:extLst>
            <a:ext uri="{FF2B5EF4-FFF2-40B4-BE49-F238E27FC236}">
              <a16:creationId xmlns:a16="http://schemas.microsoft.com/office/drawing/2014/main" id="{00000000-0008-0000-0900-000046000000}"/>
            </a:ext>
          </a:extLst>
        </xdr:cNvPr>
        <xdr:cNvSpPr txBox="1"/>
      </xdr:nvSpPr>
      <xdr:spPr>
        <a:xfrm>
          <a:off x="53975" y="5206647"/>
          <a:ext cx="4305600" cy="962026"/>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fld id="{05EE6538-8254-4769-9B41-D130758B06B6}" type="TxLink">
            <a:rPr lang="en-US" sz="1000" b="1" i="0" u="none" strike="noStrike">
              <a:solidFill>
                <a:srgbClr val="19375E"/>
              </a:solidFill>
              <a:latin typeface="Calibri"/>
              <a:cs typeface="Calibri"/>
            </a:rPr>
            <a:pPr algn="l"/>
            <a:t>2023:
O distrito de Lisboa era a sede de 65.753 empresas (equivalendo a 22,6% do Continente, sendo o 1º de 18 distritos);
Era também a localização de 77.253 estabelecimentos (constituindo 22,7% do Continente, sendo o 1º de 18 distritos).</a:t>
          </a:fld>
          <a:endParaRPr lang="en-US" sz="800" b="1">
            <a:solidFill>
              <a:srgbClr val="19375E"/>
            </a:solidFill>
          </a:endParaRPr>
        </a:p>
      </xdr:txBody>
    </xdr:sp>
    <xdr:clientData/>
  </xdr:oneCellAnchor>
  <xdr:twoCellAnchor>
    <xdr:from>
      <xdr:col>15</xdr:col>
      <xdr:colOff>490361</xdr:colOff>
      <xdr:row>27</xdr:row>
      <xdr:rowOff>176037</xdr:rowOff>
    </xdr:from>
    <xdr:to>
      <xdr:col>22</xdr:col>
      <xdr:colOff>557037</xdr:colOff>
      <xdr:row>33</xdr:row>
      <xdr:rowOff>1292</xdr:rowOff>
    </xdr:to>
    <xdr:sp macro="" textlink="q3_q7_q11_q15_q24_q35_Fig!$BL$2">
      <xdr:nvSpPr>
        <xdr:cNvPr id="72" name="CaixaDeTexto 71">
          <a:extLst>
            <a:ext uri="{FF2B5EF4-FFF2-40B4-BE49-F238E27FC236}">
              <a16:creationId xmlns:a16="http://schemas.microsoft.com/office/drawing/2014/main" id="{00000000-0008-0000-0900-000048000000}"/>
            </a:ext>
          </a:extLst>
        </xdr:cNvPr>
        <xdr:cNvSpPr txBox="1"/>
      </xdr:nvSpPr>
      <xdr:spPr>
        <a:xfrm>
          <a:off x="9316861" y="5206648"/>
          <a:ext cx="4314120" cy="92592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53C62BF-CF50-48B8-9FE7-1F22836FC988}" type="TxLink">
            <a:rPr lang="en-US" sz="1000" b="1" i="0" u="none" strike="noStrike">
              <a:solidFill>
                <a:srgbClr val="19375E"/>
              </a:solidFill>
              <a:latin typeface="Calibri"/>
              <a:cs typeface="Calibri"/>
            </a:rPr>
            <a:pPr algn="l"/>
            <a:t>2023:
No distrito de Lisboa a remuneração média mensal base era de 1.474,8 euros (+20,9% que no Continente, sendo o 1º de 18 distritos) e  1.779,4 euros a remuneração média mensal ganho (+21,3% que no Continente, sendo o 1º de 18 distritos).</a:t>
          </a:fld>
          <a:endParaRPr lang="pt-PT" sz="1000" b="1">
            <a:solidFill>
              <a:srgbClr val="19375E"/>
            </a:solidFill>
            <a:latin typeface="+mn-lt"/>
          </a:endParaRPr>
        </a:p>
      </xdr:txBody>
    </xdr:sp>
    <xdr:clientData/>
  </xdr:twoCellAnchor>
  <xdr:twoCellAnchor>
    <xdr:from>
      <xdr:col>21</xdr:col>
      <xdr:colOff>26837</xdr:colOff>
      <xdr:row>0</xdr:row>
      <xdr:rowOff>85725</xdr:rowOff>
    </xdr:from>
    <xdr:to>
      <xdr:col>22</xdr:col>
      <xdr:colOff>479328</xdr:colOff>
      <xdr:row>1</xdr:row>
      <xdr:rowOff>132652</xdr:rowOff>
    </xdr:to>
    <xdr:sp macro="" textlink="">
      <xdr:nvSpPr>
        <xdr:cNvPr id="75" name="Text Box 10">
          <a:hlinkClick xmlns:r="http://schemas.openxmlformats.org/officeDocument/2006/relationships" r:id="rId17"/>
          <a:extLst>
            <a:ext uri="{FF2B5EF4-FFF2-40B4-BE49-F238E27FC236}">
              <a16:creationId xmlns:a16="http://schemas.microsoft.com/office/drawing/2014/main" id="{00000000-0008-0000-0900-00004B000000}"/>
            </a:ext>
          </a:extLst>
        </xdr:cNvPr>
        <xdr:cNvSpPr txBox="1">
          <a:spLocks noChangeArrowheads="1"/>
        </xdr:cNvSpPr>
      </xdr:nvSpPr>
      <xdr:spPr bwMode="auto">
        <a:xfrm>
          <a:off x="11904512" y="85725"/>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F5B681-359A-47D1-926E-EAFEA5AB8103}"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5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165300" y="20615"/>
          <a:ext cx="347837" cy="430826"/>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D635998-5C6E-4644-A5CE-BD8BE1E45122}"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294613" y="-78833"/>
          <a:ext cx="343086" cy="62372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7.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26F701-3CC2-4BEA-BFA8-70F65FD04085}"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0.61598</cdr:x>
      <cdr:y>0.02092</cdr:y>
    </cdr:from>
    <cdr:to>
      <cdr:x>0.75312</cdr:x>
      <cdr:y>0.12191</cdr:y>
    </cdr:to>
    <cdr:sp macro="" textlink="q3_q7_q11_q15_q24_q35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55191" y="-68956"/>
          <a:ext cx="299842" cy="56197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372960-0221-471D-AC29-08DF5500A456}"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0.94372</cdr:x>
      <cdr:y>0.12833</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42455" y="-143691"/>
          <a:ext cx="319517" cy="72987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8.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7BAF77C-8415-4B91-8D55-DD3E81F40666}"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0.59416</cdr:x>
      <cdr:y>0.02092</cdr:y>
    </cdr:from>
    <cdr:to>
      <cdr:x>0.74212</cdr:x>
      <cdr:y>0.13245</cdr:y>
    </cdr:to>
    <cdr:sp macro="" textlink="q3_q7_q11_q15_q24_q35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92313" y="-84210"/>
          <a:ext cx="320822" cy="609599"/>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F22FF0-8723-4CCA-84BD-EF9BD80F8DCB}"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144116</xdr:colOff>
      <xdr:row>25</xdr:row>
      <xdr:rowOff>83720</xdr:rowOff>
    </xdr:from>
    <xdr:to>
      <xdr:col>7</xdr:col>
      <xdr:colOff>450246</xdr:colOff>
      <xdr:row>28</xdr:row>
      <xdr:rowOff>29333</xdr:rowOff>
    </xdr:to>
    <xdr:grpSp>
      <xdr:nvGrpSpPr>
        <xdr:cNvPr id="2" name="Agrupar 1">
          <a:extLst>
            <a:ext uri="{FF2B5EF4-FFF2-40B4-BE49-F238E27FC236}">
              <a16:creationId xmlns:a16="http://schemas.microsoft.com/office/drawing/2014/main" id="{00000000-0008-0000-0A00-000002000000}"/>
            </a:ext>
          </a:extLst>
        </xdr:cNvPr>
        <xdr:cNvGrpSpPr/>
      </xdr:nvGrpSpPr>
      <xdr:grpSpPr>
        <a:xfrm>
          <a:off x="144116" y="4893845"/>
          <a:ext cx="4239955" cy="517113"/>
          <a:chOff x="27137591" y="6707909"/>
          <a:chExt cx="3833088" cy="561600"/>
        </a:xfrm>
      </xdr:grpSpPr>
      <xdr:grpSp>
        <xdr:nvGrpSpPr>
          <xdr:cNvPr id="3" name="Agrupar 2">
            <a:extLst>
              <a:ext uri="{FF2B5EF4-FFF2-40B4-BE49-F238E27FC236}">
                <a16:creationId xmlns:a16="http://schemas.microsoft.com/office/drawing/2014/main" id="{00000000-0008-0000-0A00-000003000000}"/>
              </a:ext>
            </a:extLst>
          </xdr:cNvPr>
          <xdr:cNvGrpSpPr/>
        </xdr:nvGrpSpPr>
        <xdr:grpSpPr>
          <a:xfrm>
            <a:off x="27137591" y="6875734"/>
            <a:ext cx="2083575" cy="246642"/>
            <a:chOff x="120650" y="4292600"/>
            <a:chExt cx="2076453" cy="247569"/>
          </a:xfrm>
        </xdr:grpSpPr>
        <mc:AlternateContent xmlns:mc="http://schemas.openxmlformats.org/markup-compatibility/2006">
          <mc:Choice xmlns:a14="http://schemas.microsoft.com/office/drawing/2010/main" Requires="a14">
            <xdr:sp macro="" textlink="">
              <xdr:nvSpPr>
                <xdr:cNvPr id="288769" name="Drop Down 1" hidden="1">
                  <a:extLst>
                    <a:ext uri="{63B3BB69-23CF-44E3-9099-C40C66FF867C}">
                      <a14:compatExt spid="_x0000_s288769"/>
                    </a:ext>
                    <a:ext uri="{FF2B5EF4-FFF2-40B4-BE49-F238E27FC236}">
                      <a16:creationId xmlns:a16="http://schemas.microsoft.com/office/drawing/2014/main" id="{00000000-0008-0000-0A00-000001680400}"/>
                    </a:ext>
                  </a:extLst>
                </xdr:cNvPr>
                <xdr:cNvSpPr/>
              </xdr:nvSpPr>
              <xdr:spPr bwMode="auto">
                <a:xfrm>
                  <a:off x="1524003" y="4298866"/>
                  <a:ext cx="673100" cy="241303"/>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Text Box 10">
              <a:extLst>
                <a:ext uri="{FF2B5EF4-FFF2-40B4-BE49-F238E27FC236}">
                  <a16:creationId xmlns:a16="http://schemas.microsoft.com/office/drawing/2014/main" id="{00000000-0008-0000-0A00-000006000000}"/>
                </a:ext>
              </a:extLst>
            </xdr:cNvPr>
            <xdr:cNvSpPr txBox="1">
              <a:spLocks noChangeArrowheads="1"/>
            </xdr:cNvSpPr>
          </xdr:nvSpPr>
          <xdr:spPr bwMode="auto">
            <a:xfrm>
              <a:off x="120650" y="4292600"/>
              <a:ext cx="1346200" cy="241300"/>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4" name="Gráfico 3">
            <a:extLst>
              <a:ext uri="{FF2B5EF4-FFF2-40B4-BE49-F238E27FC236}">
                <a16:creationId xmlns:a16="http://schemas.microsoft.com/office/drawing/2014/main" id="{00000000-0008-0000-0A00-000004000000}"/>
              </a:ext>
            </a:extLst>
          </xdr:cNvPr>
          <xdr:cNvGraphicFramePr>
            <a:graphicFrameLocks/>
          </xdr:cNvGraphicFramePr>
        </xdr:nvGraphicFramePr>
        <xdr:xfrm>
          <a:off x="29394725" y="6707909"/>
          <a:ext cx="1575954" cy="5616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0</xdr:colOff>
      <xdr:row>4</xdr:row>
      <xdr:rowOff>107671</xdr:rowOff>
    </xdr:from>
    <xdr:to>
      <xdr:col>7</xdr:col>
      <xdr:colOff>366150</xdr:colOff>
      <xdr:row>6</xdr:row>
      <xdr:rowOff>29957</xdr:rowOff>
    </xdr:to>
    <xdr:grpSp>
      <xdr:nvGrpSpPr>
        <xdr:cNvPr id="17" name="Agrupar 16">
          <a:extLst>
            <a:ext uri="{FF2B5EF4-FFF2-40B4-BE49-F238E27FC236}">
              <a16:creationId xmlns:a16="http://schemas.microsoft.com/office/drawing/2014/main" id="{00000000-0008-0000-0A00-000011000000}"/>
            </a:ext>
          </a:extLst>
        </xdr:cNvPr>
        <xdr:cNvGrpSpPr/>
      </xdr:nvGrpSpPr>
      <xdr:grpSpPr>
        <a:xfrm>
          <a:off x="0" y="917296"/>
          <a:ext cx="4299975" cy="303286"/>
          <a:chOff x="230187" y="644543"/>
          <a:chExt cx="5846763" cy="466707"/>
        </a:xfrm>
      </xdr:grpSpPr>
      <xdr:sp macro="" textlink="">
        <xdr:nvSpPr>
          <xdr:cNvPr id="18" name="Rectangle 3">
            <a:extLst>
              <a:ext uri="{FF2B5EF4-FFF2-40B4-BE49-F238E27FC236}">
                <a16:creationId xmlns:a16="http://schemas.microsoft.com/office/drawing/2014/main" id="{00000000-0008-0000-0A00-000012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19" name="Text Box 10">
            <a:extLst>
              <a:ext uri="{FF2B5EF4-FFF2-40B4-BE49-F238E27FC236}">
                <a16:creationId xmlns:a16="http://schemas.microsoft.com/office/drawing/2014/main" id="{00000000-0008-0000-0A00-000013000000}"/>
              </a:ext>
            </a:extLst>
          </xdr:cNvPr>
          <xdr:cNvSpPr txBox="1">
            <a:spLocks noChangeArrowheads="1"/>
          </xdr:cNvSpPr>
        </xdr:nvSpPr>
        <xdr:spPr bwMode="auto">
          <a:xfrm>
            <a:off x="307902" y="644543"/>
            <a:ext cx="2564358" cy="38930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editAs="oneCell">
    <xdr:from>
      <xdr:col>0</xdr:col>
      <xdr:colOff>66675</xdr:colOff>
      <xdr:row>0</xdr:row>
      <xdr:rowOff>0</xdr:rowOff>
    </xdr:from>
    <xdr:to>
      <xdr:col>1</xdr:col>
      <xdr:colOff>383503</xdr:colOff>
      <xdr:row>2</xdr:row>
      <xdr:rowOff>1361</xdr:rowOff>
    </xdr:to>
    <xdr:pic>
      <xdr:nvPicPr>
        <xdr:cNvPr id="20" name="Imagem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2"/>
        <a:stretch>
          <a:fillRect/>
        </a:stretch>
      </xdr:blipFill>
      <xdr:spPr>
        <a:xfrm>
          <a:off x="66675" y="0"/>
          <a:ext cx="878803" cy="429986"/>
        </a:xfrm>
        <a:prstGeom prst="rect">
          <a:avLst/>
        </a:prstGeom>
      </xdr:spPr>
    </xdr:pic>
    <xdr:clientData/>
  </xdr:twoCellAnchor>
  <xdr:twoCellAnchor>
    <xdr:from>
      <xdr:col>1</xdr:col>
      <xdr:colOff>417362</xdr:colOff>
      <xdr:row>0</xdr:row>
      <xdr:rowOff>0</xdr:rowOff>
    </xdr:from>
    <xdr:to>
      <xdr:col>22</xdr:col>
      <xdr:colOff>577850</xdr:colOff>
      <xdr:row>2</xdr:row>
      <xdr:rowOff>76200</xdr:rowOff>
    </xdr:to>
    <xdr:sp macro="" textlink="">
      <xdr:nvSpPr>
        <xdr:cNvPr id="21" name="Rectangle 17">
          <a:extLst>
            <a:ext uri="{FF2B5EF4-FFF2-40B4-BE49-F238E27FC236}">
              <a16:creationId xmlns:a16="http://schemas.microsoft.com/office/drawing/2014/main" id="{00000000-0008-0000-0A00-000015000000}"/>
            </a:ext>
          </a:extLst>
        </xdr:cNvPr>
        <xdr:cNvSpPr>
          <a:spLocks noChangeArrowheads="1"/>
        </xdr:cNvSpPr>
      </xdr:nvSpPr>
      <xdr:spPr bwMode="auto">
        <a:xfrm rot="5400000">
          <a:off x="6755531" y="-5776194"/>
          <a:ext cx="504825" cy="12057213"/>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vert="vert270"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2013 - 2023: Quadros de Pessoal</a:t>
          </a:r>
        </a:p>
        <a:p>
          <a:pPr defTabSz="988538">
            <a:defRPr/>
          </a:pPr>
          <a:r>
            <a:rPr lang="pt-PT" sz="1600" b="1" i="1">
              <a:solidFill>
                <a:srgbClr val="FFE600"/>
              </a:solidFill>
              <a:effectLst>
                <a:outerShdw blurRad="38100" dist="38100" dir="2700000" algn="tl">
                  <a:srgbClr val="000000"/>
                </a:outerShdw>
              </a:effectLst>
              <a:latin typeface="Arial" charset="0"/>
            </a:rPr>
            <a:t>NUTS 2024</a:t>
          </a:r>
        </a:p>
      </xdr:txBody>
    </xdr:sp>
    <xdr:clientData/>
  </xdr:twoCellAnchor>
  <xdr:twoCellAnchor>
    <xdr:from>
      <xdr:col>7</xdr:col>
      <xdr:colOff>419100</xdr:colOff>
      <xdr:row>4</xdr:row>
      <xdr:rowOff>89698</xdr:rowOff>
    </xdr:from>
    <xdr:to>
      <xdr:col>15</xdr:col>
      <xdr:colOff>239150</xdr:colOff>
      <xdr:row>6</xdr:row>
      <xdr:rowOff>45398</xdr:rowOff>
    </xdr:to>
    <xdr:grpSp>
      <xdr:nvGrpSpPr>
        <xdr:cNvPr id="22" name="Agrupar 21">
          <a:extLst>
            <a:ext uri="{FF2B5EF4-FFF2-40B4-BE49-F238E27FC236}">
              <a16:creationId xmlns:a16="http://schemas.microsoft.com/office/drawing/2014/main" id="{00000000-0008-0000-0A00-000016000000}"/>
            </a:ext>
          </a:extLst>
        </xdr:cNvPr>
        <xdr:cNvGrpSpPr/>
      </xdr:nvGrpSpPr>
      <xdr:grpSpPr>
        <a:xfrm>
          <a:off x="4352925" y="899323"/>
          <a:ext cx="4277750" cy="336700"/>
          <a:chOff x="230187" y="612160"/>
          <a:chExt cx="5846763" cy="499090"/>
        </a:xfrm>
      </xdr:grpSpPr>
      <xdr:sp macro="" textlink="">
        <xdr:nvSpPr>
          <xdr:cNvPr id="23" name="Rectangle 3">
            <a:extLst>
              <a:ext uri="{FF2B5EF4-FFF2-40B4-BE49-F238E27FC236}">
                <a16:creationId xmlns:a16="http://schemas.microsoft.com/office/drawing/2014/main" id="{00000000-0008-0000-0A00-000017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4" name="Text Box 10">
            <a:extLst>
              <a:ext uri="{FF2B5EF4-FFF2-40B4-BE49-F238E27FC236}">
                <a16:creationId xmlns:a16="http://schemas.microsoft.com/office/drawing/2014/main" id="{00000000-0008-0000-0A00-000018000000}"/>
              </a:ext>
            </a:extLst>
          </xdr:cNvPr>
          <xdr:cNvSpPr txBox="1">
            <a:spLocks noChangeArrowheads="1"/>
          </xdr:cNvSpPr>
        </xdr:nvSpPr>
        <xdr:spPr bwMode="auto">
          <a:xfrm>
            <a:off x="273049" y="612160"/>
            <a:ext cx="2074661" cy="41324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clientData/>
  </xdr:twoCellAnchor>
  <xdr:twoCellAnchor>
    <xdr:from>
      <xdr:col>15</xdr:col>
      <xdr:colOff>317500</xdr:colOff>
      <xdr:row>4</xdr:row>
      <xdr:rowOff>81233</xdr:rowOff>
    </xdr:from>
    <xdr:to>
      <xdr:col>23</xdr:col>
      <xdr:colOff>0</xdr:colOff>
      <xdr:row>6</xdr:row>
      <xdr:rowOff>36933</xdr:rowOff>
    </xdr:to>
    <xdr:grpSp>
      <xdr:nvGrpSpPr>
        <xdr:cNvPr id="25" name="Agrupar 24">
          <a:extLst>
            <a:ext uri="{FF2B5EF4-FFF2-40B4-BE49-F238E27FC236}">
              <a16:creationId xmlns:a16="http://schemas.microsoft.com/office/drawing/2014/main" id="{00000000-0008-0000-0A00-000019000000}"/>
            </a:ext>
          </a:extLst>
        </xdr:cNvPr>
        <xdr:cNvGrpSpPr/>
      </xdr:nvGrpSpPr>
      <xdr:grpSpPr>
        <a:xfrm>
          <a:off x="8709025" y="890858"/>
          <a:ext cx="4330700" cy="336700"/>
          <a:chOff x="230187" y="612158"/>
          <a:chExt cx="5846763" cy="499092"/>
        </a:xfrm>
      </xdr:grpSpPr>
      <xdr:sp macro="" textlink="">
        <xdr:nvSpPr>
          <xdr:cNvPr id="26" name="Rectangle 3">
            <a:extLst>
              <a:ext uri="{FF2B5EF4-FFF2-40B4-BE49-F238E27FC236}">
                <a16:creationId xmlns:a16="http://schemas.microsoft.com/office/drawing/2014/main" id="{00000000-0008-0000-0A00-00001A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7" name="Text Box 10">
            <a:extLst>
              <a:ext uri="{FF2B5EF4-FFF2-40B4-BE49-F238E27FC236}">
                <a16:creationId xmlns:a16="http://schemas.microsoft.com/office/drawing/2014/main" id="{00000000-0008-0000-0A00-00001B000000}"/>
              </a:ext>
            </a:extLst>
          </xdr:cNvPr>
          <xdr:cNvSpPr txBox="1">
            <a:spLocks noChangeArrowheads="1"/>
          </xdr:cNvSpPr>
        </xdr:nvSpPr>
        <xdr:spPr bwMode="auto">
          <a:xfrm>
            <a:off x="264329" y="612158"/>
            <a:ext cx="2533750" cy="42573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a:t>
            </a:r>
            <a:r>
              <a:rPr lang="en-US" altLang="pt-PT" sz="1000" b="1" baseline="0">
                <a:solidFill>
                  <a:srgbClr val="00467A"/>
                </a:solidFill>
                <a:latin typeface="+mn-lt"/>
              </a:rPr>
              <a:t> médias mensais</a:t>
            </a:r>
            <a:endParaRPr lang="en-US" altLang="pt-PT" sz="1000" b="1">
              <a:solidFill>
                <a:srgbClr val="00467A"/>
              </a:solidFill>
              <a:latin typeface="+mn-lt"/>
            </a:endParaRPr>
          </a:p>
        </xdr:txBody>
      </xdr:sp>
    </xdr:grpSp>
    <xdr:clientData/>
  </xdr:twoCellAnchor>
  <xdr:twoCellAnchor>
    <xdr:from>
      <xdr:col>0</xdr:col>
      <xdr:colOff>47996</xdr:colOff>
      <xdr:row>2</xdr:row>
      <xdr:rowOff>120650</xdr:rowOff>
    </xdr:from>
    <xdr:to>
      <xdr:col>22</xdr:col>
      <xdr:colOff>577849</xdr:colOff>
      <xdr:row>4</xdr:row>
      <xdr:rowOff>50800</xdr:rowOff>
    </xdr:to>
    <xdr:grpSp>
      <xdr:nvGrpSpPr>
        <xdr:cNvPr id="28" name="Agrupar 27">
          <a:extLst>
            <a:ext uri="{FF2B5EF4-FFF2-40B4-BE49-F238E27FC236}">
              <a16:creationId xmlns:a16="http://schemas.microsoft.com/office/drawing/2014/main" id="{00000000-0008-0000-0A00-00001C000000}"/>
            </a:ext>
          </a:extLst>
        </xdr:cNvPr>
        <xdr:cNvGrpSpPr/>
      </xdr:nvGrpSpPr>
      <xdr:grpSpPr>
        <a:xfrm>
          <a:off x="47996" y="549275"/>
          <a:ext cx="12988553" cy="311150"/>
          <a:chOff x="47996" y="590550"/>
          <a:chExt cx="13610853" cy="298450"/>
        </a:xfrm>
      </xdr:grpSpPr>
      <xdr:sp macro="" textlink="">
        <xdr:nvSpPr>
          <xdr:cNvPr id="29" name="Text Box 10">
            <a:extLst>
              <a:ext uri="{FF2B5EF4-FFF2-40B4-BE49-F238E27FC236}">
                <a16:creationId xmlns:a16="http://schemas.microsoft.com/office/drawing/2014/main" id="{00000000-0008-0000-0A00-00001D000000}"/>
              </a:ext>
            </a:extLst>
          </xdr:cNvPr>
          <xdr:cNvSpPr txBox="1">
            <a:spLocks noChangeArrowheads="1"/>
          </xdr:cNvSpPr>
        </xdr:nvSpPr>
        <xdr:spPr bwMode="auto">
          <a:xfrm>
            <a:off x="47996" y="590550"/>
            <a:ext cx="13610853" cy="29845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endParaRPr lang="en-US" altLang="pt-PT" sz="1200" b="1">
              <a:solidFill>
                <a:srgbClr val="00467A"/>
              </a:solidFill>
              <a:latin typeface="Arial" charset="0"/>
            </a:endParaRPr>
          </a:p>
        </xdr:txBody>
      </xdr:sp>
      <mc:AlternateContent xmlns:mc="http://schemas.openxmlformats.org/markup-compatibility/2006">
        <mc:Choice xmlns:a14="http://schemas.microsoft.com/office/drawing/2010/main" Requires="a14">
          <xdr:sp macro="" textlink="">
            <xdr:nvSpPr>
              <xdr:cNvPr id="288772" name="Drop Down 4" hidden="1">
                <a:extLst>
                  <a:ext uri="{63B3BB69-23CF-44E3-9099-C40C66FF867C}">
                    <a14:compatExt spid="_x0000_s288772"/>
                  </a:ext>
                  <a:ext uri="{FF2B5EF4-FFF2-40B4-BE49-F238E27FC236}">
                    <a16:creationId xmlns:a16="http://schemas.microsoft.com/office/drawing/2014/main" id="{00000000-0008-0000-0A00-000004680400}"/>
                  </a:ext>
                </a:extLst>
              </xdr:cNvPr>
              <xdr:cNvSpPr/>
            </xdr:nvSpPr>
            <xdr:spPr bwMode="auto">
              <a:xfrm>
                <a:off x="2075099" y="635000"/>
                <a:ext cx="1388732" cy="196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1" name="Text Box 10">
            <a:extLst>
              <a:ext uri="{FF2B5EF4-FFF2-40B4-BE49-F238E27FC236}">
                <a16:creationId xmlns:a16="http://schemas.microsoft.com/office/drawing/2014/main" id="{00000000-0008-0000-0A00-00001F000000}"/>
              </a:ext>
            </a:extLst>
          </xdr:cNvPr>
          <xdr:cNvSpPr txBox="1">
            <a:spLocks noChangeArrowheads="1"/>
          </xdr:cNvSpPr>
        </xdr:nvSpPr>
        <xdr:spPr bwMode="auto">
          <a:xfrm>
            <a:off x="150341" y="613164"/>
            <a:ext cx="1853612"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uma região NUTS II</a:t>
            </a:r>
            <a:endParaRPr lang="en-US" altLang="pt-PT" sz="1200" b="1">
              <a:solidFill>
                <a:schemeClr val="bg1"/>
              </a:solidFill>
              <a:latin typeface="Arial" charset="0"/>
            </a:endParaRPr>
          </a:p>
        </xdr:txBody>
      </xdr:sp>
    </xdr:grpSp>
    <xdr:clientData/>
  </xdr:twoCellAnchor>
  <xdr:twoCellAnchor>
    <xdr:from>
      <xdr:col>0</xdr:col>
      <xdr:colOff>88900</xdr:colOff>
      <xdr:row>10</xdr:row>
      <xdr:rowOff>120650</xdr:rowOff>
    </xdr:from>
    <xdr:to>
      <xdr:col>7</xdr:col>
      <xdr:colOff>275050</xdr:colOff>
      <xdr:row>26</xdr:row>
      <xdr:rowOff>41550</xdr:rowOff>
    </xdr:to>
    <xdr:grpSp>
      <xdr:nvGrpSpPr>
        <xdr:cNvPr id="32" name="Agrupar 31">
          <a:extLst>
            <a:ext uri="{FF2B5EF4-FFF2-40B4-BE49-F238E27FC236}">
              <a16:creationId xmlns:a16="http://schemas.microsoft.com/office/drawing/2014/main" id="{00000000-0008-0000-0A00-000020000000}"/>
            </a:ext>
          </a:extLst>
        </xdr:cNvPr>
        <xdr:cNvGrpSpPr/>
      </xdr:nvGrpSpPr>
      <xdr:grpSpPr>
        <a:xfrm>
          <a:off x="88900" y="2073275"/>
          <a:ext cx="4119975" cy="2968900"/>
          <a:chOff x="36182300" y="8426450"/>
          <a:chExt cx="4819650" cy="2597244"/>
        </a:xfrm>
      </xdr:grpSpPr>
      <xdr:graphicFrame macro="">
        <xdr:nvGraphicFramePr>
          <xdr:cNvPr id="33" name="Gráfico 32">
            <a:extLst>
              <a:ext uri="{FF2B5EF4-FFF2-40B4-BE49-F238E27FC236}">
                <a16:creationId xmlns:a16="http://schemas.microsoft.com/office/drawing/2014/main" id="{00000000-0008-0000-0A00-000021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34" name="CaixaDeTexto 33">
            <a:extLst>
              <a:ext uri="{FF2B5EF4-FFF2-40B4-BE49-F238E27FC236}">
                <a16:creationId xmlns:a16="http://schemas.microsoft.com/office/drawing/2014/main" id="{00000000-0008-0000-0A00-000022000000}"/>
              </a:ext>
            </a:extLst>
          </xdr:cNvPr>
          <xdr:cNvSpPr txBox="1"/>
        </xdr:nvSpPr>
        <xdr:spPr>
          <a:xfrm>
            <a:off x="39836722" y="8902700"/>
            <a:ext cx="913867"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35" name="CaixaDeTexto 34">
            <a:extLst>
              <a:ext uri="{FF2B5EF4-FFF2-40B4-BE49-F238E27FC236}">
                <a16:creationId xmlns:a16="http://schemas.microsoft.com/office/drawing/2014/main" id="{00000000-0008-0000-0A00-000023000000}"/>
              </a:ext>
            </a:extLst>
          </xdr:cNvPr>
          <xdr:cNvSpPr txBox="1"/>
        </xdr:nvSpPr>
        <xdr:spPr>
          <a:xfrm>
            <a:off x="39833549" y="9721850"/>
            <a:ext cx="91349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4_8_12_16_25_36_Fig!$AF$7">
        <xdr:nvSpPr>
          <xdr:cNvPr id="36" name="CaixaDeTexto 35">
            <a:extLst>
              <a:ext uri="{FF2B5EF4-FFF2-40B4-BE49-F238E27FC236}">
                <a16:creationId xmlns:a16="http://schemas.microsoft.com/office/drawing/2014/main" id="{00000000-0008-0000-0A00-000024000000}"/>
              </a:ext>
            </a:extLst>
          </xdr:cNvPr>
          <xdr:cNvSpPr txBox="1"/>
        </xdr:nvSpPr>
        <xdr:spPr>
          <a:xfrm>
            <a:off x="39839898" y="9994900"/>
            <a:ext cx="913867"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F3DE539-7A98-45D5-8330-81D027DC3BE6}" type="TxLink">
              <a:rPr lang="en-US" sz="1000" b="1" i="0" u="none" strike="noStrike">
                <a:solidFill>
                  <a:schemeClr val="bg1"/>
                </a:solidFill>
                <a:latin typeface="Arial"/>
                <a:ea typeface="+mn-ea"/>
                <a:cs typeface="Arial"/>
              </a:rPr>
              <a:pPr marL="0" indent="0" algn="ctr"/>
              <a:t>8,5%</a:t>
            </a:fld>
            <a:endParaRPr lang="pt-PT" sz="1000" b="1" i="0" u="none" strike="noStrike">
              <a:solidFill>
                <a:schemeClr val="bg1"/>
              </a:solidFill>
              <a:latin typeface="+mn-lt"/>
              <a:ea typeface="+mn-ea"/>
              <a:cs typeface="Arial"/>
            </a:endParaRPr>
          </a:p>
        </xdr:txBody>
      </xdr:sp>
      <xdr:sp macro="" textlink="q4_8_12_16_25_36_Fig!$AF$6">
        <xdr:nvSpPr>
          <xdr:cNvPr id="37" name="CaixaDeTexto 36">
            <a:extLst>
              <a:ext uri="{FF2B5EF4-FFF2-40B4-BE49-F238E27FC236}">
                <a16:creationId xmlns:a16="http://schemas.microsoft.com/office/drawing/2014/main" id="{00000000-0008-0000-0A00-000025000000}"/>
              </a:ext>
            </a:extLst>
          </xdr:cNvPr>
          <xdr:cNvSpPr txBox="1"/>
        </xdr:nvSpPr>
        <xdr:spPr>
          <a:xfrm>
            <a:off x="39839898" y="9201150"/>
            <a:ext cx="913867"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D787330-1778-4D91-88C1-A0718C0264B1}" type="TxLink">
              <a:rPr lang="en-US" sz="1000" b="1" i="0" u="none" strike="noStrike">
                <a:solidFill>
                  <a:schemeClr val="bg1"/>
                </a:solidFill>
                <a:latin typeface="Arial"/>
                <a:cs typeface="Arial"/>
              </a:rPr>
              <a:pPr algn="ctr"/>
              <a:t>11,0%</a:t>
            </a:fld>
            <a:endParaRPr lang="pt-PT" sz="1000" b="1">
              <a:solidFill>
                <a:schemeClr val="bg1"/>
              </a:solidFill>
              <a:latin typeface="+mn-lt"/>
            </a:endParaRPr>
          </a:p>
        </xdr:txBody>
      </xdr:sp>
    </xdr:grpSp>
    <xdr:clientData/>
  </xdr:twoCellAnchor>
  <xdr:twoCellAnchor>
    <xdr:from>
      <xdr:col>8</xdr:col>
      <xdr:colOff>47625</xdr:colOff>
      <xdr:row>10</xdr:row>
      <xdr:rowOff>133350</xdr:rowOff>
    </xdr:from>
    <xdr:to>
      <xdr:col>15</xdr:col>
      <xdr:colOff>249650</xdr:colOff>
      <xdr:row>26</xdr:row>
      <xdr:rowOff>54250</xdr:rowOff>
    </xdr:to>
    <xdr:grpSp>
      <xdr:nvGrpSpPr>
        <xdr:cNvPr id="43" name="Agrupar 42">
          <a:extLst>
            <a:ext uri="{FF2B5EF4-FFF2-40B4-BE49-F238E27FC236}">
              <a16:creationId xmlns:a16="http://schemas.microsoft.com/office/drawing/2014/main" id="{00000000-0008-0000-0A00-00002B000000}"/>
            </a:ext>
          </a:extLst>
        </xdr:cNvPr>
        <xdr:cNvGrpSpPr/>
      </xdr:nvGrpSpPr>
      <xdr:grpSpPr>
        <a:xfrm>
          <a:off x="4543425" y="2085975"/>
          <a:ext cx="4097750" cy="2968900"/>
          <a:chOff x="36182300" y="8426450"/>
          <a:chExt cx="4819650" cy="2597244"/>
        </a:xfrm>
      </xdr:grpSpPr>
      <xdr:graphicFrame macro="">
        <xdr:nvGraphicFramePr>
          <xdr:cNvPr id="44" name="Gráfico 43">
            <a:extLst>
              <a:ext uri="{FF2B5EF4-FFF2-40B4-BE49-F238E27FC236}">
                <a16:creationId xmlns:a16="http://schemas.microsoft.com/office/drawing/2014/main" id="{00000000-0008-0000-0A00-00002C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45" name="CaixaDeTexto 44">
            <a:extLst>
              <a:ext uri="{FF2B5EF4-FFF2-40B4-BE49-F238E27FC236}">
                <a16:creationId xmlns:a16="http://schemas.microsoft.com/office/drawing/2014/main" id="{00000000-0008-0000-0A00-00002D000000}"/>
              </a:ext>
            </a:extLst>
          </xdr:cNvPr>
          <xdr:cNvSpPr txBox="1"/>
        </xdr:nvSpPr>
        <xdr:spPr>
          <a:xfrm>
            <a:off x="39836724" y="8902700"/>
            <a:ext cx="918824"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46" name="CaixaDeTexto 45">
            <a:extLst>
              <a:ext uri="{FF2B5EF4-FFF2-40B4-BE49-F238E27FC236}">
                <a16:creationId xmlns:a16="http://schemas.microsoft.com/office/drawing/2014/main" id="{00000000-0008-0000-0A00-00002E000000}"/>
              </a:ext>
            </a:extLst>
          </xdr:cNvPr>
          <xdr:cNvSpPr txBox="1"/>
        </xdr:nvSpPr>
        <xdr:spPr>
          <a:xfrm>
            <a:off x="39833550" y="9721850"/>
            <a:ext cx="918824"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4_8_12_16_25_36_Fig!$AF$39">
        <xdr:nvSpPr>
          <xdr:cNvPr id="47" name="CaixaDeTexto 46">
            <a:extLst>
              <a:ext uri="{FF2B5EF4-FFF2-40B4-BE49-F238E27FC236}">
                <a16:creationId xmlns:a16="http://schemas.microsoft.com/office/drawing/2014/main" id="{00000000-0008-0000-0A00-00002F000000}"/>
              </a:ext>
            </a:extLst>
          </xdr:cNvPr>
          <xdr:cNvSpPr txBox="1"/>
        </xdr:nvSpPr>
        <xdr:spPr>
          <a:xfrm>
            <a:off x="39839899" y="9994900"/>
            <a:ext cx="918824"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60AEEEB-B220-408C-9D25-033D671B24AA}" type="TxLink">
              <a:rPr lang="en-US" sz="1000" b="1" i="0" u="none" strike="noStrike">
                <a:solidFill>
                  <a:schemeClr val="bg1"/>
                </a:solidFill>
                <a:latin typeface="Arial"/>
                <a:ea typeface="+mn-ea"/>
                <a:cs typeface="Arial"/>
              </a:rPr>
              <a:pPr marL="0" indent="0" algn="ctr"/>
              <a:t>41,5%</a:t>
            </a:fld>
            <a:endParaRPr lang="pt-PT" sz="1000" b="1" i="0" u="none" strike="noStrike">
              <a:solidFill>
                <a:schemeClr val="bg1"/>
              </a:solidFill>
              <a:latin typeface="+mn-lt"/>
              <a:ea typeface="+mn-ea"/>
              <a:cs typeface="Arial"/>
            </a:endParaRPr>
          </a:p>
        </xdr:txBody>
      </xdr:sp>
      <xdr:sp macro="" textlink="q4_8_12_16_25_36_Fig!$AF$38">
        <xdr:nvSpPr>
          <xdr:cNvPr id="48" name="CaixaDeTexto 47">
            <a:extLst>
              <a:ext uri="{FF2B5EF4-FFF2-40B4-BE49-F238E27FC236}">
                <a16:creationId xmlns:a16="http://schemas.microsoft.com/office/drawing/2014/main" id="{00000000-0008-0000-0A00-000030000000}"/>
              </a:ext>
            </a:extLst>
          </xdr:cNvPr>
          <xdr:cNvSpPr txBox="1"/>
        </xdr:nvSpPr>
        <xdr:spPr>
          <a:xfrm>
            <a:off x="39839900" y="9201150"/>
            <a:ext cx="918824"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25F6D9-4EE6-4448-9CF6-5354ABD18DA3}" type="TxLink">
              <a:rPr lang="en-US" sz="1000" b="1" i="0" u="none" strike="noStrike">
                <a:solidFill>
                  <a:schemeClr val="bg1"/>
                </a:solidFill>
                <a:latin typeface="Arial"/>
                <a:cs typeface="Arial"/>
              </a:rPr>
              <a:pPr algn="ctr"/>
              <a:t>40,0%</a:t>
            </a:fld>
            <a:endParaRPr lang="pt-PT" sz="1000" b="1">
              <a:solidFill>
                <a:schemeClr val="bg1"/>
              </a:solidFill>
              <a:latin typeface="+mn-lt"/>
            </a:endParaRPr>
          </a:p>
        </xdr:txBody>
      </xdr:sp>
    </xdr:grpSp>
    <xdr:clientData/>
  </xdr:twoCellAnchor>
  <xdr:twoCellAnchor>
    <xdr:from>
      <xdr:col>15</xdr:col>
      <xdr:colOff>419100</xdr:colOff>
      <xdr:row>11</xdr:row>
      <xdr:rowOff>57147</xdr:rowOff>
    </xdr:from>
    <xdr:to>
      <xdr:col>22</xdr:col>
      <xdr:colOff>471900</xdr:colOff>
      <xdr:row>26</xdr:row>
      <xdr:rowOff>76197</xdr:rowOff>
    </xdr:to>
    <xdr:grpSp>
      <xdr:nvGrpSpPr>
        <xdr:cNvPr id="49" name="Agrupar 48">
          <a:extLst>
            <a:ext uri="{FF2B5EF4-FFF2-40B4-BE49-F238E27FC236}">
              <a16:creationId xmlns:a16="http://schemas.microsoft.com/office/drawing/2014/main" id="{00000000-0008-0000-0A00-000031000000}"/>
            </a:ext>
          </a:extLst>
        </xdr:cNvPr>
        <xdr:cNvGrpSpPr/>
      </xdr:nvGrpSpPr>
      <xdr:grpSpPr>
        <a:xfrm>
          <a:off x="8810625" y="2200272"/>
          <a:ext cx="4119975" cy="2876550"/>
          <a:chOff x="36182300" y="8426450"/>
          <a:chExt cx="4819650" cy="2597244"/>
        </a:xfrm>
      </xdr:grpSpPr>
      <xdr:graphicFrame macro="">
        <xdr:nvGraphicFramePr>
          <xdr:cNvPr id="50" name="Gráfico 49">
            <a:extLst>
              <a:ext uri="{FF2B5EF4-FFF2-40B4-BE49-F238E27FC236}">
                <a16:creationId xmlns:a16="http://schemas.microsoft.com/office/drawing/2014/main" id="{00000000-0008-0000-0A00-000032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51" name="CaixaDeTexto 50">
            <a:extLst>
              <a:ext uri="{FF2B5EF4-FFF2-40B4-BE49-F238E27FC236}">
                <a16:creationId xmlns:a16="http://schemas.microsoft.com/office/drawing/2014/main" id="{00000000-0008-0000-0A00-000033000000}"/>
              </a:ext>
            </a:extLst>
          </xdr:cNvPr>
          <xdr:cNvSpPr txBox="1"/>
        </xdr:nvSpPr>
        <xdr:spPr>
          <a:xfrm>
            <a:off x="39836724" y="890270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52" name="CaixaDeTexto 51">
            <a:extLst>
              <a:ext uri="{FF2B5EF4-FFF2-40B4-BE49-F238E27FC236}">
                <a16:creationId xmlns:a16="http://schemas.microsoft.com/office/drawing/2014/main" id="{00000000-0008-0000-0A00-000034000000}"/>
              </a:ext>
            </a:extLst>
          </xdr:cNvPr>
          <xdr:cNvSpPr txBox="1"/>
        </xdr:nvSpPr>
        <xdr:spPr>
          <a:xfrm>
            <a:off x="39833549" y="972185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4_8_12_16_25_36_Fig!$AF$73">
        <xdr:nvSpPr>
          <xdr:cNvPr id="53" name="CaixaDeTexto 52">
            <a:extLst>
              <a:ext uri="{FF2B5EF4-FFF2-40B4-BE49-F238E27FC236}">
                <a16:creationId xmlns:a16="http://schemas.microsoft.com/office/drawing/2014/main" id="{00000000-0008-0000-0A00-000035000000}"/>
              </a:ext>
            </a:extLst>
          </xdr:cNvPr>
          <xdr:cNvSpPr txBox="1"/>
        </xdr:nvSpPr>
        <xdr:spPr>
          <a:xfrm>
            <a:off x="39839897" y="9994900"/>
            <a:ext cx="913867" cy="266537"/>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FE65740-4B2E-4268-BA56-C86EFD2798EC}" type="TxLink">
              <a:rPr lang="en-US" sz="1000" b="1" i="0" u="none" strike="noStrike">
                <a:solidFill>
                  <a:schemeClr val="bg1"/>
                </a:solidFill>
                <a:latin typeface="Arial"/>
                <a:ea typeface="+mn-ea"/>
                <a:cs typeface="Arial"/>
              </a:rPr>
              <a:pPr marL="0" indent="0" algn="ctr"/>
              <a:t>27,3%</a:t>
            </a:fld>
            <a:endParaRPr lang="pt-PT" sz="1000" b="1" i="0" u="none" strike="noStrike">
              <a:solidFill>
                <a:schemeClr val="bg1"/>
              </a:solidFill>
              <a:latin typeface="+mn-lt"/>
              <a:ea typeface="+mn-ea"/>
              <a:cs typeface="Arial"/>
            </a:endParaRPr>
          </a:p>
        </xdr:txBody>
      </xdr:sp>
      <xdr:sp macro="" textlink="q4_8_12_16_25_36_Fig!$AF$72">
        <xdr:nvSpPr>
          <xdr:cNvPr id="54" name="CaixaDeTexto 53">
            <a:extLst>
              <a:ext uri="{FF2B5EF4-FFF2-40B4-BE49-F238E27FC236}">
                <a16:creationId xmlns:a16="http://schemas.microsoft.com/office/drawing/2014/main" id="{00000000-0008-0000-0A00-000036000000}"/>
              </a:ext>
            </a:extLst>
          </xdr:cNvPr>
          <xdr:cNvSpPr txBox="1"/>
        </xdr:nvSpPr>
        <xdr:spPr>
          <a:xfrm>
            <a:off x="39839901" y="9201150"/>
            <a:ext cx="913867" cy="26653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B6FDA-8F00-4469-98B0-46A1AD92D302}" type="TxLink">
              <a:rPr lang="en-US" sz="1000" b="1" i="0" u="none" strike="noStrike">
                <a:solidFill>
                  <a:schemeClr val="bg1"/>
                </a:solidFill>
                <a:latin typeface="Arial"/>
                <a:cs typeface="Arial"/>
              </a:rPr>
              <a:pPr algn="ctr"/>
              <a:t>27,2%</a:t>
            </a:fld>
            <a:endParaRPr lang="pt-PT" sz="1000" b="1">
              <a:solidFill>
                <a:schemeClr val="bg1"/>
              </a:solidFill>
              <a:latin typeface="+mn-lt"/>
            </a:endParaRPr>
          </a:p>
        </xdr:txBody>
      </xdr:sp>
    </xdr:grpSp>
    <xdr:clientData/>
  </xdr:twoCellAnchor>
  <xdr:twoCellAnchor>
    <xdr:from>
      <xdr:col>0</xdr:col>
      <xdr:colOff>0</xdr:colOff>
      <xdr:row>6</xdr:row>
      <xdr:rowOff>76200</xdr:rowOff>
    </xdr:from>
    <xdr:to>
      <xdr:col>7</xdr:col>
      <xdr:colOff>373350</xdr:colOff>
      <xdr:row>10</xdr:row>
      <xdr:rowOff>46900</xdr:rowOff>
    </xdr:to>
    <xdr:sp macro="" textlink="q4_8_12_16_25_36_Fig!$AD$13">
      <xdr:nvSpPr>
        <xdr:cNvPr id="65" name="CaixaDeTexto 64">
          <a:extLst>
            <a:ext uri="{FF2B5EF4-FFF2-40B4-BE49-F238E27FC236}">
              <a16:creationId xmlns:a16="http://schemas.microsoft.com/office/drawing/2014/main" id="{00000000-0008-0000-0A00-000041000000}"/>
            </a:ext>
          </a:extLst>
        </xdr:cNvPr>
        <xdr:cNvSpPr txBox="1"/>
      </xdr:nvSpPr>
      <xdr:spPr>
        <a:xfrm>
          <a:off x="0" y="1266825"/>
          <a:ext cx="4307175"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CC27F40-6CB2-4225-BDD6-339908AF6D74}" type="TxLink">
            <a:rPr lang="en-US" sz="1000" b="1" i="0" u="none" strike="noStrike">
              <a:solidFill>
                <a:srgbClr val="17375E"/>
              </a:solidFill>
              <a:latin typeface="Calibri"/>
              <a:cs typeface="Calibri"/>
            </a:rPr>
            <a:pPr algn="l"/>
            <a:t>2023:
A região Grande Lisboa era a sede de 59.573 empresas (variação de 11% face a 2013, ou seja, mais 5.888) e era a localização de 70.104 estabelecimentos (variação de 8,5% face a 2013, ou seja, mais 5.517).</a:t>
          </a:fld>
          <a:endParaRPr lang="pt-PT" sz="1000" b="1">
            <a:solidFill>
              <a:srgbClr val="17375E"/>
            </a:solidFill>
            <a:latin typeface="+mn-lt"/>
          </a:endParaRPr>
        </a:p>
      </xdr:txBody>
    </xdr:sp>
    <xdr:clientData/>
  </xdr:twoCellAnchor>
  <xdr:twoCellAnchor>
    <xdr:from>
      <xdr:col>7</xdr:col>
      <xdr:colOff>425450</xdr:colOff>
      <xdr:row>6</xdr:row>
      <xdr:rowOff>88900</xdr:rowOff>
    </xdr:from>
    <xdr:to>
      <xdr:col>15</xdr:col>
      <xdr:colOff>252700</xdr:colOff>
      <xdr:row>10</xdr:row>
      <xdr:rowOff>59600</xdr:rowOff>
    </xdr:to>
    <xdr:sp macro="" textlink="q4_8_12_16_25_36_Fig!$AD$45">
      <xdr:nvSpPr>
        <xdr:cNvPr id="66" name="CaixaDeTexto 65">
          <a:extLst>
            <a:ext uri="{FF2B5EF4-FFF2-40B4-BE49-F238E27FC236}">
              <a16:creationId xmlns:a16="http://schemas.microsoft.com/office/drawing/2014/main" id="{00000000-0008-0000-0A00-000042000000}"/>
            </a:ext>
          </a:extLst>
        </xdr:cNvPr>
        <xdr:cNvSpPr txBox="1"/>
      </xdr:nvSpPr>
      <xdr:spPr>
        <a:xfrm>
          <a:off x="4359275" y="1279525"/>
          <a:ext cx="4284950"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9490F4A-3DAE-40A0-851F-070C7E3D07FE}" type="TxLink">
            <a:rPr lang="en-US" sz="1000" b="1" i="0" u="none" strike="noStrike">
              <a:solidFill>
                <a:srgbClr val="17375E"/>
              </a:solidFill>
              <a:latin typeface="Calibri"/>
              <a:cs typeface="Calibri"/>
            </a:rPr>
            <a:pPr algn="l"/>
            <a:t>2023:
As empresas da região Grande Lisboa tinham ao seu serviço 969.558 pessoas (variação de 40% face a 2013, ou seja, mais 276.854) e tinham 928.991 TCO (variação de 41,5% face a 2013, ou seja, mais 272.421).</a:t>
          </a:fld>
          <a:endParaRPr lang="pt-PT" sz="1000" b="1">
            <a:solidFill>
              <a:srgbClr val="17375E"/>
            </a:solidFill>
            <a:latin typeface="+mn-lt"/>
          </a:endParaRPr>
        </a:p>
      </xdr:txBody>
    </xdr:sp>
    <xdr:clientData/>
  </xdr:twoCellAnchor>
  <xdr:twoCellAnchor>
    <xdr:from>
      <xdr:col>15</xdr:col>
      <xdr:colOff>317500</xdr:colOff>
      <xdr:row>6</xdr:row>
      <xdr:rowOff>82550</xdr:rowOff>
    </xdr:from>
    <xdr:to>
      <xdr:col>22</xdr:col>
      <xdr:colOff>558800</xdr:colOff>
      <xdr:row>11</xdr:row>
      <xdr:rowOff>31750</xdr:rowOff>
    </xdr:to>
    <xdr:sp macro="" textlink="q4_8_12_16_25_36_Fig!$AD$79">
      <xdr:nvSpPr>
        <xdr:cNvPr id="67" name="CaixaDeTexto 66">
          <a:extLst>
            <a:ext uri="{FF2B5EF4-FFF2-40B4-BE49-F238E27FC236}">
              <a16:creationId xmlns:a16="http://schemas.microsoft.com/office/drawing/2014/main" id="{00000000-0008-0000-0A00-000043000000}"/>
            </a:ext>
          </a:extLst>
        </xdr:cNvPr>
        <xdr:cNvSpPr txBox="1"/>
      </xdr:nvSpPr>
      <xdr:spPr>
        <a:xfrm>
          <a:off x="8699500" y="1278467"/>
          <a:ext cx="4315883" cy="901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F338969-1A60-4888-B0D6-2FA99FBDD122}" type="TxLink">
            <a:rPr lang="en-US" sz="1000" b="1" i="0" u="none" strike="noStrike">
              <a:solidFill>
                <a:srgbClr val="17375E"/>
              </a:solidFill>
              <a:latin typeface="Calibri"/>
              <a:cs typeface="Calibri"/>
            </a:rPr>
            <a:pPr algn="l"/>
            <a:t>2023:
Na regiãoGrande Lisboa a remuneração média mensal base era de 1.506 euros (variação de 27,2% face a 2013, ou seja, + 321,7 euros) e de 1.817 euros a remuneração média mensal ganho (variação de 27,3% face a 2013, ou seja , + 389,2 euros).</a:t>
          </a:fld>
          <a:endParaRPr lang="pt-PT" sz="1000" b="1">
            <a:solidFill>
              <a:srgbClr val="17375E"/>
            </a:solidFill>
            <a:latin typeface="+mn-lt"/>
          </a:endParaRPr>
        </a:p>
      </xdr:txBody>
    </xdr:sp>
    <xdr:clientData/>
  </xdr:twoCellAnchor>
  <xdr:twoCellAnchor>
    <xdr:from>
      <xdr:col>21</xdr:col>
      <xdr:colOff>26837</xdr:colOff>
      <xdr:row>0</xdr:row>
      <xdr:rowOff>85725</xdr:rowOff>
    </xdr:from>
    <xdr:to>
      <xdr:col>22</xdr:col>
      <xdr:colOff>479328</xdr:colOff>
      <xdr:row>1</xdr:row>
      <xdr:rowOff>132652</xdr:rowOff>
    </xdr:to>
    <xdr:sp macro="" textlink="">
      <xdr:nvSpPr>
        <xdr:cNvPr id="71" name="Text Box 10">
          <a:hlinkClick xmlns:r="http://schemas.openxmlformats.org/officeDocument/2006/relationships" r:id="rId6"/>
          <a:extLst>
            <a:ext uri="{FF2B5EF4-FFF2-40B4-BE49-F238E27FC236}">
              <a16:creationId xmlns:a16="http://schemas.microsoft.com/office/drawing/2014/main" id="{00000000-0008-0000-0A00-000047000000}"/>
            </a:ext>
          </a:extLst>
        </xdr:cNvPr>
        <xdr:cNvSpPr txBox="1">
          <a:spLocks noChangeArrowheads="1"/>
        </xdr:cNvSpPr>
      </xdr:nvSpPr>
      <xdr:spPr bwMode="auto">
        <a:xfrm>
          <a:off x="11904512" y="85725"/>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0</xdr:col>
      <xdr:colOff>85725</xdr:colOff>
      <xdr:row>32</xdr:row>
      <xdr:rowOff>49027</xdr:rowOff>
    </xdr:from>
    <xdr:to>
      <xdr:col>7</xdr:col>
      <xdr:colOff>428905</xdr:colOff>
      <xdr:row>56</xdr:row>
      <xdr:rowOff>119062</xdr:rowOff>
    </xdr:to>
    <xdr:grpSp>
      <xdr:nvGrpSpPr>
        <xdr:cNvPr id="94" name="Agrupar 93">
          <a:extLst>
            <a:ext uri="{FF2B5EF4-FFF2-40B4-BE49-F238E27FC236}">
              <a16:creationId xmlns:a16="http://schemas.microsoft.com/office/drawing/2014/main" id="{00000000-0008-0000-0A00-00005E000000}"/>
            </a:ext>
          </a:extLst>
        </xdr:cNvPr>
        <xdr:cNvGrpSpPr/>
      </xdr:nvGrpSpPr>
      <xdr:grpSpPr>
        <a:xfrm>
          <a:off x="85725" y="6192652"/>
          <a:ext cx="4277005" cy="4642035"/>
          <a:chOff x="28561888" y="7200898"/>
          <a:chExt cx="5383746" cy="4611462"/>
        </a:xfrm>
      </xdr:grpSpPr>
      <xdr:grpSp>
        <xdr:nvGrpSpPr>
          <xdr:cNvPr id="95" name="Agrupar 94">
            <a:extLst>
              <a:ext uri="{FF2B5EF4-FFF2-40B4-BE49-F238E27FC236}">
                <a16:creationId xmlns:a16="http://schemas.microsoft.com/office/drawing/2014/main" id="{00000000-0008-0000-0A00-00005F000000}"/>
              </a:ext>
            </a:extLst>
          </xdr:cNvPr>
          <xdr:cNvGrpSpPr/>
        </xdr:nvGrpSpPr>
        <xdr:grpSpPr>
          <a:xfrm>
            <a:off x="30577059" y="7200898"/>
            <a:ext cx="3368575" cy="4368645"/>
            <a:chOff x="30803162" y="7231324"/>
            <a:chExt cx="3364246" cy="4315203"/>
          </a:xfrm>
          <a:solidFill>
            <a:schemeClr val="bg1"/>
          </a:solidFill>
        </xdr:grpSpPr>
        <xdr:grpSp>
          <xdr:nvGrpSpPr>
            <xdr:cNvPr id="97" name="Agrupar 96">
              <a:extLst>
                <a:ext uri="{FF2B5EF4-FFF2-40B4-BE49-F238E27FC236}">
                  <a16:creationId xmlns:a16="http://schemas.microsoft.com/office/drawing/2014/main" id="{00000000-0008-0000-0A00-000061000000}"/>
                </a:ext>
              </a:extLst>
            </xdr:cNvPr>
            <xdr:cNvGrpSpPr/>
          </xdr:nvGrpSpPr>
          <xdr:grpSpPr>
            <a:xfrm>
              <a:off x="30803162" y="7422149"/>
              <a:ext cx="3364246" cy="4124378"/>
              <a:chOff x="14530245" y="132576"/>
              <a:chExt cx="5450221" cy="7645400"/>
            </a:xfrm>
            <a:grpFill/>
          </xdr:grpSpPr>
          <xdr:pic>
            <xdr:nvPicPr>
              <xdr:cNvPr id="105" name="Imagem 104" descr="2024">
                <a:extLst>
                  <a:ext uri="{FF2B5EF4-FFF2-40B4-BE49-F238E27FC236}">
                    <a16:creationId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BEBA8EAE-BF5A-486C-A8C5-ECC9F3942E4B}">
                    <a14:imgProps xmlns:a14="http://schemas.microsoft.com/office/drawing/2010/main">
                      <a14:imgLayer r:embed="rId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530245" y="132576"/>
                <a:ext cx="5450221" cy="7645400"/>
              </a:xfrm>
              <a:prstGeom prst="rect">
                <a:avLst/>
              </a:prstGeom>
              <a:grpFill/>
              <a:extLst/>
            </xdr:spPr>
          </xdr:pic>
          <xdr:sp macro="" textlink="">
            <xdr:nvSpPr>
              <xdr:cNvPr id="106" name="Retângulo 105">
                <a:extLst>
                  <a:ext uri="{FF2B5EF4-FFF2-40B4-BE49-F238E27FC236}">
                    <a16:creationId xmlns:a16="http://schemas.microsoft.com/office/drawing/2014/main" id="{00000000-0008-0000-0A00-00006A000000}"/>
                  </a:ext>
                </a:extLst>
              </xdr:cNvPr>
              <xdr:cNvSpPr/>
            </xdr:nvSpPr>
            <xdr:spPr>
              <a:xfrm>
                <a:off x="14723711" y="830833"/>
                <a:ext cx="1838325" cy="158115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07" name="Retângulo 106">
                <a:extLst>
                  <a:ext uri="{FF2B5EF4-FFF2-40B4-BE49-F238E27FC236}">
                    <a16:creationId xmlns:a16="http://schemas.microsoft.com/office/drawing/2014/main" id="{00000000-0008-0000-0A00-00006B000000}"/>
                  </a:ext>
                </a:extLst>
              </xdr:cNvPr>
              <xdr:cNvSpPr/>
            </xdr:nvSpPr>
            <xdr:spPr>
              <a:xfrm>
                <a:off x="14825594" y="6227848"/>
                <a:ext cx="1465935" cy="134144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98" name="Gráfico 97">
              <a:extLst>
                <a:ext uri="{FF2B5EF4-FFF2-40B4-BE49-F238E27FC236}">
                  <a16:creationId xmlns:a16="http://schemas.microsoft.com/office/drawing/2014/main" id="{00000000-0008-0000-0A00-000062000000}"/>
                </a:ext>
              </a:extLst>
            </xdr:cNvPr>
            <xdr:cNvGraphicFramePr/>
          </xdr:nvGraphicFramePr>
          <xdr:xfrm>
            <a:off x="32114942" y="7231324"/>
            <a:ext cx="756000" cy="1194648"/>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99" name="Gráfico 98">
              <a:extLst>
                <a:ext uri="{FF2B5EF4-FFF2-40B4-BE49-F238E27FC236}">
                  <a16:creationId xmlns:a16="http://schemas.microsoft.com/office/drawing/2014/main" id="{00000000-0008-0000-0A00-000063000000}"/>
                </a:ext>
              </a:extLst>
            </xdr:cNvPr>
            <xdr:cNvGraphicFramePr>
              <a:graphicFrameLocks/>
            </xdr:cNvGraphicFramePr>
          </xdr:nvGraphicFramePr>
          <xdr:xfrm>
            <a:off x="32867357" y="7811507"/>
            <a:ext cx="756000" cy="1265757"/>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00" name="Gráfico 99">
              <a:extLst>
                <a:ext uri="{FF2B5EF4-FFF2-40B4-BE49-F238E27FC236}">
                  <a16:creationId xmlns:a16="http://schemas.microsoft.com/office/drawing/2014/main" id="{00000000-0008-0000-0A00-000064000000}"/>
                </a:ext>
              </a:extLst>
            </xdr:cNvPr>
            <xdr:cNvGraphicFramePr>
              <a:graphicFrameLocks/>
            </xdr:cNvGraphicFramePr>
          </xdr:nvGraphicFramePr>
          <xdr:xfrm>
            <a:off x="31544838" y="7564654"/>
            <a:ext cx="756000" cy="2258034"/>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01" name="Gráfico 100">
              <a:extLst>
                <a:ext uri="{FF2B5EF4-FFF2-40B4-BE49-F238E27FC236}">
                  <a16:creationId xmlns:a16="http://schemas.microsoft.com/office/drawing/2014/main" id="{00000000-0008-0000-0A00-000065000000}"/>
                </a:ext>
              </a:extLst>
            </xdr:cNvPr>
            <xdr:cNvGraphicFramePr>
              <a:graphicFrameLocks/>
            </xdr:cNvGraphicFramePr>
          </xdr:nvGraphicFramePr>
          <xdr:xfrm>
            <a:off x="31913459" y="7880509"/>
            <a:ext cx="708375" cy="255373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02" name="Gráfico 101">
              <a:extLst>
                <a:ext uri="{FF2B5EF4-FFF2-40B4-BE49-F238E27FC236}">
                  <a16:creationId xmlns:a16="http://schemas.microsoft.com/office/drawing/2014/main" id="{00000000-0008-0000-0A00-000066000000}"/>
                </a:ext>
              </a:extLst>
            </xdr:cNvPr>
            <xdr:cNvGraphicFramePr>
              <a:graphicFrameLocks/>
            </xdr:cNvGraphicFramePr>
          </xdr:nvGraphicFramePr>
          <xdr:xfrm>
            <a:off x="30880757" y="9132749"/>
            <a:ext cx="756000" cy="1170944"/>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03" name="Gráfico 102">
              <a:extLst>
                <a:ext uri="{FF2B5EF4-FFF2-40B4-BE49-F238E27FC236}">
                  <a16:creationId xmlns:a16="http://schemas.microsoft.com/office/drawing/2014/main" id="{00000000-0008-0000-0A00-000067000000}"/>
                </a:ext>
              </a:extLst>
            </xdr:cNvPr>
            <xdr:cNvGraphicFramePr>
              <a:graphicFrameLocks/>
            </xdr:cNvGraphicFramePr>
          </xdr:nvGraphicFramePr>
          <xdr:xfrm>
            <a:off x="32786969" y="8115722"/>
            <a:ext cx="756000" cy="2641093"/>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04" name="Gráfico 103">
              <a:extLst>
                <a:ext uri="{FF2B5EF4-FFF2-40B4-BE49-F238E27FC236}">
                  <a16:creationId xmlns:a16="http://schemas.microsoft.com/office/drawing/2014/main" id="{00000000-0008-0000-0A00-000068000000}"/>
                </a:ext>
              </a:extLst>
            </xdr:cNvPr>
            <xdr:cNvGraphicFramePr>
              <a:graphicFrameLocks/>
            </xdr:cNvGraphicFramePr>
          </xdr:nvGraphicFramePr>
          <xdr:xfrm>
            <a:off x="32748992" y="9238020"/>
            <a:ext cx="756000" cy="2216038"/>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96" name="Gráfico 95">
            <a:extLst>
              <a:ext uri="{FF2B5EF4-FFF2-40B4-BE49-F238E27FC236}">
                <a16:creationId xmlns:a16="http://schemas.microsoft.com/office/drawing/2014/main" id="{00000000-0008-0000-0A00-000060000000}"/>
              </a:ext>
            </a:extLst>
          </xdr:cNvPr>
          <xdr:cNvGraphicFramePr/>
        </xdr:nvGraphicFramePr>
        <xdr:xfrm>
          <a:off x="28561888" y="7335610"/>
          <a:ext cx="2902775" cy="447675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8</xdr:col>
      <xdr:colOff>214784</xdr:colOff>
      <xdr:row>25</xdr:row>
      <xdr:rowOff>102720</xdr:rowOff>
    </xdr:from>
    <xdr:to>
      <xdr:col>15</xdr:col>
      <xdr:colOff>173191</xdr:colOff>
      <xdr:row>28</xdr:row>
      <xdr:rowOff>30684</xdr:rowOff>
    </xdr:to>
    <xdr:grpSp>
      <xdr:nvGrpSpPr>
        <xdr:cNvPr id="5" name="Agrupar 4">
          <a:extLst>
            <a:ext uri="{FF2B5EF4-FFF2-40B4-BE49-F238E27FC236}">
              <a16:creationId xmlns:a16="http://schemas.microsoft.com/office/drawing/2014/main" id="{00000000-0008-0000-0A00-000005000000}"/>
            </a:ext>
          </a:extLst>
        </xdr:cNvPr>
        <xdr:cNvGrpSpPr/>
      </xdr:nvGrpSpPr>
      <xdr:grpSpPr>
        <a:xfrm>
          <a:off x="4710584" y="4912845"/>
          <a:ext cx="3854132" cy="499464"/>
          <a:chOff x="4595774" y="4832536"/>
          <a:chExt cx="3839462" cy="492334"/>
        </a:xfrm>
      </xdr:grpSpPr>
      <xdr:grpSp>
        <xdr:nvGrpSpPr>
          <xdr:cNvPr id="8" name="Agrupar 7">
            <a:extLst>
              <a:ext uri="{FF2B5EF4-FFF2-40B4-BE49-F238E27FC236}">
                <a16:creationId xmlns:a16="http://schemas.microsoft.com/office/drawing/2014/main" id="{00000000-0008-0000-0A00-000008000000}"/>
              </a:ext>
            </a:extLst>
          </xdr:cNvPr>
          <xdr:cNvGrpSpPr/>
        </xdr:nvGrpSpPr>
        <xdr:grpSpPr>
          <a:xfrm>
            <a:off x="4595774" y="4969291"/>
            <a:ext cx="2250599" cy="210038"/>
            <a:chOff x="5127622" y="4549780"/>
            <a:chExt cx="2051024" cy="241300"/>
          </a:xfrm>
        </xdr:grpSpPr>
        <xdr:sp macro="" textlink="">
          <xdr:nvSpPr>
            <xdr:cNvPr id="10" name="Text Box 10">
              <a:extLst>
                <a:ext uri="{FF2B5EF4-FFF2-40B4-BE49-F238E27FC236}">
                  <a16:creationId xmlns:a16="http://schemas.microsoft.com/office/drawing/2014/main" id="{00000000-0008-0000-0A00-00000A000000}"/>
                </a:ext>
              </a:extLst>
            </xdr:cNvPr>
            <xdr:cNvSpPr txBox="1">
              <a:spLocks noChangeArrowheads="1"/>
            </xdr:cNvSpPr>
          </xdr:nvSpPr>
          <xdr:spPr bwMode="auto">
            <a:xfrm>
              <a:off x="5127622" y="4549780"/>
              <a:ext cx="1346200" cy="241300"/>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288770" name="Drop Down 2" hidden="1">
                  <a:extLst>
                    <a:ext uri="{63B3BB69-23CF-44E3-9099-C40C66FF867C}">
                      <a14:compatExt spid="_x0000_s288770"/>
                    </a:ext>
                    <a:ext uri="{FF2B5EF4-FFF2-40B4-BE49-F238E27FC236}">
                      <a16:creationId xmlns:a16="http://schemas.microsoft.com/office/drawing/2014/main" id="{00000000-0008-0000-0A00-000002680400}"/>
                    </a:ext>
                  </a:extLst>
                </xdr:cNvPr>
                <xdr:cNvSpPr/>
              </xdr:nvSpPr>
              <xdr:spPr bwMode="auto">
                <a:xfrm>
                  <a:off x="6505556" y="4549780"/>
                  <a:ext cx="673090" cy="241201"/>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108" name="Gráfico 107">
            <a:extLst>
              <a:ext uri="{FF2B5EF4-FFF2-40B4-BE49-F238E27FC236}">
                <a16:creationId xmlns:a16="http://schemas.microsoft.com/office/drawing/2014/main" id="{00000000-0008-0000-0A00-00006C000000}"/>
              </a:ext>
            </a:extLst>
          </xdr:cNvPr>
          <xdr:cNvGraphicFramePr>
            <a:graphicFrameLocks/>
          </xdr:cNvGraphicFramePr>
        </xdr:nvGraphicFramePr>
        <xdr:xfrm>
          <a:off x="6947648" y="4832536"/>
          <a:ext cx="1487588" cy="492334"/>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7</xdr:col>
      <xdr:colOff>406211</xdr:colOff>
      <xdr:row>32</xdr:row>
      <xdr:rowOff>154081</xdr:rowOff>
    </xdr:from>
    <xdr:to>
      <xdr:col>15</xdr:col>
      <xdr:colOff>154081</xdr:colOff>
      <xdr:row>56</xdr:row>
      <xdr:rowOff>42022</xdr:rowOff>
    </xdr:to>
    <xdr:grpSp>
      <xdr:nvGrpSpPr>
        <xdr:cNvPr id="109" name="Agrupar 108">
          <a:extLst>
            <a:ext uri="{FF2B5EF4-FFF2-40B4-BE49-F238E27FC236}">
              <a16:creationId xmlns:a16="http://schemas.microsoft.com/office/drawing/2014/main" id="{00000000-0008-0000-0A00-00006D000000}"/>
            </a:ext>
          </a:extLst>
        </xdr:cNvPr>
        <xdr:cNvGrpSpPr/>
      </xdr:nvGrpSpPr>
      <xdr:grpSpPr>
        <a:xfrm>
          <a:off x="4340036" y="6297706"/>
          <a:ext cx="4205570" cy="4459941"/>
          <a:chOff x="39003020" y="7175230"/>
          <a:chExt cx="5483050" cy="5027647"/>
        </a:xfrm>
      </xdr:grpSpPr>
      <xdr:grpSp>
        <xdr:nvGrpSpPr>
          <xdr:cNvPr id="110" name="Agrupar 109">
            <a:extLst>
              <a:ext uri="{FF2B5EF4-FFF2-40B4-BE49-F238E27FC236}">
                <a16:creationId xmlns:a16="http://schemas.microsoft.com/office/drawing/2014/main" id="{00000000-0008-0000-0A00-00006E000000}"/>
              </a:ext>
            </a:extLst>
          </xdr:cNvPr>
          <xdr:cNvGrpSpPr/>
        </xdr:nvGrpSpPr>
        <xdr:grpSpPr>
          <a:xfrm>
            <a:off x="41100177" y="7175230"/>
            <a:ext cx="3385893" cy="4909149"/>
            <a:chOff x="30982191" y="7062130"/>
            <a:chExt cx="3364246" cy="4847719"/>
          </a:xfrm>
          <a:solidFill>
            <a:schemeClr val="bg1"/>
          </a:solidFill>
        </xdr:grpSpPr>
        <xdr:grpSp>
          <xdr:nvGrpSpPr>
            <xdr:cNvPr id="112" name="Agrupar 111">
              <a:extLst>
                <a:ext uri="{FF2B5EF4-FFF2-40B4-BE49-F238E27FC236}">
                  <a16:creationId xmlns:a16="http://schemas.microsoft.com/office/drawing/2014/main" id="{00000000-0008-0000-0A00-000070000000}"/>
                </a:ext>
              </a:extLst>
            </xdr:cNvPr>
            <xdr:cNvGrpSpPr/>
          </xdr:nvGrpSpPr>
          <xdr:grpSpPr>
            <a:xfrm>
              <a:off x="30982191" y="7202194"/>
              <a:ext cx="3364246" cy="4707655"/>
              <a:chOff x="14820280" y="-275157"/>
              <a:chExt cx="5450221" cy="8726627"/>
            </a:xfrm>
            <a:grpFill/>
          </xdr:grpSpPr>
          <xdr:pic>
            <xdr:nvPicPr>
              <xdr:cNvPr id="120" name="Imagem 119" descr="2024">
                <a:extLst>
                  <a:ext uri="{FF2B5EF4-FFF2-40B4-BE49-F238E27FC236}">
                    <a16:creationId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BEBA8EAE-BF5A-486C-A8C5-ECC9F3942E4B}">
                    <a14:imgProps xmlns:a14="http://schemas.microsoft.com/office/drawing/2010/main">
                      <a14:imgLayer r:embed="rId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20280" y="-275157"/>
                <a:ext cx="5450221" cy="8726627"/>
              </a:xfrm>
              <a:prstGeom prst="rect">
                <a:avLst/>
              </a:prstGeom>
              <a:grpFill/>
              <a:extLst/>
            </xdr:spPr>
          </xdr:pic>
          <xdr:sp macro="" textlink="">
            <xdr:nvSpPr>
              <xdr:cNvPr id="121" name="Retângulo 120">
                <a:extLst>
                  <a:ext uri="{FF2B5EF4-FFF2-40B4-BE49-F238E27FC236}">
                    <a16:creationId xmlns:a16="http://schemas.microsoft.com/office/drawing/2014/main" id="{00000000-0008-0000-0A00-000079000000}"/>
                  </a:ext>
                </a:extLst>
              </xdr:cNvPr>
              <xdr:cNvSpPr/>
            </xdr:nvSpPr>
            <xdr:spPr>
              <a:xfrm>
                <a:off x="14991734" y="412538"/>
                <a:ext cx="1838324" cy="1923077"/>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22" name="Retângulo 121">
                <a:extLst>
                  <a:ext uri="{FF2B5EF4-FFF2-40B4-BE49-F238E27FC236}">
                    <a16:creationId xmlns:a16="http://schemas.microsoft.com/office/drawing/2014/main" id="{00000000-0008-0000-0A00-00007A000000}"/>
                  </a:ext>
                </a:extLst>
              </xdr:cNvPr>
              <xdr:cNvSpPr/>
            </xdr:nvSpPr>
            <xdr:spPr>
              <a:xfrm>
                <a:off x="15026381" y="6547476"/>
                <a:ext cx="1465935" cy="162993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113" name="Gráfico 112">
              <a:extLst>
                <a:ext uri="{FF2B5EF4-FFF2-40B4-BE49-F238E27FC236}">
                  <a16:creationId xmlns:a16="http://schemas.microsoft.com/office/drawing/2014/main" id="{00000000-0008-0000-0A00-000071000000}"/>
                </a:ext>
              </a:extLst>
            </xdr:cNvPr>
            <xdr:cNvGraphicFramePr/>
          </xdr:nvGraphicFramePr>
          <xdr:xfrm>
            <a:off x="32311528" y="7202454"/>
            <a:ext cx="756000" cy="1038904"/>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114" name="Gráfico 113">
              <a:extLst>
                <a:ext uri="{FF2B5EF4-FFF2-40B4-BE49-F238E27FC236}">
                  <a16:creationId xmlns:a16="http://schemas.microsoft.com/office/drawing/2014/main" id="{00000000-0008-0000-0A00-000072000000}"/>
                </a:ext>
              </a:extLst>
            </xdr:cNvPr>
            <xdr:cNvGraphicFramePr>
              <a:graphicFrameLocks/>
            </xdr:cNvGraphicFramePr>
          </xdr:nvGraphicFramePr>
          <xdr:xfrm>
            <a:off x="33009617" y="7708303"/>
            <a:ext cx="756000" cy="1265757"/>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115" name="Gráfico 114">
              <a:extLst>
                <a:ext uri="{FF2B5EF4-FFF2-40B4-BE49-F238E27FC236}">
                  <a16:creationId xmlns:a16="http://schemas.microsoft.com/office/drawing/2014/main" id="{00000000-0008-0000-0A00-000073000000}"/>
                </a:ext>
              </a:extLst>
            </xdr:cNvPr>
            <xdr:cNvGraphicFramePr>
              <a:graphicFrameLocks/>
            </xdr:cNvGraphicFramePr>
          </xdr:nvGraphicFramePr>
          <xdr:xfrm>
            <a:off x="31671934" y="7440487"/>
            <a:ext cx="756000" cy="238447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116" name="Gráfico 115">
              <a:extLst>
                <a:ext uri="{FF2B5EF4-FFF2-40B4-BE49-F238E27FC236}">
                  <a16:creationId xmlns:a16="http://schemas.microsoft.com/office/drawing/2014/main" id="{00000000-0008-0000-0A00-000074000000}"/>
                </a:ext>
              </a:extLst>
            </xdr:cNvPr>
            <xdr:cNvGraphicFramePr>
              <a:graphicFrameLocks/>
            </xdr:cNvGraphicFramePr>
          </xdr:nvGraphicFramePr>
          <xdr:xfrm>
            <a:off x="32102011" y="7605982"/>
            <a:ext cx="708375" cy="2967915"/>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117" name="Gráfico 116">
              <a:extLst>
                <a:ext uri="{FF2B5EF4-FFF2-40B4-BE49-F238E27FC236}">
                  <a16:creationId xmlns:a16="http://schemas.microsoft.com/office/drawing/2014/main" id="{00000000-0008-0000-0A00-000075000000}"/>
                </a:ext>
              </a:extLst>
            </xdr:cNvPr>
            <xdr:cNvGraphicFramePr>
              <a:graphicFrameLocks/>
            </xdr:cNvGraphicFramePr>
          </xdr:nvGraphicFramePr>
          <xdr:xfrm>
            <a:off x="31052261" y="9141595"/>
            <a:ext cx="756000" cy="1170944"/>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118" name="Gráfico 117">
              <a:extLst>
                <a:ext uri="{FF2B5EF4-FFF2-40B4-BE49-F238E27FC236}">
                  <a16:creationId xmlns:a16="http://schemas.microsoft.com/office/drawing/2014/main" id="{00000000-0008-0000-0A00-000076000000}"/>
                </a:ext>
              </a:extLst>
            </xdr:cNvPr>
            <xdr:cNvGraphicFramePr>
              <a:graphicFrameLocks/>
            </xdr:cNvGraphicFramePr>
          </xdr:nvGraphicFramePr>
          <xdr:xfrm>
            <a:off x="32966665" y="7062130"/>
            <a:ext cx="756000" cy="3758344"/>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119" name="Gráfico 118">
              <a:extLst>
                <a:ext uri="{FF2B5EF4-FFF2-40B4-BE49-F238E27FC236}">
                  <a16:creationId xmlns:a16="http://schemas.microsoft.com/office/drawing/2014/main" id="{00000000-0008-0000-0A00-000077000000}"/>
                </a:ext>
              </a:extLst>
            </xdr:cNvPr>
            <xdr:cNvGraphicFramePr>
              <a:graphicFrameLocks/>
            </xdr:cNvGraphicFramePr>
          </xdr:nvGraphicFramePr>
          <xdr:xfrm>
            <a:off x="32891323" y="8416787"/>
            <a:ext cx="756000" cy="3146566"/>
          </xdr:xfrm>
          <a:graphic>
            <a:graphicData uri="http://schemas.openxmlformats.org/drawingml/2006/chart">
              <c:chart xmlns:c="http://schemas.openxmlformats.org/drawingml/2006/chart" xmlns:r="http://schemas.openxmlformats.org/officeDocument/2006/relationships" r:id="rId24"/>
            </a:graphicData>
          </a:graphic>
        </xdr:graphicFrame>
      </xdr:grpSp>
      <xdr:graphicFrame macro="">
        <xdr:nvGraphicFramePr>
          <xdr:cNvPr id="111" name="Gráfico 110">
            <a:extLst>
              <a:ext uri="{FF2B5EF4-FFF2-40B4-BE49-F238E27FC236}">
                <a16:creationId xmlns:a16="http://schemas.microsoft.com/office/drawing/2014/main" id="{00000000-0008-0000-0A00-00006F000000}"/>
              </a:ext>
            </a:extLst>
          </xdr:cNvPr>
          <xdr:cNvGraphicFramePr>
            <a:graphicFrameLocks/>
          </xdr:cNvGraphicFramePr>
        </xdr:nvGraphicFramePr>
        <xdr:xfrm>
          <a:off x="39003020" y="7277666"/>
          <a:ext cx="2913290" cy="4925211"/>
        </xdr:xfrm>
        <a:graphic>
          <a:graphicData uri="http://schemas.openxmlformats.org/drawingml/2006/chart">
            <c:chart xmlns:c="http://schemas.openxmlformats.org/drawingml/2006/chart" xmlns:r="http://schemas.openxmlformats.org/officeDocument/2006/relationships" r:id="rId25"/>
          </a:graphicData>
        </a:graphic>
      </xdr:graphicFrame>
    </xdr:grpSp>
    <xdr:clientData/>
  </xdr:twoCellAnchor>
  <xdr:twoCellAnchor>
    <xdr:from>
      <xdr:col>15</xdr:col>
      <xdr:colOff>224118</xdr:colOff>
      <xdr:row>31</xdr:row>
      <xdr:rowOff>133070</xdr:rowOff>
    </xdr:from>
    <xdr:to>
      <xdr:col>22</xdr:col>
      <xdr:colOff>546287</xdr:colOff>
      <xdr:row>56</xdr:row>
      <xdr:rowOff>119062</xdr:rowOff>
    </xdr:to>
    <xdr:grpSp>
      <xdr:nvGrpSpPr>
        <xdr:cNvPr id="123" name="Agrupar 122">
          <a:extLst>
            <a:ext uri="{FF2B5EF4-FFF2-40B4-BE49-F238E27FC236}">
              <a16:creationId xmlns:a16="http://schemas.microsoft.com/office/drawing/2014/main" id="{00000000-0008-0000-0A00-00007B000000}"/>
            </a:ext>
          </a:extLst>
        </xdr:cNvPr>
        <xdr:cNvGrpSpPr/>
      </xdr:nvGrpSpPr>
      <xdr:grpSpPr>
        <a:xfrm>
          <a:off x="8615643" y="6086195"/>
          <a:ext cx="4389344" cy="4748492"/>
          <a:chOff x="48482250" y="7384596"/>
          <a:chExt cx="5787554" cy="4690258"/>
        </a:xfrm>
      </xdr:grpSpPr>
      <xdr:grpSp>
        <xdr:nvGrpSpPr>
          <xdr:cNvPr id="124" name="Agrupar 123">
            <a:extLst>
              <a:ext uri="{FF2B5EF4-FFF2-40B4-BE49-F238E27FC236}">
                <a16:creationId xmlns:a16="http://schemas.microsoft.com/office/drawing/2014/main" id="{00000000-0008-0000-0A00-00007C000000}"/>
              </a:ext>
            </a:extLst>
          </xdr:cNvPr>
          <xdr:cNvGrpSpPr/>
        </xdr:nvGrpSpPr>
        <xdr:grpSpPr>
          <a:xfrm>
            <a:off x="50879829" y="7384596"/>
            <a:ext cx="3389975" cy="4473295"/>
            <a:chOff x="31000212" y="7285159"/>
            <a:chExt cx="3364246" cy="4415936"/>
          </a:xfrm>
          <a:solidFill>
            <a:schemeClr val="bg1"/>
          </a:solidFill>
        </xdr:grpSpPr>
        <xdr:grpSp>
          <xdr:nvGrpSpPr>
            <xdr:cNvPr id="126" name="Agrupar 125">
              <a:extLst>
                <a:ext uri="{FF2B5EF4-FFF2-40B4-BE49-F238E27FC236}">
                  <a16:creationId xmlns:a16="http://schemas.microsoft.com/office/drawing/2014/main" id="{00000000-0008-0000-0A00-00007E000000}"/>
                </a:ext>
              </a:extLst>
            </xdr:cNvPr>
            <xdr:cNvGrpSpPr/>
          </xdr:nvGrpSpPr>
          <xdr:grpSpPr>
            <a:xfrm>
              <a:off x="31000212" y="7576717"/>
              <a:ext cx="3364246" cy="4124378"/>
              <a:chOff x="14849475" y="419100"/>
              <a:chExt cx="5450221" cy="7645400"/>
            </a:xfrm>
            <a:grpFill/>
          </xdr:grpSpPr>
          <xdr:pic>
            <xdr:nvPicPr>
              <xdr:cNvPr id="134" name="Imagem 133" descr="2024">
                <a:extLst>
                  <a:ext uri="{FF2B5EF4-FFF2-40B4-BE49-F238E27FC236}">
                    <a16:creationId xmlns:a16="http://schemas.microsoft.com/office/drawing/2014/main" id="{00000000-0008-0000-0A00-000086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BEBA8EAE-BF5A-486C-A8C5-ECC9F3942E4B}">
                    <a14:imgProps xmlns:a14="http://schemas.microsoft.com/office/drawing/2010/main">
                      <a14:imgLayer r:embed="rId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grpFill/>
              <a:extLst/>
            </xdr:spPr>
          </xdr:pic>
          <xdr:sp macro="" textlink="">
            <xdr:nvSpPr>
              <xdr:cNvPr id="135" name="Retângulo 134">
                <a:extLst>
                  <a:ext uri="{FF2B5EF4-FFF2-40B4-BE49-F238E27FC236}">
                    <a16:creationId xmlns:a16="http://schemas.microsoft.com/office/drawing/2014/main" id="{00000000-0008-0000-0A00-000087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36" name="Retângulo 135">
                <a:extLst>
                  <a:ext uri="{FF2B5EF4-FFF2-40B4-BE49-F238E27FC236}">
                    <a16:creationId xmlns:a16="http://schemas.microsoft.com/office/drawing/2014/main" id="{00000000-0008-0000-0A00-000088000000}"/>
                  </a:ext>
                </a:extLst>
              </xdr:cNvPr>
              <xdr:cNvSpPr/>
            </xdr:nvSpPr>
            <xdr:spPr>
              <a:xfrm>
                <a:off x="15111800" y="6477001"/>
                <a:ext cx="1465936" cy="134144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127" name="Gráfico 126">
              <a:extLst>
                <a:ext uri="{FF2B5EF4-FFF2-40B4-BE49-F238E27FC236}">
                  <a16:creationId xmlns:a16="http://schemas.microsoft.com/office/drawing/2014/main" id="{00000000-0008-0000-0A00-00007F000000}"/>
                </a:ext>
              </a:extLst>
            </xdr:cNvPr>
            <xdr:cNvGraphicFramePr/>
          </xdr:nvGraphicFramePr>
          <xdr:xfrm>
            <a:off x="32339257" y="7285159"/>
            <a:ext cx="756000" cy="1194648"/>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128" name="Gráfico 127">
              <a:extLst>
                <a:ext uri="{FF2B5EF4-FFF2-40B4-BE49-F238E27FC236}">
                  <a16:creationId xmlns:a16="http://schemas.microsoft.com/office/drawing/2014/main" id="{00000000-0008-0000-0A00-000080000000}"/>
                </a:ext>
              </a:extLst>
            </xdr:cNvPr>
            <xdr:cNvGraphicFramePr>
              <a:graphicFrameLocks/>
            </xdr:cNvGraphicFramePr>
          </xdr:nvGraphicFramePr>
          <xdr:xfrm>
            <a:off x="33064364" y="8013242"/>
            <a:ext cx="756000" cy="1265757"/>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129" name="Gráfico 128">
              <a:extLst>
                <a:ext uri="{FF2B5EF4-FFF2-40B4-BE49-F238E27FC236}">
                  <a16:creationId xmlns:a16="http://schemas.microsoft.com/office/drawing/2014/main" id="{00000000-0008-0000-0A00-000081000000}"/>
                </a:ext>
              </a:extLst>
            </xdr:cNvPr>
            <xdr:cNvGraphicFramePr>
              <a:graphicFrameLocks/>
            </xdr:cNvGraphicFramePr>
          </xdr:nvGraphicFramePr>
          <xdr:xfrm>
            <a:off x="31742318" y="8755169"/>
            <a:ext cx="756000" cy="1170945"/>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130" name="Gráfico 129">
              <a:extLst>
                <a:ext uri="{FF2B5EF4-FFF2-40B4-BE49-F238E27FC236}">
                  <a16:creationId xmlns:a16="http://schemas.microsoft.com/office/drawing/2014/main" id="{00000000-0008-0000-0A00-000082000000}"/>
                </a:ext>
              </a:extLst>
            </xdr:cNvPr>
            <xdr:cNvGraphicFramePr>
              <a:graphicFrameLocks/>
            </xdr:cNvGraphicFramePr>
          </xdr:nvGraphicFramePr>
          <xdr:xfrm>
            <a:off x="32076536" y="9700927"/>
            <a:ext cx="708375" cy="895985"/>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131" name="Gráfico 130">
              <a:extLst>
                <a:ext uri="{FF2B5EF4-FFF2-40B4-BE49-F238E27FC236}">
                  <a16:creationId xmlns:a16="http://schemas.microsoft.com/office/drawing/2014/main" id="{00000000-0008-0000-0A00-000083000000}"/>
                </a:ext>
              </a:extLst>
            </xdr:cNvPr>
            <xdr:cNvGraphicFramePr>
              <a:graphicFrameLocks/>
            </xdr:cNvGraphicFramePr>
          </xdr:nvGraphicFramePr>
          <xdr:xfrm>
            <a:off x="31104987" y="9273876"/>
            <a:ext cx="756000" cy="1170944"/>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132" name="Gráfico 131">
              <a:extLst>
                <a:ext uri="{FF2B5EF4-FFF2-40B4-BE49-F238E27FC236}">
                  <a16:creationId xmlns:a16="http://schemas.microsoft.com/office/drawing/2014/main" id="{00000000-0008-0000-0A00-000084000000}"/>
                </a:ext>
              </a:extLst>
            </xdr:cNvPr>
            <xdr:cNvGraphicFramePr>
              <a:graphicFrameLocks/>
            </xdr:cNvGraphicFramePr>
          </xdr:nvGraphicFramePr>
          <xdr:xfrm>
            <a:off x="32895687" y="9941216"/>
            <a:ext cx="756000" cy="878117"/>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133" name="Gráfico 132">
              <a:extLst>
                <a:ext uri="{FF2B5EF4-FFF2-40B4-BE49-F238E27FC236}">
                  <a16:creationId xmlns:a16="http://schemas.microsoft.com/office/drawing/2014/main" id="{00000000-0008-0000-0A00-000085000000}"/>
                </a:ext>
              </a:extLst>
            </xdr:cNvPr>
            <xdr:cNvGraphicFramePr>
              <a:graphicFrameLocks/>
            </xdr:cNvGraphicFramePr>
          </xdr:nvGraphicFramePr>
          <xdr:xfrm>
            <a:off x="32952837" y="10861631"/>
            <a:ext cx="756000" cy="787316"/>
          </xdr:xfrm>
          <a:graphic>
            <a:graphicData uri="http://schemas.openxmlformats.org/drawingml/2006/chart">
              <c:chart xmlns:c="http://schemas.openxmlformats.org/drawingml/2006/chart" xmlns:r="http://schemas.openxmlformats.org/officeDocument/2006/relationships" r:id="rId32"/>
            </a:graphicData>
          </a:graphic>
        </xdr:graphicFrame>
      </xdr:grpSp>
      <xdr:graphicFrame macro="">
        <xdr:nvGraphicFramePr>
          <xdr:cNvPr id="125" name="Gráfico 124">
            <a:extLst>
              <a:ext uri="{FF2B5EF4-FFF2-40B4-BE49-F238E27FC236}">
                <a16:creationId xmlns:a16="http://schemas.microsoft.com/office/drawing/2014/main" id="{00000000-0008-0000-0A00-00007D000000}"/>
              </a:ext>
            </a:extLst>
          </xdr:cNvPr>
          <xdr:cNvGraphicFramePr>
            <a:graphicFrameLocks/>
          </xdr:cNvGraphicFramePr>
        </xdr:nvGraphicFramePr>
        <xdr:xfrm>
          <a:off x="48482250" y="7596868"/>
          <a:ext cx="3260863" cy="4477986"/>
        </xdr:xfrm>
        <a:graphic>
          <a:graphicData uri="http://schemas.openxmlformats.org/drawingml/2006/chart">
            <c:chart xmlns:c="http://schemas.openxmlformats.org/drawingml/2006/chart" xmlns:r="http://schemas.openxmlformats.org/officeDocument/2006/relationships" r:id="rId33"/>
          </a:graphicData>
        </a:graphic>
      </xdr:graphicFrame>
    </xdr:grpSp>
    <xdr:clientData/>
  </xdr:twoCellAnchor>
  <xdr:twoCellAnchor>
    <xdr:from>
      <xdr:col>16</xdr:col>
      <xdr:colOff>281614</xdr:colOff>
      <xdr:row>25</xdr:row>
      <xdr:rowOff>81710</xdr:rowOff>
    </xdr:from>
    <xdr:to>
      <xdr:col>22</xdr:col>
      <xdr:colOff>551389</xdr:colOff>
      <xdr:row>28</xdr:row>
      <xdr:rowOff>68588</xdr:rowOff>
    </xdr:to>
    <xdr:grpSp>
      <xdr:nvGrpSpPr>
        <xdr:cNvPr id="11" name="Agrupar 10">
          <a:extLst>
            <a:ext uri="{FF2B5EF4-FFF2-40B4-BE49-F238E27FC236}">
              <a16:creationId xmlns:a16="http://schemas.microsoft.com/office/drawing/2014/main" id="{00000000-0008-0000-0A00-00000B000000}"/>
            </a:ext>
          </a:extLst>
        </xdr:cNvPr>
        <xdr:cNvGrpSpPr/>
      </xdr:nvGrpSpPr>
      <xdr:grpSpPr>
        <a:xfrm>
          <a:off x="9254164" y="4891835"/>
          <a:ext cx="3755925" cy="558378"/>
          <a:chOff x="9068935" y="4776508"/>
          <a:chExt cx="3757606" cy="547682"/>
        </a:xfrm>
      </xdr:grpSpPr>
      <xdr:grpSp>
        <xdr:nvGrpSpPr>
          <xdr:cNvPr id="13" name="Agrupar 12">
            <a:extLst>
              <a:ext uri="{FF2B5EF4-FFF2-40B4-BE49-F238E27FC236}">
                <a16:creationId xmlns:a16="http://schemas.microsoft.com/office/drawing/2014/main" id="{00000000-0008-0000-0A00-00000D000000}"/>
              </a:ext>
            </a:extLst>
          </xdr:cNvPr>
          <xdr:cNvGrpSpPr/>
        </xdr:nvGrpSpPr>
        <xdr:grpSpPr>
          <a:xfrm>
            <a:off x="9068935" y="4940844"/>
            <a:ext cx="2257894" cy="223945"/>
            <a:chOff x="9423400" y="4330700"/>
            <a:chExt cx="2063800" cy="247538"/>
          </a:xfrm>
        </xdr:grpSpPr>
        <xdr:sp macro="" textlink="">
          <xdr:nvSpPr>
            <xdr:cNvPr id="15" name="Text Box 10">
              <a:extLst>
                <a:ext uri="{FF2B5EF4-FFF2-40B4-BE49-F238E27FC236}">
                  <a16:creationId xmlns:a16="http://schemas.microsoft.com/office/drawing/2014/main" id="{00000000-0008-0000-0A00-00000F000000}"/>
                </a:ext>
              </a:extLst>
            </xdr:cNvPr>
            <xdr:cNvSpPr txBox="1">
              <a:spLocks noChangeArrowheads="1"/>
            </xdr:cNvSpPr>
          </xdr:nvSpPr>
          <xdr:spPr bwMode="auto">
            <a:xfrm>
              <a:off x="9423400" y="4330700"/>
              <a:ext cx="1346200" cy="241300"/>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288771" name="Drop Down 3" hidden="1">
                  <a:extLst>
                    <a:ext uri="{63B3BB69-23CF-44E3-9099-C40C66FF867C}">
                      <a14:compatExt spid="_x0000_s288771"/>
                    </a:ext>
                    <a:ext uri="{FF2B5EF4-FFF2-40B4-BE49-F238E27FC236}">
                      <a16:creationId xmlns:a16="http://schemas.microsoft.com/office/drawing/2014/main" id="{00000000-0008-0000-0A00-000003680400}"/>
                    </a:ext>
                  </a:extLst>
                </xdr:cNvPr>
                <xdr:cNvSpPr/>
              </xdr:nvSpPr>
              <xdr:spPr bwMode="auto">
                <a:xfrm>
                  <a:off x="10814089" y="4337027"/>
                  <a:ext cx="673111" cy="241211"/>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137" name="Gráfico 136">
            <a:extLst>
              <a:ext uri="{FF2B5EF4-FFF2-40B4-BE49-F238E27FC236}">
                <a16:creationId xmlns:a16="http://schemas.microsoft.com/office/drawing/2014/main" id="{00000000-0008-0000-0A00-000089000000}"/>
              </a:ext>
            </a:extLst>
          </xdr:cNvPr>
          <xdr:cNvGraphicFramePr>
            <a:graphicFrameLocks/>
          </xdr:cNvGraphicFramePr>
        </xdr:nvGraphicFramePr>
        <xdr:xfrm>
          <a:off x="11338953" y="4776508"/>
          <a:ext cx="1487588" cy="547682"/>
        </xdr:xfrm>
        <a:graphic>
          <a:graphicData uri="http://schemas.openxmlformats.org/drawingml/2006/chart">
            <c:chart xmlns:c="http://schemas.openxmlformats.org/drawingml/2006/chart" xmlns:r="http://schemas.openxmlformats.org/officeDocument/2006/relationships" r:id="rId34"/>
          </a:graphicData>
        </a:graphic>
      </xdr:graphicFrame>
    </xdr:grpSp>
    <xdr:clientData/>
  </xdr:twoCellAnchor>
  <xdr:twoCellAnchor>
    <xdr:from>
      <xdr:col>0</xdr:col>
      <xdr:colOff>171450</xdr:colOff>
      <xdr:row>27</xdr:row>
      <xdr:rowOff>114301</xdr:rowOff>
    </xdr:from>
    <xdr:to>
      <xdr:col>3</xdr:col>
      <xdr:colOff>323851</xdr:colOff>
      <xdr:row>32</xdr:row>
      <xdr:rowOff>174173</xdr:rowOff>
    </xdr:to>
    <xdr:sp macro="" textlink="q4_8_12_16_25_36_Fig!$AW$92">
      <xdr:nvSpPr>
        <xdr:cNvPr id="138" name="CaixaDeTexto 137">
          <a:extLst>
            <a:ext uri="{FF2B5EF4-FFF2-40B4-BE49-F238E27FC236}">
              <a16:creationId xmlns:a16="http://schemas.microsoft.com/office/drawing/2014/main" id="{00000000-0008-0000-0A00-00008A000000}"/>
            </a:ext>
          </a:extLst>
        </xdr:cNvPr>
        <xdr:cNvSpPr txBox="1"/>
      </xdr:nvSpPr>
      <xdr:spPr>
        <a:xfrm>
          <a:off x="171450" y="5305426"/>
          <a:ext cx="1838326" cy="101237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38F4CF3-8FCD-4D05-AE2F-9C601F4C47B9}" type="TxLink">
            <a:rPr lang="en-US" sz="800" b="1" i="0" u="none" strike="noStrike">
              <a:solidFill>
                <a:srgbClr val="19375E"/>
              </a:solidFill>
              <a:latin typeface="Calibri"/>
              <a:cs typeface="Calibri"/>
            </a:rPr>
            <a:pPr algn="l"/>
            <a:t>EMPRESAS
NUTS II Grande Lisboa: 59.573 (20,5% do Continente; 2ª região de 7)
Esta NUTS II coincide com a NUTS III.</a:t>
          </a:fld>
          <a:endParaRPr lang="pt-PT" sz="800" b="1">
            <a:solidFill>
              <a:srgbClr val="19375E"/>
            </a:solidFill>
            <a:latin typeface="+mn-lt"/>
          </a:endParaRPr>
        </a:p>
      </xdr:txBody>
    </xdr:sp>
    <xdr:clientData/>
  </xdr:twoCellAnchor>
  <xdr:twoCellAnchor>
    <xdr:from>
      <xdr:col>4</xdr:col>
      <xdr:colOff>37194</xdr:colOff>
      <xdr:row>27</xdr:row>
      <xdr:rowOff>115888</xdr:rowOff>
    </xdr:from>
    <xdr:to>
      <xdr:col>7</xdr:col>
      <xdr:colOff>189706</xdr:colOff>
      <xdr:row>32</xdr:row>
      <xdr:rowOff>174988</xdr:rowOff>
    </xdr:to>
    <xdr:sp macro="" textlink="q4_8_12_16_25_36_Fig!$AW$112">
      <xdr:nvSpPr>
        <xdr:cNvPr id="139" name="CaixaDeTexto 138">
          <a:extLst>
            <a:ext uri="{FF2B5EF4-FFF2-40B4-BE49-F238E27FC236}">
              <a16:creationId xmlns:a16="http://schemas.microsoft.com/office/drawing/2014/main" id="{00000000-0008-0000-0A00-00008B000000}"/>
            </a:ext>
          </a:extLst>
        </xdr:cNvPr>
        <xdr:cNvSpPr txBox="1"/>
      </xdr:nvSpPr>
      <xdr:spPr>
        <a:xfrm>
          <a:off x="2291444" y="5307013"/>
          <a:ext cx="1843200" cy="10116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A9A4EBE-A839-44CF-898E-ECD78006CA25}" type="TxLink">
            <a:rPr lang="en-US" sz="800" b="1" i="0" u="none" strike="noStrike">
              <a:solidFill>
                <a:srgbClr val="19375E"/>
              </a:solidFill>
              <a:latin typeface="Calibri"/>
              <a:cs typeface="Calibri"/>
            </a:rPr>
            <a:pPr algn="l"/>
            <a:t>ESTABELECIMENTOS
NUTS II Grande Lisboa: 70.104 (20,6% do Continente; 2ª região de 7)
Esta NUTS II coincide com a NUTS III.</a:t>
          </a:fld>
          <a:endParaRPr lang="pt-PT" sz="800" b="1">
            <a:solidFill>
              <a:srgbClr val="19375E"/>
            </a:solidFill>
            <a:latin typeface="+mn-lt"/>
          </a:endParaRPr>
        </a:p>
      </xdr:txBody>
    </xdr:sp>
    <xdr:clientData/>
  </xdr:twoCellAnchor>
  <xdr:twoCellAnchor>
    <xdr:from>
      <xdr:col>8</xdr:col>
      <xdr:colOff>23813</xdr:colOff>
      <xdr:row>27</xdr:row>
      <xdr:rowOff>150813</xdr:rowOff>
    </xdr:from>
    <xdr:to>
      <xdr:col>11</xdr:col>
      <xdr:colOff>176214</xdr:colOff>
      <xdr:row>33</xdr:row>
      <xdr:rowOff>20185</xdr:rowOff>
    </xdr:to>
    <xdr:sp macro="" textlink="q4_8_12_16_25_36_Fig!$BS$92">
      <xdr:nvSpPr>
        <xdr:cNvPr id="140" name="CaixaDeTexto 139">
          <a:extLst>
            <a:ext uri="{FF2B5EF4-FFF2-40B4-BE49-F238E27FC236}">
              <a16:creationId xmlns:a16="http://schemas.microsoft.com/office/drawing/2014/main" id="{00000000-0008-0000-0A00-00008C000000}"/>
            </a:ext>
          </a:extLst>
        </xdr:cNvPr>
        <xdr:cNvSpPr txBox="1"/>
      </xdr:nvSpPr>
      <xdr:spPr>
        <a:xfrm>
          <a:off x="4532313" y="5341938"/>
          <a:ext cx="1843089" cy="101237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2A90A69-20BD-453C-8746-2511FA3E4562}" type="TxLink">
            <a:rPr lang="en-US" sz="800" b="1" i="0" u="none" strike="noStrike">
              <a:solidFill>
                <a:srgbClr val="19375E"/>
              </a:solidFill>
              <a:latin typeface="Calibri"/>
              <a:cs typeface="Calibri"/>
            </a:rPr>
            <a:pPr algn="l"/>
            <a:t>PESSOAS AO SERVIÇO
NUTS II Grande Lisboa: 969.558 (27,8% do Continente; 2ª região de 7)
Esta NUTS II coincide com a NUTS III.</a:t>
          </a:fld>
          <a:endParaRPr lang="pt-PT" sz="800" b="1">
            <a:solidFill>
              <a:srgbClr val="19375E"/>
            </a:solidFill>
            <a:latin typeface="+mn-lt"/>
          </a:endParaRPr>
        </a:p>
      </xdr:txBody>
    </xdr:sp>
    <xdr:clientData/>
  </xdr:twoCellAnchor>
  <xdr:twoCellAnchor>
    <xdr:from>
      <xdr:col>11</xdr:col>
      <xdr:colOff>357868</xdr:colOff>
      <xdr:row>27</xdr:row>
      <xdr:rowOff>152400</xdr:rowOff>
    </xdr:from>
    <xdr:to>
      <xdr:col>14</xdr:col>
      <xdr:colOff>573881</xdr:colOff>
      <xdr:row>33</xdr:row>
      <xdr:rowOff>21000</xdr:rowOff>
    </xdr:to>
    <xdr:sp macro="" textlink="q4_8_12_16_25_36_Fig!$BS$112">
      <xdr:nvSpPr>
        <xdr:cNvPr id="141" name="CaixaDeTexto 140">
          <a:extLst>
            <a:ext uri="{FF2B5EF4-FFF2-40B4-BE49-F238E27FC236}">
              <a16:creationId xmlns:a16="http://schemas.microsoft.com/office/drawing/2014/main" id="{00000000-0008-0000-0A00-00008D000000}"/>
            </a:ext>
          </a:extLst>
        </xdr:cNvPr>
        <xdr:cNvSpPr txBox="1"/>
      </xdr:nvSpPr>
      <xdr:spPr>
        <a:xfrm>
          <a:off x="6557056" y="5343525"/>
          <a:ext cx="1843200" cy="10116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A920C0E-4279-44CB-808C-F5FE85BD6B68}" type="TxLink">
            <a:rPr lang="en-US" sz="800" b="1" i="0" u="none" strike="noStrike">
              <a:solidFill>
                <a:srgbClr val="19375E"/>
              </a:solidFill>
              <a:latin typeface="Calibri"/>
              <a:cs typeface="Calibri"/>
            </a:rPr>
            <a:pPr algn="l"/>
            <a:t>TCO
NUTS II Grande Lisboa: 928.991 (28,2% do Continente; 2ª região de 7)
Esta NUTS II coincide com a NUTS III.</a:t>
          </a:fld>
          <a:endParaRPr lang="pt-PT" sz="800" b="1">
            <a:solidFill>
              <a:srgbClr val="19375E"/>
            </a:solidFill>
            <a:latin typeface="+mn-lt"/>
          </a:endParaRPr>
        </a:p>
      </xdr:txBody>
    </xdr:sp>
    <xdr:clientData/>
  </xdr:twoCellAnchor>
  <xdr:twoCellAnchor>
    <xdr:from>
      <xdr:col>16</xdr:col>
      <xdr:colOff>0</xdr:colOff>
      <xdr:row>28</xdr:row>
      <xdr:rowOff>0</xdr:rowOff>
    </xdr:from>
    <xdr:to>
      <xdr:col>19</xdr:col>
      <xdr:colOff>104776</xdr:colOff>
      <xdr:row>33</xdr:row>
      <xdr:rowOff>59872</xdr:rowOff>
    </xdr:to>
    <xdr:sp macro="" textlink="q4_8_12_16_25_36_Fig!$CM$92">
      <xdr:nvSpPr>
        <xdr:cNvPr id="142" name="CaixaDeTexto 141">
          <a:extLst>
            <a:ext uri="{FF2B5EF4-FFF2-40B4-BE49-F238E27FC236}">
              <a16:creationId xmlns:a16="http://schemas.microsoft.com/office/drawing/2014/main" id="{00000000-0008-0000-0A00-00008E000000}"/>
            </a:ext>
          </a:extLst>
        </xdr:cNvPr>
        <xdr:cNvSpPr txBox="1"/>
      </xdr:nvSpPr>
      <xdr:spPr>
        <a:xfrm>
          <a:off x="8985250" y="5381625"/>
          <a:ext cx="1843089" cy="101237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F76F659-DF53-422A-85C8-74CE0E8D2587}" type="TxLink">
            <a:rPr lang="en-US" sz="800" b="1" i="0" u="none" strike="noStrike">
              <a:solidFill>
                <a:srgbClr val="19375E"/>
              </a:solidFill>
              <a:latin typeface="Calibri"/>
              <a:cs typeface="Calibri"/>
            </a:rPr>
            <a:pPr algn="l"/>
            <a:t>REMUNERAÇÃO BASE
NUTS II Grande Lisboa: 1.506 euros (23,5% que no Continente; 1ª região de 7)
Esta NUTS II coincide com a NUTS III.</a:t>
          </a:fld>
          <a:endParaRPr lang="pt-PT" sz="800" b="1">
            <a:solidFill>
              <a:srgbClr val="19375E"/>
            </a:solidFill>
            <a:latin typeface="+mn-lt"/>
          </a:endParaRPr>
        </a:p>
      </xdr:txBody>
    </xdr:sp>
    <xdr:clientData/>
  </xdr:twoCellAnchor>
  <xdr:twoCellAnchor>
    <xdr:from>
      <xdr:col>19</xdr:col>
      <xdr:colOff>286430</xdr:colOff>
      <xdr:row>28</xdr:row>
      <xdr:rowOff>1587</xdr:rowOff>
    </xdr:from>
    <xdr:to>
      <xdr:col>22</xdr:col>
      <xdr:colOff>391318</xdr:colOff>
      <xdr:row>33</xdr:row>
      <xdr:rowOff>60687</xdr:rowOff>
    </xdr:to>
    <xdr:sp macro="" textlink="q4_8_12_16_25_36_Fig!$CM$112">
      <xdr:nvSpPr>
        <xdr:cNvPr id="143" name="CaixaDeTexto 142">
          <a:extLst>
            <a:ext uri="{FF2B5EF4-FFF2-40B4-BE49-F238E27FC236}">
              <a16:creationId xmlns:a16="http://schemas.microsoft.com/office/drawing/2014/main" id="{00000000-0008-0000-0A00-00008F000000}"/>
            </a:ext>
          </a:extLst>
        </xdr:cNvPr>
        <xdr:cNvSpPr txBox="1"/>
      </xdr:nvSpPr>
      <xdr:spPr>
        <a:xfrm>
          <a:off x="11009993" y="5383212"/>
          <a:ext cx="1843200" cy="10116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34C0CB7-42C3-4B2F-8393-A57409DBE2B3}" type="TxLink">
            <a:rPr lang="en-US" sz="800" b="1" i="0" u="none" strike="noStrike">
              <a:solidFill>
                <a:srgbClr val="19375E"/>
              </a:solidFill>
              <a:latin typeface="Calibri"/>
              <a:cs typeface="Calibri"/>
            </a:rPr>
            <a:pPr algn="l"/>
            <a:t>REMUNERAÇÃO GANHO
NUTS II Grande Lisboa: 1.817 euros (23,9% que no Continente; 1ª região de 7)
Esta NUTS II coincide com a NUTS III.</a:t>
          </a:fld>
          <a:endParaRPr lang="pt-PT" sz="800" b="1">
            <a:solidFill>
              <a:srgbClr val="19375E"/>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69849</xdr:colOff>
      <xdr:row>5</xdr:row>
      <xdr:rowOff>177800</xdr:rowOff>
    </xdr:from>
    <xdr:to>
      <xdr:col>11</xdr:col>
      <xdr:colOff>217713</xdr:colOff>
      <xdr:row>9</xdr:row>
      <xdr:rowOff>27214</xdr:rowOff>
    </xdr:to>
    <xdr:sp macro="" textlink="">
      <xdr:nvSpPr>
        <xdr:cNvPr id="2" name="Rectangle 13">
          <a:extLst>
            <a:ext uri="{FF2B5EF4-FFF2-40B4-BE49-F238E27FC236}">
              <a16:creationId xmlns:a16="http://schemas.microsoft.com/office/drawing/2014/main" id="{00000000-0008-0000-0100-000002000000}"/>
            </a:ext>
          </a:extLst>
        </xdr:cNvPr>
        <xdr:cNvSpPr>
          <a:spLocks noChangeArrowheads="1"/>
        </xdr:cNvSpPr>
      </xdr:nvSpPr>
      <xdr:spPr bwMode="auto">
        <a:xfrm>
          <a:off x="69849" y="1130300"/>
          <a:ext cx="6539139" cy="611414"/>
        </a:xfrm>
        <a:prstGeom prst="rect">
          <a:avLst/>
        </a:prstGeom>
        <a:solidFill>
          <a:srgbClr val="00467A"/>
        </a:solidFill>
        <a:ln w="9525">
          <a:solidFill>
            <a:srgbClr val="004A82"/>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0</xdr:colOff>
      <xdr:row>3</xdr:row>
      <xdr:rowOff>100012</xdr:rowOff>
    </xdr:from>
    <xdr:to>
      <xdr:col>5</xdr:col>
      <xdr:colOff>219075</xdr:colOff>
      <xdr:row>10</xdr:row>
      <xdr:rowOff>146047</xdr:rowOff>
    </xdr:to>
    <xdr:grpSp>
      <xdr:nvGrpSpPr>
        <xdr:cNvPr id="3" name="Group 14">
          <a:extLst>
            <a:ext uri="{FF2B5EF4-FFF2-40B4-BE49-F238E27FC236}">
              <a16:creationId xmlns:a16="http://schemas.microsoft.com/office/drawing/2014/main" id="{00000000-0008-0000-0100-000003000000}"/>
            </a:ext>
          </a:extLst>
        </xdr:cNvPr>
        <xdr:cNvGrpSpPr>
          <a:grpSpLocks/>
        </xdr:cNvGrpSpPr>
      </xdr:nvGrpSpPr>
      <xdr:grpSpPr bwMode="auto">
        <a:xfrm>
          <a:off x="0" y="671512"/>
          <a:ext cx="6172200" cy="1379535"/>
          <a:chOff x="198" y="603"/>
          <a:chExt cx="1962" cy="839"/>
        </a:xfrm>
      </xdr:grpSpPr>
      <xdr:sp macro="" textlink="">
        <xdr:nvSpPr>
          <xdr:cNvPr id="4" name="Rectangle 15">
            <a:extLst>
              <a:ext uri="{FF2B5EF4-FFF2-40B4-BE49-F238E27FC236}">
                <a16:creationId xmlns:a16="http://schemas.microsoft.com/office/drawing/2014/main" id="{00000000-0008-0000-0100-000004000000}"/>
              </a:ext>
            </a:extLst>
          </xdr:cNvPr>
          <xdr:cNvSpPr>
            <a:spLocks noChangeArrowheads="1"/>
          </xdr:cNvSpPr>
        </xdr:nvSpPr>
        <xdr:spPr bwMode="auto">
          <a:xfrm>
            <a:off x="198" y="603"/>
            <a:ext cx="1962" cy="192"/>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5" name="Rectangle 16">
            <a:extLst>
              <a:ext uri="{FF2B5EF4-FFF2-40B4-BE49-F238E27FC236}">
                <a16:creationId xmlns:a16="http://schemas.microsoft.com/office/drawing/2014/main" id="{00000000-0008-0000-0100-000005000000}"/>
              </a:ext>
            </a:extLst>
          </xdr:cNvPr>
          <xdr:cNvSpPr>
            <a:spLocks noChangeArrowheads="1"/>
          </xdr:cNvSpPr>
        </xdr:nvSpPr>
        <xdr:spPr bwMode="auto">
          <a:xfrm rot="5393061">
            <a:off x="-95" y="916"/>
            <a:ext cx="819" cy="234"/>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grpSp>
    <xdr:clientData/>
  </xdr:twoCellAnchor>
  <xdr:twoCellAnchor>
    <xdr:from>
      <xdr:col>0</xdr:col>
      <xdr:colOff>217488</xdr:colOff>
      <xdr:row>4</xdr:row>
      <xdr:rowOff>127000</xdr:rowOff>
    </xdr:from>
    <xdr:to>
      <xdr:col>11</xdr:col>
      <xdr:colOff>598714</xdr:colOff>
      <xdr:row>8</xdr:row>
      <xdr:rowOff>122464</xdr:rowOff>
    </xdr:to>
    <xdr:sp macro="" textlink="">
      <xdr:nvSpPr>
        <xdr:cNvPr id="6" name="Rectangle 17">
          <a:extLst>
            <a:ext uri="{FF2B5EF4-FFF2-40B4-BE49-F238E27FC236}">
              <a16:creationId xmlns:a16="http://schemas.microsoft.com/office/drawing/2014/main" id="{00000000-0008-0000-0100-000006000000}"/>
            </a:ext>
          </a:extLst>
        </xdr:cNvPr>
        <xdr:cNvSpPr>
          <a:spLocks noChangeArrowheads="1"/>
        </xdr:cNvSpPr>
      </xdr:nvSpPr>
      <xdr:spPr bwMode="auto">
        <a:xfrm>
          <a:off x="217488" y="889000"/>
          <a:ext cx="6772501" cy="757464"/>
        </a:xfrm>
        <a:prstGeom prst="rect">
          <a:avLst/>
        </a:prstGeom>
        <a:solidFill>
          <a:srgbClr val="002060"/>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defTabSz="988538">
            <a:defRPr/>
          </a:pPr>
          <a:r>
            <a:rPr lang="pt-PT" sz="2100" b="1" i="1">
              <a:solidFill>
                <a:schemeClr val="bg1"/>
              </a:solidFill>
              <a:effectLst>
                <a:outerShdw blurRad="38100" dist="38100" dir="2700000" algn="tl">
                  <a:srgbClr val="000000"/>
                </a:outerShdw>
              </a:effectLst>
              <a:latin typeface="Arial" charset="0"/>
            </a:rPr>
            <a:t>Dashboard / Excel Interativo</a:t>
          </a:r>
        </a:p>
        <a:p>
          <a:pPr marL="0" marR="0" lvl="0" indent="0" algn="l" defTabSz="988538" rtl="0" eaLnBrk="0" fontAlgn="base" latinLnBrk="0" hangingPunct="0">
            <a:lnSpc>
              <a:spcPct val="100000"/>
            </a:lnSpc>
            <a:spcBef>
              <a:spcPct val="0"/>
            </a:spcBef>
            <a:spcAft>
              <a:spcPct val="0"/>
            </a:spcAft>
            <a:buClrTx/>
            <a:buSzTx/>
            <a:buFontTx/>
            <a:buNone/>
            <a:tabLst/>
            <a:defRPr/>
          </a:pPr>
          <a:r>
            <a:rPr lang="pt-PT" sz="2500" b="1" i="1" kern="1200">
              <a:solidFill>
                <a:schemeClr val="bg1"/>
              </a:solidFill>
              <a:effectLst>
                <a:outerShdw blurRad="38100" dist="38100" dir="2700000" algn="tl" rotWithShape="0">
                  <a:srgbClr val="000000"/>
                </a:outerShdw>
              </a:effectLst>
              <a:latin typeface="Times New Roman" pitchFamily="18" charset="0"/>
              <a:ea typeface="+mn-ea"/>
              <a:cs typeface="+mn-cs"/>
            </a:rPr>
            <a:t>	   Séries Cronológicas:</a:t>
          </a:r>
          <a:endParaRPr lang="pt-PT" sz="2400" i="1">
            <a:solidFill>
              <a:schemeClr val="bg1"/>
            </a:solidFill>
            <a:effectLst/>
          </a:endParaRPr>
        </a:p>
      </xdr:txBody>
    </xdr:sp>
    <xdr:clientData/>
  </xdr:twoCellAnchor>
  <xdr:twoCellAnchor>
    <xdr:from>
      <xdr:col>9</xdr:col>
      <xdr:colOff>198438</xdr:colOff>
      <xdr:row>5</xdr:row>
      <xdr:rowOff>114300</xdr:rowOff>
    </xdr:from>
    <xdr:to>
      <xdr:col>9</xdr:col>
      <xdr:colOff>419100</xdr:colOff>
      <xdr:row>10</xdr:row>
      <xdr:rowOff>142875</xdr:rowOff>
    </xdr:to>
    <xdr:sp macro="" textlink="">
      <xdr:nvSpPr>
        <xdr:cNvPr id="7" name="Rectangle 19">
          <a:extLst>
            <a:ext uri="{FF2B5EF4-FFF2-40B4-BE49-F238E27FC236}">
              <a16:creationId xmlns:a16="http://schemas.microsoft.com/office/drawing/2014/main" id="{00000000-0008-0000-0100-000007000000}"/>
            </a:ext>
          </a:extLst>
        </xdr:cNvPr>
        <xdr:cNvSpPr>
          <a:spLocks noChangeArrowheads="1"/>
        </xdr:cNvSpPr>
      </xdr:nvSpPr>
      <xdr:spPr bwMode="auto">
        <a:xfrm>
          <a:off x="5427663" y="1066800"/>
          <a:ext cx="220662" cy="981075"/>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8</xdr:col>
      <xdr:colOff>387350</xdr:colOff>
      <xdr:row>5</xdr:row>
      <xdr:rowOff>114300</xdr:rowOff>
    </xdr:from>
    <xdr:to>
      <xdr:col>11</xdr:col>
      <xdr:colOff>157163</xdr:colOff>
      <xdr:row>5</xdr:row>
      <xdr:rowOff>115888</xdr:rowOff>
    </xdr:to>
    <xdr:sp macro="" textlink="">
      <xdr:nvSpPr>
        <xdr:cNvPr id="8" name="Line 21">
          <a:extLst>
            <a:ext uri="{FF2B5EF4-FFF2-40B4-BE49-F238E27FC236}">
              <a16:creationId xmlns:a16="http://schemas.microsoft.com/office/drawing/2014/main" id="{00000000-0008-0000-0100-000008000000}"/>
            </a:ext>
          </a:extLst>
        </xdr:cNvPr>
        <xdr:cNvSpPr>
          <a:spLocks noChangeShapeType="1"/>
        </xdr:cNvSpPr>
      </xdr:nvSpPr>
      <xdr:spPr bwMode="auto">
        <a:xfrm>
          <a:off x="5035550" y="1066800"/>
          <a:ext cx="1512888"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398463</xdr:colOff>
      <xdr:row>10</xdr:row>
      <xdr:rowOff>142875</xdr:rowOff>
    </xdr:from>
    <xdr:to>
      <xdr:col>9</xdr:col>
      <xdr:colOff>417513</xdr:colOff>
      <xdr:row>10</xdr:row>
      <xdr:rowOff>142875</xdr:rowOff>
    </xdr:to>
    <xdr:sp macro="" textlink="">
      <xdr:nvSpPr>
        <xdr:cNvPr id="9" name="Line 22">
          <a:extLst>
            <a:ext uri="{FF2B5EF4-FFF2-40B4-BE49-F238E27FC236}">
              <a16:creationId xmlns:a16="http://schemas.microsoft.com/office/drawing/2014/main" id="{00000000-0008-0000-0100-000009000000}"/>
            </a:ext>
          </a:extLst>
        </xdr:cNvPr>
        <xdr:cNvSpPr>
          <a:spLocks noChangeShapeType="1"/>
        </xdr:cNvSpPr>
      </xdr:nvSpPr>
      <xdr:spPr bwMode="auto">
        <a:xfrm>
          <a:off x="2141538" y="2047875"/>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6</xdr:col>
      <xdr:colOff>428625</xdr:colOff>
      <xdr:row>10</xdr:row>
      <xdr:rowOff>163513</xdr:rowOff>
    </xdr:from>
    <xdr:to>
      <xdr:col>9</xdr:col>
      <xdr:colOff>168275</xdr:colOff>
      <xdr:row>12</xdr:row>
      <xdr:rowOff>147835</xdr:rowOff>
    </xdr:to>
    <xdr:sp macro="" textlink="">
      <xdr:nvSpPr>
        <xdr:cNvPr id="10" name="Text Box 26">
          <a:extLst>
            <a:ext uri="{FF2B5EF4-FFF2-40B4-BE49-F238E27FC236}">
              <a16:creationId xmlns:a16="http://schemas.microsoft.com/office/drawing/2014/main" id="{00000000-0008-0000-0100-00000A000000}"/>
            </a:ext>
          </a:extLst>
        </xdr:cNvPr>
        <xdr:cNvSpPr txBox="1">
          <a:spLocks noChangeArrowheads="1"/>
        </xdr:cNvSpPr>
      </xdr:nvSpPr>
      <xdr:spPr bwMode="auto">
        <a:xfrm>
          <a:off x="7885339" y="1977799"/>
          <a:ext cx="3468007" cy="347179"/>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r"/>
          <a:r>
            <a:rPr lang="pt-PT" altLang="pt-PT" sz="1700" b="1">
              <a:solidFill>
                <a:schemeClr val="bg1"/>
              </a:solidFill>
              <a:latin typeface="Arial" charset="0"/>
            </a:rPr>
            <a:t>2013 - 2023</a:t>
          </a:r>
        </a:p>
      </xdr:txBody>
    </xdr:sp>
    <xdr:clientData/>
  </xdr:twoCellAnchor>
  <xdr:twoCellAnchor>
    <xdr:from>
      <xdr:col>0</xdr:col>
      <xdr:colOff>152400</xdr:colOff>
      <xdr:row>56</xdr:row>
      <xdr:rowOff>476250</xdr:rowOff>
    </xdr:from>
    <xdr:to>
      <xdr:col>11</xdr:col>
      <xdr:colOff>639763</xdr:colOff>
      <xdr:row>56</xdr:row>
      <xdr:rowOff>800220</xdr:rowOff>
    </xdr:to>
    <xdr:sp macro="" textlink="">
      <xdr:nvSpPr>
        <xdr:cNvPr id="11" name="Rectangle 28">
          <a:extLst>
            <a:ext uri="{FF2B5EF4-FFF2-40B4-BE49-F238E27FC236}">
              <a16:creationId xmlns:a16="http://schemas.microsoft.com/office/drawing/2014/main" id="{00000000-0008-0000-0100-00000B000000}"/>
            </a:ext>
          </a:extLst>
        </xdr:cNvPr>
        <xdr:cNvSpPr>
          <a:spLocks noChangeArrowheads="1"/>
        </xdr:cNvSpPr>
      </xdr:nvSpPr>
      <xdr:spPr bwMode="auto">
        <a:xfrm>
          <a:off x="152400" y="10382250"/>
          <a:ext cx="6878638" cy="323970"/>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800" b="1">
              <a:solidFill>
                <a:schemeClr val="bg1"/>
              </a:solidFill>
              <a:latin typeface="Arial" charset="0"/>
            </a:rPr>
            <a:t>Gabinete de Estratégia e Planeamento (GEP)</a:t>
          </a:r>
        </a:p>
        <a:p>
          <a:r>
            <a:rPr lang="pt-PT" altLang="pt-PT" sz="700">
              <a:solidFill>
                <a:schemeClr val="bg1"/>
              </a:solidFill>
              <a:latin typeface="Arial" charset="0"/>
            </a:rPr>
            <a:t>MINISTÉRIO DO TRABALHO, SOLIDARIEDADE E SEGURANÇA SOCIAL (MTSSS)</a:t>
          </a:r>
        </a:p>
      </xdr:txBody>
    </xdr:sp>
    <xdr:clientData/>
  </xdr:twoCellAnchor>
  <xdr:twoCellAnchor>
    <xdr:from>
      <xdr:col>4</xdr:col>
      <xdr:colOff>165100</xdr:colOff>
      <xdr:row>8</xdr:row>
      <xdr:rowOff>177800</xdr:rowOff>
    </xdr:from>
    <xdr:to>
      <xdr:col>9</xdr:col>
      <xdr:colOff>257175</xdr:colOff>
      <xdr:row>11</xdr:row>
      <xdr:rowOff>11764</xdr:rowOff>
    </xdr:to>
    <xdr:sp macro="" textlink="">
      <xdr:nvSpPr>
        <xdr:cNvPr id="12" name="Text Box 24">
          <a:extLst>
            <a:ext uri="{FF2B5EF4-FFF2-40B4-BE49-F238E27FC236}">
              <a16:creationId xmlns:a16="http://schemas.microsoft.com/office/drawing/2014/main" id="{00000000-0008-0000-0100-00000C000000}"/>
            </a:ext>
          </a:extLst>
        </xdr:cNvPr>
        <xdr:cNvSpPr txBox="1">
          <a:spLocks noChangeArrowheads="1"/>
        </xdr:cNvSpPr>
      </xdr:nvSpPr>
      <xdr:spPr bwMode="auto">
        <a:xfrm>
          <a:off x="2489200" y="1701800"/>
          <a:ext cx="2997200" cy="40546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2000" b="1">
              <a:solidFill>
                <a:srgbClr val="FFFFFF"/>
              </a:solidFill>
              <a:latin typeface="Arial Narrow" pitchFamily="34" charset="0"/>
            </a:rPr>
            <a:t>QUADROS</a:t>
          </a:r>
          <a:r>
            <a:rPr lang="pt-PT" altLang="pt-PT" sz="2000" b="1" baseline="0">
              <a:solidFill>
                <a:srgbClr val="FFFFFF"/>
              </a:solidFill>
              <a:latin typeface="Arial Narrow" pitchFamily="34" charset="0"/>
            </a:rPr>
            <a:t> DE PESSOAL</a:t>
          </a:r>
          <a:endParaRPr lang="pt-PT" altLang="pt-PT" sz="2000" b="1">
            <a:solidFill>
              <a:srgbClr val="FFFFFF"/>
            </a:solidFill>
            <a:latin typeface="Arial Narrow" pitchFamily="34" charset="0"/>
          </a:endParaRPr>
        </a:p>
      </xdr:txBody>
    </xdr:sp>
    <xdr:clientData/>
  </xdr:twoCellAnchor>
  <xdr:twoCellAnchor>
    <xdr:from>
      <xdr:col>6</xdr:col>
      <xdr:colOff>508000</xdr:colOff>
      <xdr:row>0</xdr:row>
      <xdr:rowOff>136551</xdr:rowOff>
    </xdr:from>
    <xdr:to>
      <xdr:col>10</xdr:col>
      <xdr:colOff>307975</xdr:colOff>
      <xdr:row>0</xdr:row>
      <xdr:rowOff>136551</xdr:rowOff>
    </xdr:to>
    <xdr:sp macro="" textlink="">
      <xdr:nvSpPr>
        <xdr:cNvPr id="13" name="Line 18">
          <a:extLst>
            <a:ext uri="{FF2B5EF4-FFF2-40B4-BE49-F238E27FC236}">
              <a16:creationId xmlns:a16="http://schemas.microsoft.com/office/drawing/2014/main" id="{00000000-0008-0000-0100-00000D000000}"/>
            </a:ext>
          </a:extLst>
        </xdr:cNvPr>
        <xdr:cNvSpPr>
          <a:spLocks noChangeShapeType="1"/>
        </xdr:cNvSpPr>
      </xdr:nvSpPr>
      <xdr:spPr bwMode="auto">
        <a:xfrm>
          <a:off x="3994150" y="136551"/>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203200</xdr:colOff>
      <xdr:row>0</xdr:row>
      <xdr:rowOff>26</xdr:rowOff>
    </xdr:from>
    <xdr:to>
      <xdr:col>9</xdr:col>
      <xdr:colOff>219075</xdr:colOff>
      <xdr:row>12</xdr:row>
      <xdr:rowOff>157189</xdr:rowOff>
    </xdr:to>
    <xdr:sp macro="" textlink="">
      <xdr:nvSpPr>
        <xdr:cNvPr id="14" name="Line 20">
          <a:extLst>
            <a:ext uri="{FF2B5EF4-FFF2-40B4-BE49-F238E27FC236}">
              <a16:creationId xmlns:a16="http://schemas.microsoft.com/office/drawing/2014/main" id="{00000000-0008-0000-0100-00000E000000}"/>
            </a:ext>
          </a:extLst>
        </xdr:cNvPr>
        <xdr:cNvSpPr>
          <a:spLocks noChangeShapeType="1"/>
        </xdr:cNvSpPr>
      </xdr:nvSpPr>
      <xdr:spPr bwMode="auto">
        <a:xfrm rot="5421033" flipH="1">
          <a:off x="4218781" y="1213670"/>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418182</xdr:colOff>
      <xdr:row>2</xdr:row>
      <xdr:rowOff>28608</xdr:rowOff>
    </xdr:from>
    <xdr:to>
      <xdr:col>9</xdr:col>
      <xdr:colOff>438053</xdr:colOff>
      <xdr:row>13</xdr:row>
      <xdr:rowOff>47617</xdr:rowOff>
    </xdr:to>
    <xdr:sp macro="" textlink="">
      <xdr:nvSpPr>
        <xdr:cNvPr id="15" name="Line 23">
          <a:extLst>
            <a:ext uri="{FF2B5EF4-FFF2-40B4-BE49-F238E27FC236}">
              <a16:creationId xmlns:a16="http://schemas.microsoft.com/office/drawing/2014/main" id="{00000000-0008-0000-0100-00000F000000}"/>
            </a:ext>
          </a:extLst>
        </xdr:cNvPr>
        <xdr:cNvSpPr>
          <a:spLocks noChangeShapeType="1"/>
        </xdr:cNvSpPr>
      </xdr:nvSpPr>
      <xdr:spPr bwMode="auto">
        <a:xfrm rot="5397016">
          <a:off x="4600088" y="1456927"/>
          <a:ext cx="2114509" cy="19871"/>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28575</xdr:colOff>
      <xdr:row>13</xdr:row>
      <xdr:rowOff>9524</xdr:rowOff>
    </xdr:from>
    <xdr:to>
      <xdr:col>11</xdr:col>
      <xdr:colOff>752475</xdr:colOff>
      <xdr:row>19</xdr:row>
      <xdr:rowOff>9525</xdr:rowOff>
    </xdr:to>
    <xdr:sp macro="" textlink="">
      <xdr:nvSpPr>
        <xdr:cNvPr id="16" name="Rectangle 3">
          <a:extLst>
            <a:ext uri="{FF2B5EF4-FFF2-40B4-BE49-F238E27FC236}">
              <a16:creationId xmlns:a16="http://schemas.microsoft.com/office/drawing/2014/main" id="{00000000-0008-0000-0100-000010000000}"/>
            </a:ext>
          </a:extLst>
        </xdr:cNvPr>
        <xdr:cNvSpPr>
          <a:spLocks noChangeArrowheads="1"/>
        </xdr:cNvSpPr>
      </xdr:nvSpPr>
      <xdr:spPr bwMode="auto">
        <a:xfrm>
          <a:off x="28575" y="2486024"/>
          <a:ext cx="7115175" cy="1143001"/>
        </a:xfrm>
        <a:prstGeom prst="rect">
          <a:avLst/>
        </a:prstGeom>
        <a:solidFill>
          <a:srgbClr val="FFFF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rgbClr val="00467A"/>
            </a:solidFill>
            <a:effectLst>
              <a:outerShdw blurRad="38100" dist="38100" dir="2700000" algn="tl">
                <a:srgbClr val="000000"/>
              </a:outerShdw>
            </a:effectLst>
            <a:latin typeface="Arial" charset="0"/>
          </a:endParaRPr>
        </a:p>
      </xdr:txBody>
    </xdr:sp>
    <xdr:clientData/>
  </xdr:twoCellAnchor>
  <xdr:twoCellAnchor>
    <xdr:from>
      <xdr:col>0</xdr:col>
      <xdr:colOff>0</xdr:colOff>
      <xdr:row>15</xdr:row>
      <xdr:rowOff>1</xdr:rowOff>
    </xdr:from>
    <xdr:to>
      <xdr:col>3</xdr:col>
      <xdr:colOff>123825</xdr:colOff>
      <xdr:row>20</xdr:row>
      <xdr:rowOff>28828</xdr:rowOff>
    </xdr:to>
    <xdr:sp macro="" textlink="">
      <xdr:nvSpPr>
        <xdr:cNvPr id="17" name="Text Box 10">
          <a:extLst>
            <a:ext uri="{FF2B5EF4-FFF2-40B4-BE49-F238E27FC236}">
              <a16:creationId xmlns:a16="http://schemas.microsoft.com/office/drawing/2014/main" id="{00000000-0008-0000-0100-000011000000}"/>
            </a:ext>
          </a:extLst>
        </xdr:cNvPr>
        <xdr:cNvSpPr txBox="1">
          <a:spLocks noChangeArrowheads="1"/>
        </xdr:cNvSpPr>
      </xdr:nvSpPr>
      <xdr:spPr bwMode="auto">
        <a:xfrm>
          <a:off x="0" y="2857501"/>
          <a:ext cx="1866900" cy="981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Empresas</a:t>
          </a:r>
        </a:p>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Estabelecimentos</a:t>
          </a:r>
        </a:p>
        <a:p>
          <a:pPr algn="l">
            <a:spcBef>
              <a:spcPct val="50000"/>
            </a:spcBef>
          </a:pPr>
          <a:endParaRPr lang="en-US" altLang="pt-PT" sz="1500" b="1">
            <a:solidFill>
              <a:srgbClr val="00467A"/>
            </a:solidFill>
            <a:latin typeface="Arial" charset="0"/>
          </a:endParaRPr>
        </a:p>
      </xdr:txBody>
    </xdr:sp>
    <xdr:clientData/>
  </xdr:twoCellAnchor>
  <xdr:twoCellAnchor>
    <xdr:from>
      <xdr:col>3</xdr:col>
      <xdr:colOff>361949</xdr:colOff>
      <xdr:row>14</xdr:row>
      <xdr:rowOff>171449</xdr:rowOff>
    </xdr:from>
    <xdr:to>
      <xdr:col>9</xdr:col>
      <xdr:colOff>85724</xdr:colOff>
      <xdr:row>18</xdr:row>
      <xdr:rowOff>58954</xdr:rowOff>
    </xdr:to>
    <xdr:sp macro="" textlink="">
      <xdr:nvSpPr>
        <xdr:cNvPr id="18" name="Text Box 10">
          <a:extLst>
            <a:ext uri="{FF2B5EF4-FFF2-40B4-BE49-F238E27FC236}">
              <a16:creationId xmlns:a16="http://schemas.microsoft.com/office/drawing/2014/main" id="{00000000-0008-0000-0100-000012000000}"/>
            </a:ext>
          </a:extLst>
        </xdr:cNvPr>
        <xdr:cNvSpPr txBox="1">
          <a:spLocks noChangeArrowheads="1"/>
        </xdr:cNvSpPr>
      </xdr:nvSpPr>
      <xdr:spPr bwMode="auto">
        <a:xfrm>
          <a:off x="2105024" y="2838449"/>
          <a:ext cx="3209925" cy="64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Pessoas ao Serviço</a:t>
          </a:r>
        </a:p>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TCO</a:t>
          </a:r>
        </a:p>
      </xdr:txBody>
    </xdr:sp>
    <xdr:clientData/>
  </xdr:twoCellAnchor>
  <xdr:twoCellAnchor>
    <xdr:from>
      <xdr:col>7</xdr:col>
      <xdr:colOff>361950</xdr:colOff>
      <xdr:row>14</xdr:row>
      <xdr:rowOff>171451</xdr:rowOff>
    </xdr:from>
    <xdr:to>
      <xdr:col>12</xdr:col>
      <xdr:colOff>466725</xdr:colOff>
      <xdr:row>20</xdr:row>
      <xdr:rowOff>9778</xdr:rowOff>
    </xdr:to>
    <xdr:sp macro="" textlink="">
      <xdr:nvSpPr>
        <xdr:cNvPr id="19" name="Text Box 10">
          <a:extLst>
            <a:ext uri="{FF2B5EF4-FFF2-40B4-BE49-F238E27FC236}">
              <a16:creationId xmlns:a16="http://schemas.microsoft.com/office/drawing/2014/main" id="{00000000-0008-0000-0100-000013000000}"/>
            </a:ext>
          </a:extLst>
        </xdr:cNvPr>
        <xdr:cNvSpPr txBox="1">
          <a:spLocks noChangeArrowheads="1"/>
        </xdr:cNvSpPr>
      </xdr:nvSpPr>
      <xdr:spPr bwMode="auto">
        <a:xfrm>
          <a:off x="4429125" y="2838451"/>
          <a:ext cx="3209925" cy="981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Remuneração mensal base</a:t>
          </a:r>
        </a:p>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Remuneração mensal ganho</a:t>
          </a:r>
        </a:p>
        <a:p>
          <a:pPr algn="l">
            <a:spcBef>
              <a:spcPct val="50000"/>
            </a:spcBef>
          </a:pPr>
          <a:endParaRPr lang="en-US" altLang="pt-PT" sz="1500" b="1">
            <a:solidFill>
              <a:srgbClr val="00467A"/>
            </a:solidFill>
            <a:latin typeface="Arial" charset="0"/>
          </a:endParaRPr>
        </a:p>
      </xdr:txBody>
    </xdr:sp>
    <xdr:clientData/>
  </xdr:twoCellAnchor>
  <xdr:twoCellAnchor>
    <xdr:from>
      <xdr:col>0</xdr:col>
      <xdr:colOff>57150</xdr:colOff>
      <xdr:row>13</xdr:row>
      <xdr:rowOff>38101</xdr:rowOff>
    </xdr:from>
    <xdr:to>
      <xdr:col>11</xdr:col>
      <xdr:colOff>714375</xdr:colOff>
      <xdr:row>14</xdr:row>
      <xdr:rowOff>165284</xdr:rowOff>
    </xdr:to>
    <xdr:sp macro="" textlink="">
      <xdr:nvSpPr>
        <xdr:cNvPr id="20" name="Text Box 10">
          <a:extLst>
            <a:ext uri="{FF2B5EF4-FFF2-40B4-BE49-F238E27FC236}">
              <a16:creationId xmlns:a16="http://schemas.microsoft.com/office/drawing/2014/main" id="{00000000-0008-0000-0100-000014000000}"/>
            </a:ext>
          </a:extLst>
        </xdr:cNvPr>
        <xdr:cNvSpPr txBox="1">
          <a:spLocks noChangeArrowheads="1"/>
        </xdr:cNvSpPr>
      </xdr:nvSpPr>
      <xdr:spPr bwMode="auto">
        <a:xfrm>
          <a:off x="57150" y="2514601"/>
          <a:ext cx="7048500" cy="317683"/>
        </a:xfrm>
        <a:prstGeom prst="rect">
          <a:avLst/>
        </a:prstGeom>
        <a:noFill/>
        <a:ln w="28575">
          <a:noFill/>
          <a:miter lim="800000"/>
          <a:headEnd/>
          <a:tailEnd/>
        </a:ln>
        <a:extLst>
          <a:ext uri="{909E8E84-426E-40DD-AFC4-6F175D3DCCD1}">
            <a14:hiddenFill xmlns:a14="http://schemas.microsoft.com/office/drawing/2010/main">
              <a:solidFill>
                <a:srgbClr val="FFFFFF"/>
              </a:solidFill>
            </a14:hiddenFill>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u="sng">
              <a:solidFill>
                <a:srgbClr val="00467A"/>
              </a:solidFill>
              <a:latin typeface="Arial" charset="0"/>
            </a:rPr>
            <a:t>Variáveis</a:t>
          </a:r>
        </a:p>
      </xdr:txBody>
    </xdr:sp>
    <xdr:clientData/>
  </xdr:twoCellAnchor>
  <xdr:twoCellAnchor>
    <xdr:from>
      <xdr:col>0</xdr:col>
      <xdr:colOff>0</xdr:colOff>
      <xdr:row>35</xdr:row>
      <xdr:rowOff>122467</xdr:rowOff>
    </xdr:from>
    <xdr:to>
      <xdr:col>10</xdr:col>
      <xdr:colOff>508000</xdr:colOff>
      <xdr:row>39</xdr:row>
      <xdr:rowOff>116468</xdr:rowOff>
    </xdr:to>
    <xdr:grpSp>
      <xdr:nvGrpSpPr>
        <xdr:cNvPr id="21" name="Agrupar 20">
          <a:extLst>
            <a:ext uri="{FF2B5EF4-FFF2-40B4-BE49-F238E27FC236}">
              <a16:creationId xmlns:a16="http://schemas.microsoft.com/office/drawing/2014/main" id="{00000000-0008-0000-0100-000015000000}"/>
            </a:ext>
          </a:extLst>
        </xdr:cNvPr>
        <xdr:cNvGrpSpPr/>
      </xdr:nvGrpSpPr>
      <xdr:grpSpPr>
        <a:xfrm>
          <a:off x="0" y="6789967"/>
          <a:ext cx="12414250" cy="756001"/>
          <a:chOff x="81583" y="6572250"/>
          <a:chExt cx="6359071" cy="964947"/>
        </a:xfrm>
      </xdr:grpSpPr>
      <xdr:sp macro="" textlink="">
        <xdr:nvSpPr>
          <xdr:cNvPr id="22" name="Rectangle 8">
            <a:extLst>
              <a:ext uri="{FF2B5EF4-FFF2-40B4-BE49-F238E27FC236}">
                <a16:creationId xmlns:a16="http://schemas.microsoft.com/office/drawing/2014/main" id="{00000000-0008-0000-0100-000016000000}"/>
              </a:ext>
            </a:extLst>
          </xdr:cNvPr>
          <xdr:cNvSpPr>
            <a:spLocks noChangeArrowheads="1"/>
          </xdr:cNvSpPr>
        </xdr:nvSpPr>
        <xdr:spPr bwMode="auto">
          <a:xfrm>
            <a:off x="81583" y="6727825"/>
            <a:ext cx="6359071" cy="738448"/>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23" name="Rectangle 9">
            <a:hlinkClick xmlns:r="http://schemas.openxmlformats.org/officeDocument/2006/relationships" r:id="rId1"/>
            <a:extLst>
              <a:ext uri="{FF2B5EF4-FFF2-40B4-BE49-F238E27FC236}">
                <a16:creationId xmlns:a16="http://schemas.microsoft.com/office/drawing/2014/main" id="{00000000-0008-0000-0100-000017000000}"/>
              </a:ext>
            </a:extLst>
          </xdr:cNvPr>
          <xdr:cNvSpPr>
            <a:spLocks noChangeArrowheads="1"/>
          </xdr:cNvSpPr>
        </xdr:nvSpPr>
        <xdr:spPr bwMode="auto">
          <a:xfrm>
            <a:off x="106598" y="6572250"/>
            <a:ext cx="3301093" cy="722313"/>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24" name="Text Box 12">
            <a:hlinkClick xmlns:r="http://schemas.openxmlformats.org/officeDocument/2006/relationships" r:id="rId1" tooltip="Distritos"/>
            <a:extLst>
              <a:ext uri="{FF2B5EF4-FFF2-40B4-BE49-F238E27FC236}">
                <a16:creationId xmlns:a16="http://schemas.microsoft.com/office/drawing/2014/main" id="{00000000-0008-0000-0100-000018000000}"/>
              </a:ext>
            </a:extLst>
          </xdr:cNvPr>
          <xdr:cNvSpPr txBox="1">
            <a:spLocks noChangeArrowheads="1"/>
          </xdr:cNvSpPr>
        </xdr:nvSpPr>
        <xdr:spPr bwMode="auto">
          <a:xfrm>
            <a:off x="444774" y="6641715"/>
            <a:ext cx="2459492" cy="484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Distritos</a:t>
            </a:r>
          </a:p>
        </xdr:txBody>
      </xdr:sp>
      <xdr:grpSp>
        <xdr:nvGrpSpPr>
          <xdr:cNvPr id="25" name="Agrupar 24">
            <a:extLst>
              <a:ext uri="{FF2B5EF4-FFF2-40B4-BE49-F238E27FC236}">
                <a16:creationId xmlns:a16="http://schemas.microsoft.com/office/drawing/2014/main" id="{00000000-0008-0000-0100-000019000000}"/>
              </a:ext>
            </a:extLst>
          </xdr:cNvPr>
          <xdr:cNvGrpSpPr/>
        </xdr:nvGrpSpPr>
        <xdr:grpSpPr>
          <a:xfrm>
            <a:off x="5720443" y="6892925"/>
            <a:ext cx="542245" cy="474663"/>
            <a:chOff x="5761264" y="7940675"/>
            <a:chExt cx="542245" cy="474663"/>
          </a:xfrm>
        </xdr:grpSpPr>
        <xdr:sp macro="" textlink="">
          <xdr:nvSpPr>
            <xdr:cNvPr id="27" name="WordArt 25">
              <a:extLst>
                <a:ext uri="{FF2B5EF4-FFF2-40B4-BE49-F238E27FC236}">
                  <a16:creationId xmlns:a16="http://schemas.microsoft.com/office/drawing/2014/main" id="{00000000-0008-0000-0100-00001B000000}"/>
                </a:ext>
              </a:extLst>
            </xdr:cNvPr>
            <xdr:cNvSpPr>
              <a:spLocks noChangeArrowheads="1" noChangeShapeType="1" noTextEdit="1"/>
            </xdr:cNvSpPr>
          </xdr:nvSpPr>
          <xdr:spPr bwMode="auto">
            <a:xfrm>
              <a:off x="5966959" y="7940675"/>
              <a:ext cx="336550" cy="474663"/>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II</a:t>
              </a:r>
            </a:p>
          </xdr:txBody>
        </xdr:sp>
        <xdr:sp macro="" textlink="">
          <xdr:nvSpPr>
            <xdr:cNvPr id="28" name="WordArt 4">
              <a:extLst>
                <a:ext uri="{FF2B5EF4-FFF2-40B4-BE49-F238E27FC236}">
                  <a16:creationId xmlns:a16="http://schemas.microsoft.com/office/drawing/2014/main" id="{00000000-0008-0000-0100-00001C000000}"/>
                </a:ext>
              </a:extLst>
            </xdr:cNvPr>
            <xdr:cNvSpPr>
              <a:spLocks noChangeArrowheads="1" noChangeShapeType="1" noTextEdit="1"/>
            </xdr:cNvSpPr>
          </xdr:nvSpPr>
          <xdr:spPr bwMode="auto">
            <a:xfrm>
              <a:off x="5761264" y="7943850"/>
              <a:ext cx="115207"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grpSp>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493865" y="6849601"/>
            <a:ext cx="1937617" cy="68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Variáveis</a:t>
            </a:r>
            <a:r>
              <a:rPr lang="pt-PT" sz="1100" b="1" u="none">
                <a:solidFill>
                  <a:srgbClr val="FFFF00"/>
                </a:solidFill>
              </a:rPr>
              <a:t> p</a:t>
            </a:r>
            <a:r>
              <a:rPr lang="pt-PT" sz="1100" b="1">
                <a:solidFill>
                  <a:srgbClr val="FFFF00"/>
                </a:solidFill>
              </a:rPr>
              <a:t>or:</a:t>
            </a:r>
          </a:p>
          <a:p>
            <a:r>
              <a:rPr lang="pt-PT" sz="1100">
                <a:solidFill>
                  <a:srgbClr val="FFFF00"/>
                </a:solidFill>
              </a:rPr>
              <a:t>- Distrito</a:t>
            </a:r>
          </a:p>
        </xdr:txBody>
      </xdr:sp>
    </xdr:grpSp>
    <xdr:clientData/>
  </xdr:twoCellAnchor>
  <xdr:twoCellAnchor>
    <xdr:from>
      <xdr:col>0</xdr:col>
      <xdr:colOff>0</xdr:colOff>
      <xdr:row>25</xdr:row>
      <xdr:rowOff>3857</xdr:rowOff>
    </xdr:from>
    <xdr:to>
      <xdr:col>10</xdr:col>
      <xdr:colOff>508000</xdr:colOff>
      <xdr:row>28</xdr:row>
      <xdr:rowOff>179285</xdr:rowOff>
    </xdr:to>
    <xdr:grpSp>
      <xdr:nvGrpSpPr>
        <xdr:cNvPr id="29" name="Agrupar 28">
          <a:extLst>
            <a:ext uri="{FF2B5EF4-FFF2-40B4-BE49-F238E27FC236}">
              <a16:creationId xmlns:a16="http://schemas.microsoft.com/office/drawing/2014/main" id="{00000000-0008-0000-0100-00001D000000}"/>
            </a:ext>
          </a:extLst>
        </xdr:cNvPr>
        <xdr:cNvGrpSpPr/>
      </xdr:nvGrpSpPr>
      <xdr:grpSpPr>
        <a:xfrm>
          <a:off x="0" y="4766357"/>
          <a:ext cx="12414250" cy="746928"/>
          <a:chOff x="87368" y="4457925"/>
          <a:chExt cx="6359071" cy="896937"/>
        </a:xfrm>
      </xdr:grpSpPr>
      <xdr:grpSp>
        <xdr:nvGrpSpPr>
          <xdr:cNvPr id="30" name="Agrupar 29">
            <a:extLst>
              <a:ext uri="{FF2B5EF4-FFF2-40B4-BE49-F238E27FC236}">
                <a16:creationId xmlns:a16="http://schemas.microsoft.com/office/drawing/2014/main" id="{00000000-0008-0000-0100-00001E000000}"/>
              </a:ext>
            </a:extLst>
          </xdr:cNvPr>
          <xdr:cNvGrpSpPr/>
        </xdr:nvGrpSpPr>
        <xdr:grpSpPr>
          <a:xfrm>
            <a:off x="87368" y="4457925"/>
            <a:ext cx="6359071" cy="896937"/>
            <a:chOff x="87368" y="4457925"/>
            <a:chExt cx="6359071" cy="896937"/>
          </a:xfrm>
        </xdr:grpSpPr>
        <xdr:sp macro="" textlink="">
          <xdr:nvSpPr>
            <xdr:cNvPr id="32" name="Rectangle 2">
              <a:extLst>
                <a:ext uri="{FF2B5EF4-FFF2-40B4-BE49-F238E27FC236}">
                  <a16:creationId xmlns:a16="http://schemas.microsoft.com/office/drawing/2014/main" id="{00000000-0008-0000-0100-000020000000}"/>
                </a:ext>
              </a:extLst>
            </xdr:cNvPr>
            <xdr:cNvSpPr>
              <a:spLocks noChangeArrowheads="1"/>
            </xdr:cNvSpPr>
          </xdr:nvSpPr>
          <xdr:spPr bwMode="auto">
            <a:xfrm>
              <a:off x="87368" y="4619850"/>
              <a:ext cx="6359071" cy="735012"/>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33" name="Rectangle 3">
              <a:hlinkClick xmlns:r="http://schemas.openxmlformats.org/officeDocument/2006/relationships" r:id="rId2"/>
              <a:extLst>
                <a:ext uri="{FF2B5EF4-FFF2-40B4-BE49-F238E27FC236}">
                  <a16:creationId xmlns:a16="http://schemas.microsoft.com/office/drawing/2014/main" id="{00000000-0008-0000-0100-000021000000}"/>
                </a:ext>
              </a:extLst>
            </xdr:cNvPr>
            <xdr:cNvSpPr>
              <a:spLocks noChangeArrowheads="1"/>
            </xdr:cNvSpPr>
          </xdr:nvSpPr>
          <xdr:spPr bwMode="auto">
            <a:xfrm>
              <a:off x="112384" y="4457925"/>
              <a:ext cx="3301093" cy="72866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34" name="Text Box 10">
              <a:hlinkClick xmlns:r="http://schemas.openxmlformats.org/officeDocument/2006/relationships" r:id="rId2" tooltip="Estrutura Empresarial"/>
              <a:extLst>
                <a:ext uri="{FF2B5EF4-FFF2-40B4-BE49-F238E27FC236}">
                  <a16:creationId xmlns:a16="http://schemas.microsoft.com/office/drawing/2014/main" id="{00000000-0008-0000-0100-000022000000}"/>
                </a:ext>
              </a:extLst>
            </xdr:cNvPr>
            <xdr:cNvSpPr txBox="1">
              <a:spLocks noChangeArrowheads="1"/>
            </xdr:cNvSpPr>
          </xdr:nvSpPr>
          <xdr:spPr bwMode="auto">
            <a:xfrm>
              <a:off x="450417" y="4609164"/>
              <a:ext cx="2459492" cy="376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Estrutura</a:t>
              </a:r>
              <a:r>
                <a:rPr lang="en-US" altLang="pt-PT" sz="1500" b="1" baseline="0">
                  <a:solidFill>
                    <a:srgbClr val="00467A"/>
                  </a:solidFill>
                  <a:latin typeface="Arial" charset="0"/>
                </a:rPr>
                <a:t> Empresarial</a:t>
              </a:r>
              <a:endParaRPr lang="en-US" altLang="pt-PT" sz="1500" b="1">
                <a:solidFill>
                  <a:srgbClr val="00467A"/>
                </a:solidFill>
                <a:latin typeface="Arial" charset="0"/>
              </a:endParaRPr>
            </a:p>
          </xdr:txBody>
        </xdr:sp>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3484249" y="4576079"/>
              <a:ext cx="1937617" cy="770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Variáveis</a:t>
              </a:r>
              <a:r>
                <a:rPr lang="pt-PT" sz="1100" b="1" u="none">
                  <a:solidFill>
                    <a:srgbClr val="FFFF00"/>
                  </a:solidFill>
                </a:rPr>
                <a:t> p</a:t>
              </a:r>
              <a:r>
                <a:rPr lang="pt-PT" sz="1100" b="1">
                  <a:solidFill>
                    <a:srgbClr val="FFFF00"/>
                  </a:solidFill>
                </a:rPr>
                <a:t>or:</a:t>
              </a:r>
            </a:p>
            <a:p>
              <a:r>
                <a:rPr lang="pt-PT" sz="1100">
                  <a:solidFill>
                    <a:srgbClr val="FFFF00"/>
                  </a:solidFill>
                </a:rPr>
                <a:t>- Atividade económica da empresa/ estabelecimento</a:t>
              </a:r>
            </a:p>
            <a:p>
              <a:r>
                <a:rPr lang="pt-PT" sz="1100">
                  <a:solidFill>
                    <a:srgbClr val="FFFF00"/>
                  </a:solidFill>
                </a:rPr>
                <a:t>- Dimensão da empresa</a:t>
              </a:r>
              <a:r>
                <a:rPr lang="pt-PT" sz="1100" baseline="0">
                  <a:solidFill>
                    <a:srgbClr val="FFFF00"/>
                  </a:solidFill>
                </a:rPr>
                <a:t>/</a:t>
              </a:r>
              <a:r>
                <a:rPr lang="pt-PT" sz="1100">
                  <a:solidFill>
                    <a:srgbClr val="FFFF00"/>
                  </a:solidFill>
                  <a:latin typeface="+mn-lt"/>
                  <a:ea typeface="+mn-ea"/>
                  <a:cs typeface="+mn-cs"/>
                </a:rPr>
                <a:t>estabelecimento</a:t>
              </a:r>
            </a:p>
          </xdr:txBody>
        </xdr:sp>
      </xdr:grpSp>
      <xdr:sp macro="" textlink="">
        <xdr:nvSpPr>
          <xdr:cNvPr id="31" name="WordArt 4">
            <a:extLst>
              <a:ext uri="{FF2B5EF4-FFF2-40B4-BE49-F238E27FC236}">
                <a16:creationId xmlns:a16="http://schemas.microsoft.com/office/drawing/2014/main" id="{00000000-0008-0000-0100-00001F000000}"/>
              </a:ext>
            </a:extLst>
          </xdr:cNvPr>
          <xdr:cNvSpPr>
            <a:spLocks noChangeArrowheads="1" noChangeShapeType="1" noTextEdit="1"/>
          </xdr:cNvSpPr>
        </xdr:nvSpPr>
        <xdr:spPr bwMode="auto">
          <a:xfrm>
            <a:off x="6076950" y="4762047"/>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grpSp>
    <xdr:clientData/>
  </xdr:twoCellAnchor>
  <xdr:twoCellAnchor>
    <xdr:from>
      <xdr:col>0</xdr:col>
      <xdr:colOff>0</xdr:colOff>
      <xdr:row>44</xdr:row>
      <xdr:rowOff>165996</xdr:rowOff>
    </xdr:from>
    <xdr:to>
      <xdr:col>10</xdr:col>
      <xdr:colOff>506550</xdr:colOff>
      <xdr:row>49</xdr:row>
      <xdr:rowOff>81096</xdr:rowOff>
    </xdr:to>
    <xdr:grpSp>
      <xdr:nvGrpSpPr>
        <xdr:cNvPr id="36" name="Agrupar 35">
          <a:extLst>
            <a:ext uri="{FF2B5EF4-FFF2-40B4-BE49-F238E27FC236}">
              <a16:creationId xmlns:a16="http://schemas.microsoft.com/office/drawing/2014/main" id="{00000000-0008-0000-0100-000024000000}"/>
            </a:ext>
          </a:extLst>
        </xdr:cNvPr>
        <xdr:cNvGrpSpPr/>
      </xdr:nvGrpSpPr>
      <xdr:grpSpPr>
        <a:xfrm>
          <a:off x="0" y="8547996"/>
          <a:ext cx="12412800" cy="867600"/>
          <a:chOff x="29714" y="7622719"/>
          <a:chExt cx="6361601" cy="1069451"/>
        </a:xfrm>
      </xdr:grpSpPr>
      <xdr:sp macro="" textlink="">
        <xdr:nvSpPr>
          <xdr:cNvPr id="37" name="Rectangle 8">
            <a:extLst>
              <a:ext uri="{FF2B5EF4-FFF2-40B4-BE49-F238E27FC236}">
                <a16:creationId xmlns:a16="http://schemas.microsoft.com/office/drawing/2014/main" id="{00000000-0008-0000-0100-000025000000}"/>
              </a:ext>
            </a:extLst>
          </xdr:cNvPr>
          <xdr:cNvSpPr>
            <a:spLocks noChangeArrowheads="1"/>
          </xdr:cNvSpPr>
        </xdr:nvSpPr>
        <xdr:spPr bwMode="auto">
          <a:xfrm>
            <a:off x="32244" y="7737477"/>
            <a:ext cx="6359071" cy="836791"/>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38" name="Rectangle 9">
            <a:hlinkClick xmlns:r="http://schemas.openxmlformats.org/officeDocument/2006/relationships" r:id="rId3"/>
            <a:extLst>
              <a:ext uri="{FF2B5EF4-FFF2-40B4-BE49-F238E27FC236}">
                <a16:creationId xmlns:a16="http://schemas.microsoft.com/office/drawing/2014/main" id="{00000000-0008-0000-0100-000026000000}"/>
              </a:ext>
            </a:extLst>
          </xdr:cNvPr>
          <xdr:cNvSpPr>
            <a:spLocks noChangeArrowheads="1"/>
          </xdr:cNvSpPr>
        </xdr:nvSpPr>
        <xdr:spPr bwMode="auto">
          <a:xfrm>
            <a:off x="44541" y="7622719"/>
            <a:ext cx="3301093" cy="72231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39" name="CaixaDeTexto 38">
            <a:extLst>
              <a:ext uri="{FF2B5EF4-FFF2-40B4-BE49-F238E27FC236}">
                <a16:creationId xmlns:a16="http://schemas.microsoft.com/office/drawing/2014/main" id="{00000000-0008-0000-0100-000027000000}"/>
              </a:ext>
            </a:extLst>
          </xdr:cNvPr>
          <xdr:cNvSpPr txBox="1"/>
        </xdr:nvSpPr>
        <xdr:spPr>
          <a:xfrm>
            <a:off x="3450279" y="7673677"/>
            <a:ext cx="2104686" cy="101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Variáveis</a:t>
            </a:r>
            <a:r>
              <a:rPr lang="pt-PT" sz="1100" b="1" u="none">
                <a:solidFill>
                  <a:srgbClr val="FFFF00"/>
                </a:solidFill>
              </a:rPr>
              <a:t> p</a:t>
            </a:r>
            <a:r>
              <a:rPr lang="pt-PT" sz="1100" b="1">
                <a:solidFill>
                  <a:srgbClr val="FFFF00"/>
                </a:solidFill>
              </a:rPr>
              <a:t>or:</a:t>
            </a:r>
          </a:p>
          <a:p>
            <a:pPr lvl="0"/>
            <a:r>
              <a:rPr lang="pt-PT" sz="1100" u="none">
                <a:solidFill>
                  <a:srgbClr val="FFFF00"/>
                </a:solidFill>
                <a:effectLst/>
                <a:latin typeface="+mn-lt"/>
                <a:ea typeface="+mn-ea"/>
                <a:cs typeface="+mn-cs"/>
              </a:rPr>
              <a:t>- Grupo Etário e Sexo</a:t>
            </a:r>
          </a:p>
          <a:p>
            <a:pPr lvl="0"/>
            <a:r>
              <a:rPr lang="pt-PT" sz="1100" u="none">
                <a:solidFill>
                  <a:srgbClr val="FFFF00"/>
                </a:solidFill>
                <a:effectLst/>
                <a:latin typeface="+mn-lt"/>
                <a:ea typeface="+mn-ea"/>
                <a:cs typeface="+mn-cs"/>
              </a:rPr>
              <a:t>-</a:t>
            </a:r>
            <a:r>
              <a:rPr lang="pt-PT" sz="1100" u="none" baseline="0">
                <a:solidFill>
                  <a:srgbClr val="FFFF00"/>
                </a:solidFill>
                <a:effectLst/>
                <a:latin typeface="+mn-lt"/>
                <a:ea typeface="+mn-ea"/>
                <a:cs typeface="+mn-cs"/>
              </a:rPr>
              <a:t> </a:t>
            </a:r>
            <a:r>
              <a:rPr lang="pt-PT" sz="1100" u="none">
                <a:solidFill>
                  <a:srgbClr val="FFFF00"/>
                </a:solidFill>
                <a:effectLst/>
                <a:latin typeface="+mn-lt"/>
                <a:ea typeface="+mn-ea"/>
                <a:cs typeface="+mn-cs"/>
              </a:rPr>
              <a:t>Nível de Habilitação </a:t>
            </a:r>
          </a:p>
        </xdr:txBody>
      </xdr:sp>
      <xdr:sp macro="" textlink="">
        <xdr:nvSpPr>
          <xdr:cNvPr id="40" name="Text Box 12">
            <a:hlinkClick xmlns:r="http://schemas.openxmlformats.org/officeDocument/2006/relationships" r:id="rId3" tooltip="Características dos Trabalhadores por Conta de Outrem (TCO)"/>
            <a:extLst>
              <a:ext uri="{FF2B5EF4-FFF2-40B4-BE49-F238E27FC236}">
                <a16:creationId xmlns:a16="http://schemas.microsoft.com/office/drawing/2014/main" id="{00000000-0008-0000-0100-000028000000}"/>
              </a:ext>
            </a:extLst>
          </xdr:cNvPr>
          <xdr:cNvSpPr txBox="1">
            <a:spLocks noChangeArrowheads="1"/>
          </xdr:cNvSpPr>
        </xdr:nvSpPr>
        <xdr:spPr bwMode="auto">
          <a:xfrm>
            <a:off x="29714" y="7637015"/>
            <a:ext cx="3169418" cy="623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Características dos Trabalhadores</a:t>
            </a:r>
            <a:r>
              <a:rPr lang="en-US" altLang="pt-PT" sz="1500" b="1" baseline="0">
                <a:solidFill>
                  <a:srgbClr val="00467A"/>
                </a:solidFill>
                <a:latin typeface="Arial" charset="0"/>
              </a:rPr>
              <a:t> por Conta de Outrem (TCO)_1</a:t>
            </a:r>
            <a:endParaRPr lang="en-US" altLang="pt-PT" sz="1500" b="1">
              <a:solidFill>
                <a:srgbClr val="00467A"/>
              </a:solidFill>
              <a:latin typeface="Arial" charset="0"/>
            </a:endParaRPr>
          </a:p>
        </xdr:txBody>
      </xdr:sp>
      <xdr:sp macro="" textlink="">
        <xdr:nvSpPr>
          <xdr:cNvPr id="41" name="WordArt 37">
            <a:extLst>
              <a:ext uri="{FF2B5EF4-FFF2-40B4-BE49-F238E27FC236}">
                <a16:creationId xmlns:a16="http://schemas.microsoft.com/office/drawing/2014/main" id="{00000000-0008-0000-0100-000029000000}"/>
              </a:ext>
            </a:extLst>
          </xdr:cNvPr>
          <xdr:cNvSpPr>
            <a:spLocks noChangeArrowheads="1" noChangeShapeType="1" noTextEdit="1"/>
          </xdr:cNvSpPr>
        </xdr:nvSpPr>
        <xdr:spPr bwMode="auto">
          <a:xfrm>
            <a:off x="5913777" y="7878536"/>
            <a:ext cx="345986"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V</a:t>
            </a:r>
          </a:p>
        </xdr:txBody>
      </xdr:sp>
    </xdr:grpSp>
    <xdr:clientData/>
  </xdr:twoCellAnchor>
  <xdr:twoCellAnchor>
    <xdr:from>
      <xdr:col>0</xdr:col>
      <xdr:colOff>27211</xdr:colOff>
      <xdr:row>54</xdr:row>
      <xdr:rowOff>27657</xdr:rowOff>
    </xdr:from>
    <xdr:to>
      <xdr:col>10</xdr:col>
      <xdr:colOff>535211</xdr:colOff>
      <xdr:row>56</xdr:row>
      <xdr:rowOff>539298</xdr:rowOff>
    </xdr:to>
    <xdr:grpSp>
      <xdr:nvGrpSpPr>
        <xdr:cNvPr id="42" name="Agrupar 41">
          <a:extLst>
            <a:ext uri="{FF2B5EF4-FFF2-40B4-BE49-F238E27FC236}">
              <a16:creationId xmlns:a16="http://schemas.microsoft.com/office/drawing/2014/main" id="{00000000-0008-0000-0100-00002A000000}"/>
            </a:ext>
          </a:extLst>
        </xdr:cNvPr>
        <xdr:cNvGrpSpPr/>
      </xdr:nvGrpSpPr>
      <xdr:grpSpPr>
        <a:xfrm>
          <a:off x="27211" y="10314657"/>
          <a:ext cx="12414250" cy="892641"/>
          <a:chOff x="78831" y="8664826"/>
          <a:chExt cx="6359071" cy="1035176"/>
        </a:xfrm>
      </xdr:grpSpPr>
      <xdr:sp macro="" textlink="">
        <xdr:nvSpPr>
          <xdr:cNvPr id="43" name="Rectangle 8">
            <a:extLst>
              <a:ext uri="{FF2B5EF4-FFF2-40B4-BE49-F238E27FC236}">
                <a16:creationId xmlns:a16="http://schemas.microsoft.com/office/drawing/2014/main" id="{00000000-0008-0000-0100-00002B000000}"/>
              </a:ext>
            </a:extLst>
          </xdr:cNvPr>
          <xdr:cNvSpPr>
            <a:spLocks noChangeArrowheads="1"/>
          </xdr:cNvSpPr>
        </xdr:nvSpPr>
        <xdr:spPr bwMode="auto">
          <a:xfrm>
            <a:off x="78831" y="8801547"/>
            <a:ext cx="6359071"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44" name="Rectangle 9">
            <a:hlinkClick xmlns:r="http://schemas.openxmlformats.org/officeDocument/2006/relationships" r:id="rId4"/>
            <a:extLst>
              <a:ext uri="{FF2B5EF4-FFF2-40B4-BE49-F238E27FC236}">
                <a16:creationId xmlns:a16="http://schemas.microsoft.com/office/drawing/2014/main" id="{00000000-0008-0000-0100-00002C000000}"/>
              </a:ext>
            </a:extLst>
          </xdr:cNvPr>
          <xdr:cNvSpPr>
            <a:spLocks noChangeArrowheads="1"/>
          </xdr:cNvSpPr>
        </xdr:nvSpPr>
        <xdr:spPr bwMode="auto">
          <a:xfrm>
            <a:off x="82952" y="8664826"/>
            <a:ext cx="3301093" cy="722313"/>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45" name="CaixaDeTexto 44">
            <a:extLst>
              <a:ext uri="{FF2B5EF4-FFF2-40B4-BE49-F238E27FC236}">
                <a16:creationId xmlns:a16="http://schemas.microsoft.com/office/drawing/2014/main" id="{00000000-0008-0000-0100-00002D000000}"/>
              </a:ext>
            </a:extLst>
          </xdr:cNvPr>
          <xdr:cNvSpPr txBox="1"/>
        </xdr:nvSpPr>
        <xdr:spPr>
          <a:xfrm>
            <a:off x="3413466" y="8813179"/>
            <a:ext cx="1937617" cy="88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pt-PT" sz="1100" u="none">
                <a:solidFill>
                  <a:srgbClr val="FFFF00"/>
                </a:solidFill>
                <a:effectLst/>
                <a:latin typeface="+mn-lt"/>
                <a:ea typeface="+mn-ea"/>
                <a:cs typeface="+mn-cs"/>
              </a:rPr>
              <a:t>- TCO por escalões de remuneração</a:t>
            </a:r>
          </a:p>
          <a:p>
            <a:pPr lvl="0"/>
            <a:r>
              <a:rPr lang="pt-PT" sz="1100" u="none">
                <a:solidFill>
                  <a:srgbClr val="FFFF00"/>
                </a:solidFill>
                <a:effectLst/>
                <a:latin typeface="+mn-lt"/>
                <a:ea typeface="+mn-ea"/>
                <a:cs typeface="+mn-cs"/>
              </a:rPr>
              <a:t>- </a:t>
            </a:r>
            <a:r>
              <a:rPr lang="pt-PT" sz="1100" u="none" baseline="0">
                <a:solidFill>
                  <a:srgbClr val="FFFF00"/>
                </a:solidFill>
                <a:effectLst/>
                <a:latin typeface="+mn-lt"/>
                <a:ea typeface="+mn-ea"/>
                <a:cs typeface="+mn-cs"/>
              </a:rPr>
              <a:t> Medidas de localização</a:t>
            </a:r>
            <a:endParaRPr lang="pt-PT" sz="1100" u="none">
              <a:solidFill>
                <a:srgbClr val="FFFF00"/>
              </a:solidFill>
              <a:effectLst/>
              <a:latin typeface="+mn-lt"/>
              <a:ea typeface="+mn-ea"/>
              <a:cs typeface="+mn-cs"/>
            </a:endParaRPr>
          </a:p>
          <a:p>
            <a:pPr lvl="0"/>
            <a:r>
              <a:rPr lang="pt-PT" sz="1100" u="none">
                <a:solidFill>
                  <a:srgbClr val="FFFF00"/>
                </a:solidFill>
                <a:effectLst/>
                <a:latin typeface="+mn-lt"/>
                <a:ea typeface="+mn-ea"/>
                <a:cs typeface="+mn-cs"/>
              </a:rPr>
              <a:t>- TCO abrangidos e remunerações médias por tipo de IRCT</a:t>
            </a:r>
          </a:p>
        </xdr:txBody>
      </xdr:sp>
      <xdr:sp macro="" textlink="">
        <xdr:nvSpPr>
          <xdr:cNvPr id="46" name="Text Box 12">
            <a:hlinkClick xmlns:r="http://schemas.openxmlformats.org/officeDocument/2006/relationships" r:id="rId4" tooltip="Desigualdade e Contratação Coletiva"/>
            <a:extLst>
              <a:ext uri="{FF2B5EF4-FFF2-40B4-BE49-F238E27FC236}">
                <a16:creationId xmlns:a16="http://schemas.microsoft.com/office/drawing/2014/main" id="{00000000-0008-0000-0100-00002E000000}"/>
              </a:ext>
            </a:extLst>
          </xdr:cNvPr>
          <xdr:cNvSpPr txBox="1">
            <a:spLocks noChangeArrowheads="1"/>
          </xdr:cNvSpPr>
        </xdr:nvSpPr>
        <xdr:spPr bwMode="auto">
          <a:xfrm>
            <a:off x="388720" y="8825760"/>
            <a:ext cx="2459492" cy="31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Desigualdade e Contratação Coletiva</a:t>
            </a:r>
          </a:p>
        </xdr:txBody>
      </xdr:sp>
      <xdr:sp macro="" textlink="">
        <xdr:nvSpPr>
          <xdr:cNvPr id="47" name="WordArt 41">
            <a:extLst>
              <a:ext uri="{FF2B5EF4-FFF2-40B4-BE49-F238E27FC236}">
                <a16:creationId xmlns:a16="http://schemas.microsoft.com/office/drawing/2014/main" id="{00000000-0008-0000-0100-00002F000000}"/>
              </a:ext>
            </a:extLst>
          </xdr:cNvPr>
          <xdr:cNvSpPr>
            <a:spLocks noChangeArrowheads="1" noChangeShapeType="1" noTextEdit="1"/>
          </xdr:cNvSpPr>
        </xdr:nvSpPr>
        <xdr:spPr bwMode="auto">
          <a:xfrm>
            <a:off x="5853295" y="8926286"/>
            <a:ext cx="397139" cy="468313"/>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VII</a:t>
            </a:r>
          </a:p>
        </xdr:txBody>
      </xdr:sp>
    </xdr:grpSp>
    <xdr:clientData/>
  </xdr:twoCellAnchor>
  <xdr:twoCellAnchor>
    <xdr:from>
      <xdr:col>0</xdr:col>
      <xdr:colOff>1814</xdr:colOff>
      <xdr:row>30</xdr:row>
      <xdr:rowOff>73032</xdr:rowOff>
    </xdr:from>
    <xdr:to>
      <xdr:col>10</xdr:col>
      <xdr:colOff>509480</xdr:colOff>
      <xdr:row>34</xdr:row>
      <xdr:rowOff>81647</xdr:rowOff>
    </xdr:to>
    <xdr:grpSp>
      <xdr:nvGrpSpPr>
        <xdr:cNvPr id="48" name="Agrupar 47">
          <a:extLst>
            <a:ext uri="{FF2B5EF4-FFF2-40B4-BE49-F238E27FC236}">
              <a16:creationId xmlns:a16="http://schemas.microsoft.com/office/drawing/2014/main" id="{00000000-0008-0000-0100-000030000000}"/>
            </a:ext>
          </a:extLst>
        </xdr:cNvPr>
        <xdr:cNvGrpSpPr/>
      </xdr:nvGrpSpPr>
      <xdr:grpSpPr>
        <a:xfrm>
          <a:off x="1814" y="5788032"/>
          <a:ext cx="12413916" cy="770615"/>
          <a:chOff x="97064" y="6196240"/>
          <a:chExt cx="6338632" cy="901267"/>
        </a:xfrm>
      </xdr:grpSpPr>
      <xdr:grpSp>
        <xdr:nvGrpSpPr>
          <xdr:cNvPr id="49" name="Agrupar 48">
            <a:extLst>
              <a:ext uri="{FF2B5EF4-FFF2-40B4-BE49-F238E27FC236}">
                <a16:creationId xmlns:a16="http://schemas.microsoft.com/office/drawing/2014/main" id="{00000000-0008-0000-0100-000031000000}"/>
              </a:ext>
            </a:extLst>
          </xdr:cNvPr>
          <xdr:cNvGrpSpPr/>
        </xdr:nvGrpSpPr>
        <xdr:grpSpPr>
          <a:xfrm>
            <a:off x="97064" y="6196240"/>
            <a:ext cx="6338632" cy="901267"/>
            <a:chOff x="97064" y="5488668"/>
            <a:chExt cx="6338632" cy="901267"/>
          </a:xfrm>
        </xdr:grpSpPr>
        <xdr:sp macro="" textlink="">
          <xdr:nvSpPr>
            <xdr:cNvPr id="51" name="Rectangle 5">
              <a:extLst>
                <a:ext uri="{FF2B5EF4-FFF2-40B4-BE49-F238E27FC236}">
                  <a16:creationId xmlns:a16="http://schemas.microsoft.com/office/drawing/2014/main" id="{00000000-0008-0000-0100-000033000000}"/>
                </a:ext>
              </a:extLst>
            </xdr:cNvPr>
            <xdr:cNvSpPr>
              <a:spLocks noChangeArrowheads="1"/>
            </xdr:cNvSpPr>
          </xdr:nvSpPr>
          <xdr:spPr bwMode="auto">
            <a:xfrm>
              <a:off x="97064" y="5635399"/>
              <a:ext cx="6338632" cy="736599"/>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52" name="Rectangle 6">
              <a:hlinkClick xmlns:r="http://schemas.openxmlformats.org/officeDocument/2006/relationships" r:id="rId5"/>
              <a:extLst>
                <a:ext uri="{FF2B5EF4-FFF2-40B4-BE49-F238E27FC236}">
                  <a16:creationId xmlns:a16="http://schemas.microsoft.com/office/drawing/2014/main" id="{00000000-0008-0000-0100-000034000000}"/>
                </a:ext>
              </a:extLst>
            </xdr:cNvPr>
            <xdr:cNvSpPr>
              <a:spLocks noChangeArrowheads="1"/>
            </xdr:cNvSpPr>
          </xdr:nvSpPr>
          <xdr:spPr bwMode="auto">
            <a:xfrm>
              <a:off x="116313" y="5488668"/>
              <a:ext cx="3301093" cy="727075"/>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53" name="Text Box 11">
              <a:hlinkClick xmlns:r="http://schemas.openxmlformats.org/officeDocument/2006/relationships" r:id="rId5" tooltip="Estrutura Empresarial - Remunerações"/>
              <a:extLst>
                <a:ext uri="{FF2B5EF4-FFF2-40B4-BE49-F238E27FC236}">
                  <a16:creationId xmlns:a16="http://schemas.microsoft.com/office/drawing/2014/main" id="{00000000-0008-0000-0100-000035000000}"/>
                </a:ext>
              </a:extLst>
            </xdr:cNvPr>
            <xdr:cNvSpPr txBox="1">
              <a:spLocks noChangeArrowheads="1"/>
            </xdr:cNvSpPr>
          </xdr:nvSpPr>
          <xdr:spPr bwMode="auto">
            <a:xfrm>
              <a:off x="427240" y="5548873"/>
              <a:ext cx="2459492" cy="538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Estrutura Empresarial</a:t>
              </a:r>
              <a:r>
                <a:rPr lang="en-US" altLang="pt-PT" sz="1500" b="1" baseline="0">
                  <a:solidFill>
                    <a:srgbClr val="00467A"/>
                  </a:solidFill>
                  <a:latin typeface="Arial" charset="0"/>
                </a:rPr>
                <a:t> - </a:t>
              </a:r>
              <a:r>
                <a:rPr lang="en-US" altLang="pt-PT" sz="1500" b="1">
                  <a:solidFill>
                    <a:srgbClr val="00467A"/>
                  </a:solidFill>
                  <a:latin typeface="Arial" charset="0"/>
                </a:rPr>
                <a:t>Remunerações</a:t>
              </a:r>
            </a:p>
          </xdr:txBody>
        </xdr:sp>
        <xdr:sp macro="" textlink="">
          <xdr:nvSpPr>
            <xdr:cNvPr id="54" name="WordArt 4">
              <a:extLst>
                <a:ext uri="{FF2B5EF4-FFF2-40B4-BE49-F238E27FC236}">
                  <a16:creationId xmlns:a16="http://schemas.microsoft.com/office/drawing/2014/main" id="{00000000-0008-0000-0100-000036000000}"/>
                </a:ext>
              </a:extLst>
            </xdr:cNvPr>
            <xdr:cNvSpPr>
              <a:spLocks noChangeArrowheads="1" noChangeShapeType="1" noTextEdit="1"/>
            </xdr:cNvSpPr>
          </xdr:nvSpPr>
          <xdr:spPr bwMode="auto">
            <a:xfrm>
              <a:off x="6123214" y="5806168"/>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sp macro="" textlink="">
          <xdr:nvSpPr>
            <xdr:cNvPr id="55" name="CaixaDeTexto 54">
              <a:extLst>
                <a:ext uri="{FF2B5EF4-FFF2-40B4-BE49-F238E27FC236}">
                  <a16:creationId xmlns:a16="http://schemas.microsoft.com/office/drawing/2014/main" id="{00000000-0008-0000-0100-000037000000}"/>
                </a:ext>
              </a:extLst>
            </xdr:cNvPr>
            <xdr:cNvSpPr txBox="1"/>
          </xdr:nvSpPr>
          <xdr:spPr>
            <a:xfrm>
              <a:off x="3481099" y="5616348"/>
              <a:ext cx="1931439" cy="773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Remunerações</a:t>
              </a:r>
              <a:r>
                <a:rPr lang="pt-PT" sz="1100" b="1" u="none">
                  <a:solidFill>
                    <a:srgbClr val="FFFF00"/>
                  </a:solidFill>
                </a:rPr>
                <a:t> p</a:t>
              </a:r>
              <a:r>
                <a:rPr lang="pt-PT" sz="1100" b="1">
                  <a:solidFill>
                    <a:srgbClr val="FFFF00"/>
                  </a:solidFill>
                </a:rPr>
                <a:t>or:</a:t>
              </a:r>
            </a:p>
            <a:p>
              <a:r>
                <a:rPr lang="pt-PT" sz="1100">
                  <a:solidFill>
                    <a:srgbClr val="FFFF00"/>
                  </a:solidFill>
                </a:rPr>
                <a:t>- </a:t>
              </a:r>
              <a:r>
                <a:rPr lang="pt-PT" sz="1100">
                  <a:solidFill>
                    <a:srgbClr val="FFFF00"/>
                  </a:solidFill>
                  <a:latin typeface="+mn-lt"/>
                  <a:ea typeface="+mn-ea"/>
                  <a:cs typeface="+mn-cs"/>
                </a:rPr>
                <a:t>Atividade económica do estabelecimento</a:t>
              </a:r>
            </a:p>
            <a:p>
              <a:r>
                <a:rPr lang="pt-PT" sz="1100">
                  <a:solidFill>
                    <a:srgbClr val="FFFF00"/>
                  </a:solidFill>
                  <a:latin typeface="+mn-lt"/>
                  <a:ea typeface="+mn-ea"/>
                  <a:cs typeface="+mn-cs"/>
                </a:rPr>
                <a:t>- Dimensão do estabelecimento</a:t>
              </a:r>
            </a:p>
          </xdr:txBody>
        </xdr:sp>
      </xdr:grpSp>
      <xdr:sp macro="" textlink="">
        <xdr:nvSpPr>
          <xdr:cNvPr id="50" name="WordArt 4">
            <a:extLst>
              <a:ext uri="{FF2B5EF4-FFF2-40B4-BE49-F238E27FC236}">
                <a16:creationId xmlns:a16="http://schemas.microsoft.com/office/drawing/2014/main" id="{00000000-0008-0000-0100-000032000000}"/>
              </a:ext>
            </a:extLst>
          </xdr:cNvPr>
          <xdr:cNvSpPr>
            <a:spLocks noChangeArrowheads="1" noChangeShapeType="1" noTextEdit="1"/>
          </xdr:cNvSpPr>
        </xdr:nvSpPr>
        <xdr:spPr bwMode="auto">
          <a:xfrm>
            <a:off x="5923190" y="6513739"/>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grpSp>
    <xdr:clientData/>
  </xdr:twoCellAnchor>
  <xdr:twoCellAnchor>
    <xdr:from>
      <xdr:col>0</xdr:col>
      <xdr:colOff>0</xdr:colOff>
      <xdr:row>19</xdr:row>
      <xdr:rowOff>174396</xdr:rowOff>
    </xdr:from>
    <xdr:to>
      <xdr:col>10</xdr:col>
      <xdr:colOff>508000</xdr:colOff>
      <xdr:row>23</xdr:row>
      <xdr:rowOff>168396</xdr:rowOff>
    </xdr:to>
    <xdr:grpSp>
      <xdr:nvGrpSpPr>
        <xdr:cNvPr id="56" name="Agrupar 55">
          <a:extLst>
            <a:ext uri="{FF2B5EF4-FFF2-40B4-BE49-F238E27FC236}">
              <a16:creationId xmlns:a16="http://schemas.microsoft.com/office/drawing/2014/main" id="{00000000-0008-0000-0100-000038000000}"/>
            </a:ext>
          </a:extLst>
        </xdr:cNvPr>
        <xdr:cNvGrpSpPr/>
      </xdr:nvGrpSpPr>
      <xdr:grpSpPr>
        <a:xfrm>
          <a:off x="0" y="3793896"/>
          <a:ext cx="12414250" cy="756000"/>
          <a:chOff x="104886" y="4457925"/>
          <a:chExt cx="6359071" cy="896937"/>
        </a:xfrm>
      </xdr:grpSpPr>
      <xdr:sp macro="" textlink="">
        <xdr:nvSpPr>
          <xdr:cNvPr id="57" name="Rectangle 2">
            <a:extLst>
              <a:ext uri="{FF2B5EF4-FFF2-40B4-BE49-F238E27FC236}">
                <a16:creationId xmlns:a16="http://schemas.microsoft.com/office/drawing/2014/main" id="{00000000-0008-0000-0100-000039000000}"/>
              </a:ext>
            </a:extLst>
          </xdr:cNvPr>
          <xdr:cNvSpPr>
            <a:spLocks noChangeArrowheads="1"/>
          </xdr:cNvSpPr>
        </xdr:nvSpPr>
        <xdr:spPr bwMode="auto">
          <a:xfrm>
            <a:off x="104886" y="4619850"/>
            <a:ext cx="6359071" cy="735012"/>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58" name="Rectangle 3">
            <a:hlinkClick xmlns:r="http://schemas.openxmlformats.org/officeDocument/2006/relationships" r:id="rId6"/>
            <a:extLst>
              <a:ext uri="{FF2B5EF4-FFF2-40B4-BE49-F238E27FC236}">
                <a16:creationId xmlns:a16="http://schemas.microsoft.com/office/drawing/2014/main" id="{00000000-0008-0000-0100-00003A000000}"/>
              </a:ext>
            </a:extLst>
          </xdr:cNvPr>
          <xdr:cNvSpPr>
            <a:spLocks noChangeArrowheads="1"/>
          </xdr:cNvSpPr>
        </xdr:nvSpPr>
        <xdr:spPr bwMode="auto">
          <a:xfrm>
            <a:off x="121143" y="4457925"/>
            <a:ext cx="3301093" cy="72866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59" name="Text Box 10">
            <a:hlinkClick xmlns:r="http://schemas.openxmlformats.org/officeDocument/2006/relationships" r:id="rId6" tooltip="Introdução e Metainformação"/>
            <a:extLst>
              <a:ext uri="{FF2B5EF4-FFF2-40B4-BE49-F238E27FC236}">
                <a16:creationId xmlns:a16="http://schemas.microsoft.com/office/drawing/2014/main" id="{00000000-0008-0000-0100-00003B000000}"/>
              </a:ext>
            </a:extLst>
          </xdr:cNvPr>
          <xdr:cNvSpPr txBox="1">
            <a:spLocks noChangeArrowheads="1"/>
          </xdr:cNvSpPr>
        </xdr:nvSpPr>
        <xdr:spPr bwMode="auto">
          <a:xfrm>
            <a:off x="477889" y="4581164"/>
            <a:ext cx="2459492" cy="376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Introdução e Metainformação</a:t>
            </a:r>
          </a:p>
        </xdr:txBody>
      </xdr:sp>
    </xdr:grpSp>
    <xdr:clientData/>
  </xdr:twoCellAnchor>
  <xdr:twoCellAnchor>
    <xdr:from>
      <xdr:col>0</xdr:col>
      <xdr:colOff>0</xdr:colOff>
      <xdr:row>40</xdr:row>
      <xdr:rowOff>40821</xdr:rowOff>
    </xdr:from>
    <xdr:to>
      <xdr:col>10</xdr:col>
      <xdr:colOff>508000</xdr:colOff>
      <xdr:row>44</xdr:row>
      <xdr:rowOff>34821</xdr:rowOff>
    </xdr:to>
    <xdr:grpSp>
      <xdr:nvGrpSpPr>
        <xdr:cNvPr id="60" name="Agrupar 59">
          <a:extLst>
            <a:ext uri="{FF2B5EF4-FFF2-40B4-BE49-F238E27FC236}">
              <a16:creationId xmlns:a16="http://schemas.microsoft.com/office/drawing/2014/main" id="{00000000-0008-0000-0100-00003C000000}"/>
            </a:ext>
          </a:extLst>
        </xdr:cNvPr>
        <xdr:cNvGrpSpPr/>
      </xdr:nvGrpSpPr>
      <xdr:grpSpPr>
        <a:xfrm>
          <a:off x="0" y="7660821"/>
          <a:ext cx="12414250" cy="756000"/>
          <a:chOff x="81583" y="6572250"/>
          <a:chExt cx="6359071" cy="964945"/>
        </a:xfrm>
      </xdr:grpSpPr>
      <xdr:sp macro="" textlink="">
        <xdr:nvSpPr>
          <xdr:cNvPr id="61" name="Rectangle 8">
            <a:extLst>
              <a:ext uri="{FF2B5EF4-FFF2-40B4-BE49-F238E27FC236}">
                <a16:creationId xmlns:a16="http://schemas.microsoft.com/office/drawing/2014/main" id="{00000000-0008-0000-0100-00003D000000}"/>
              </a:ext>
            </a:extLst>
          </xdr:cNvPr>
          <xdr:cNvSpPr>
            <a:spLocks noChangeArrowheads="1"/>
          </xdr:cNvSpPr>
        </xdr:nvSpPr>
        <xdr:spPr bwMode="auto">
          <a:xfrm>
            <a:off x="81583" y="6727825"/>
            <a:ext cx="6359071" cy="738448"/>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62" name="Rectangle 9">
            <a:hlinkClick xmlns:r="http://schemas.openxmlformats.org/officeDocument/2006/relationships" r:id="rId1"/>
            <a:extLst>
              <a:ext uri="{FF2B5EF4-FFF2-40B4-BE49-F238E27FC236}">
                <a16:creationId xmlns:a16="http://schemas.microsoft.com/office/drawing/2014/main" id="{00000000-0008-0000-0100-00003E000000}"/>
              </a:ext>
            </a:extLst>
          </xdr:cNvPr>
          <xdr:cNvSpPr>
            <a:spLocks noChangeArrowheads="1"/>
          </xdr:cNvSpPr>
        </xdr:nvSpPr>
        <xdr:spPr bwMode="auto">
          <a:xfrm>
            <a:off x="106598" y="6572250"/>
            <a:ext cx="3301093" cy="722313"/>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63" name="Text Box 12">
            <a:hlinkClick xmlns:r="http://schemas.openxmlformats.org/officeDocument/2006/relationships" r:id="rId7" tooltip="NUTS 2024"/>
            <a:extLst>
              <a:ext uri="{FF2B5EF4-FFF2-40B4-BE49-F238E27FC236}">
                <a16:creationId xmlns:a16="http://schemas.microsoft.com/office/drawing/2014/main" id="{00000000-0008-0000-0100-00003F000000}"/>
              </a:ext>
            </a:extLst>
          </xdr:cNvPr>
          <xdr:cNvSpPr txBox="1">
            <a:spLocks noChangeArrowheads="1"/>
          </xdr:cNvSpPr>
        </xdr:nvSpPr>
        <xdr:spPr bwMode="auto">
          <a:xfrm>
            <a:off x="437842" y="6676458"/>
            <a:ext cx="2459492" cy="450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NUTS</a:t>
            </a:r>
            <a:r>
              <a:rPr lang="en-US" altLang="pt-PT" sz="1500" b="1" baseline="0">
                <a:solidFill>
                  <a:srgbClr val="00467A"/>
                </a:solidFill>
                <a:latin typeface="Arial" charset="0"/>
              </a:rPr>
              <a:t> 2024</a:t>
            </a:r>
            <a:endParaRPr lang="en-US" altLang="pt-PT" sz="1500" b="1">
              <a:solidFill>
                <a:srgbClr val="00467A"/>
              </a:solidFill>
              <a:latin typeface="Arial" charset="0"/>
            </a:endParaRPr>
          </a:p>
        </xdr:txBody>
      </xdr:sp>
      <xdr:sp macro="" textlink="">
        <xdr:nvSpPr>
          <xdr:cNvPr id="65" name="CaixaDeTexto 64">
            <a:extLst>
              <a:ext uri="{FF2B5EF4-FFF2-40B4-BE49-F238E27FC236}">
                <a16:creationId xmlns:a16="http://schemas.microsoft.com/office/drawing/2014/main" id="{00000000-0008-0000-0100-000041000000}"/>
              </a:ext>
            </a:extLst>
          </xdr:cNvPr>
          <xdr:cNvSpPr txBox="1"/>
        </xdr:nvSpPr>
        <xdr:spPr>
          <a:xfrm>
            <a:off x="3493865" y="6849600"/>
            <a:ext cx="1937617" cy="687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Variáveis</a:t>
            </a:r>
            <a:r>
              <a:rPr lang="pt-PT" sz="1100" b="1" u="none">
                <a:solidFill>
                  <a:srgbClr val="FFFF00"/>
                </a:solidFill>
              </a:rPr>
              <a:t> p</a:t>
            </a:r>
            <a:r>
              <a:rPr lang="pt-PT" sz="1100" b="1">
                <a:solidFill>
                  <a:srgbClr val="FFFF00"/>
                </a:solidFill>
              </a:rPr>
              <a:t>or:</a:t>
            </a:r>
          </a:p>
          <a:p>
            <a:r>
              <a:rPr lang="pt-PT" sz="1100">
                <a:solidFill>
                  <a:srgbClr val="FFFF00"/>
                </a:solidFill>
              </a:rPr>
              <a:t>- NUTS</a:t>
            </a:r>
            <a:r>
              <a:rPr lang="pt-PT" sz="1100" baseline="0">
                <a:solidFill>
                  <a:srgbClr val="FFFF00"/>
                </a:solidFill>
              </a:rPr>
              <a:t> II e III</a:t>
            </a:r>
            <a:endParaRPr lang="pt-PT" sz="1100">
              <a:solidFill>
                <a:srgbClr val="FFFF00"/>
              </a:solidFill>
            </a:endParaRPr>
          </a:p>
        </xdr:txBody>
      </xdr:sp>
    </xdr:grpSp>
    <xdr:clientData/>
  </xdr:twoCellAnchor>
  <xdr:twoCellAnchor>
    <xdr:from>
      <xdr:col>9</xdr:col>
      <xdr:colOff>476250</xdr:colOff>
      <xdr:row>41</xdr:row>
      <xdr:rowOff>27215</xdr:rowOff>
    </xdr:from>
    <xdr:to>
      <xdr:col>10</xdr:col>
      <xdr:colOff>229811</xdr:colOff>
      <xdr:row>43</xdr:row>
      <xdr:rowOff>111928</xdr:rowOff>
    </xdr:to>
    <xdr:sp macro="" textlink="">
      <xdr:nvSpPr>
        <xdr:cNvPr id="69" name="WordArt 37">
          <a:extLst>
            <a:ext uri="{FF2B5EF4-FFF2-40B4-BE49-F238E27FC236}">
              <a16:creationId xmlns:a16="http://schemas.microsoft.com/office/drawing/2014/main" id="{00000000-0008-0000-0100-000045000000}"/>
            </a:ext>
          </a:extLst>
        </xdr:cNvPr>
        <xdr:cNvSpPr>
          <a:spLocks noChangeArrowheads="1" noChangeShapeType="1" noTextEdit="1"/>
        </xdr:cNvSpPr>
      </xdr:nvSpPr>
      <xdr:spPr bwMode="auto">
        <a:xfrm>
          <a:off x="11253107" y="7837715"/>
          <a:ext cx="950990" cy="465713"/>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IV</a:t>
          </a:r>
        </a:p>
      </xdr:txBody>
    </xdr:sp>
    <xdr:clientData/>
  </xdr:twoCellAnchor>
  <xdr:twoCellAnchor>
    <xdr:from>
      <xdr:col>0</xdr:col>
      <xdr:colOff>9525</xdr:colOff>
      <xdr:row>49</xdr:row>
      <xdr:rowOff>104775</xdr:rowOff>
    </xdr:from>
    <xdr:to>
      <xdr:col>10</xdr:col>
      <xdr:colOff>516075</xdr:colOff>
      <xdr:row>54</xdr:row>
      <xdr:rowOff>20421</xdr:rowOff>
    </xdr:to>
    <xdr:grpSp>
      <xdr:nvGrpSpPr>
        <xdr:cNvPr id="67" name="Agrupar 66">
          <a:extLst>
            <a:ext uri="{FF2B5EF4-FFF2-40B4-BE49-F238E27FC236}">
              <a16:creationId xmlns:a16="http://schemas.microsoft.com/office/drawing/2014/main" id="{00000000-0008-0000-0100-000043000000}"/>
            </a:ext>
          </a:extLst>
        </xdr:cNvPr>
        <xdr:cNvGrpSpPr/>
      </xdr:nvGrpSpPr>
      <xdr:grpSpPr>
        <a:xfrm>
          <a:off x="9525" y="9439275"/>
          <a:ext cx="12412800" cy="868146"/>
          <a:chOff x="29714" y="7622719"/>
          <a:chExt cx="6361601" cy="1069451"/>
        </a:xfrm>
      </xdr:grpSpPr>
      <xdr:sp macro="" textlink="">
        <xdr:nvSpPr>
          <xdr:cNvPr id="70" name="Rectangle 8">
            <a:extLst>
              <a:ext uri="{FF2B5EF4-FFF2-40B4-BE49-F238E27FC236}">
                <a16:creationId xmlns:a16="http://schemas.microsoft.com/office/drawing/2014/main" id="{00000000-0008-0000-0100-000046000000}"/>
              </a:ext>
            </a:extLst>
          </xdr:cNvPr>
          <xdr:cNvSpPr>
            <a:spLocks noChangeArrowheads="1"/>
          </xdr:cNvSpPr>
        </xdr:nvSpPr>
        <xdr:spPr bwMode="auto">
          <a:xfrm>
            <a:off x="32244" y="7737477"/>
            <a:ext cx="6359071" cy="836791"/>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71" name="Rectangle 9">
            <a:hlinkClick xmlns:r="http://schemas.openxmlformats.org/officeDocument/2006/relationships" r:id="rId8"/>
            <a:extLst>
              <a:ext uri="{FF2B5EF4-FFF2-40B4-BE49-F238E27FC236}">
                <a16:creationId xmlns:a16="http://schemas.microsoft.com/office/drawing/2014/main" id="{00000000-0008-0000-0100-000047000000}"/>
              </a:ext>
            </a:extLst>
          </xdr:cNvPr>
          <xdr:cNvSpPr>
            <a:spLocks noChangeArrowheads="1"/>
          </xdr:cNvSpPr>
        </xdr:nvSpPr>
        <xdr:spPr bwMode="auto">
          <a:xfrm>
            <a:off x="44541" y="7622719"/>
            <a:ext cx="3301093" cy="72231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72" name="CaixaDeTexto 71">
            <a:extLst>
              <a:ext uri="{FF2B5EF4-FFF2-40B4-BE49-F238E27FC236}">
                <a16:creationId xmlns:a16="http://schemas.microsoft.com/office/drawing/2014/main" id="{00000000-0008-0000-0100-000048000000}"/>
              </a:ext>
            </a:extLst>
          </xdr:cNvPr>
          <xdr:cNvSpPr txBox="1"/>
        </xdr:nvSpPr>
        <xdr:spPr>
          <a:xfrm>
            <a:off x="3450279" y="7673677"/>
            <a:ext cx="2104686" cy="101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Variáveis</a:t>
            </a:r>
            <a:r>
              <a:rPr lang="pt-PT" sz="1100" b="1" u="none">
                <a:solidFill>
                  <a:srgbClr val="FFFF00"/>
                </a:solidFill>
              </a:rPr>
              <a:t> p</a:t>
            </a:r>
            <a:r>
              <a:rPr lang="pt-PT" sz="1100" b="1">
                <a:solidFill>
                  <a:srgbClr val="FFFF00"/>
                </a:solidFill>
              </a:rPr>
              <a:t>or:</a:t>
            </a:r>
          </a:p>
          <a:p>
            <a:pPr lvl="0"/>
            <a:r>
              <a:rPr lang="pt-PT" sz="1100" u="none">
                <a:solidFill>
                  <a:srgbClr val="FFFF00"/>
                </a:solidFill>
                <a:effectLst/>
                <a:latin typeface="+mn-lt"/>
                <a:ea typeface="+mn-ea"/>
                <a:cs typeface="+mn-cs"/>
              </a:rPr>
              <a:t>-</a:t>
            </a:r>
            <a:r>
              <a:rPr lang="pt-PT" sz="1100" u="none" baseline="0">
                <a:solidFill>
                  <a:srgbClr val="FFFF00"/>
                </a:solidFill>
                <a:effectLst/>
                <a:latin typeface="+mn-lt"/>
                <a:ea typeface="+mn-ea"/>
                <a:cs typeface="+mn-cs"/>
              </a:rPr>
              <a:t> </a:t>
            </a:r>
            <a:r>
              <a:rPr lang="pt-PT" sz="1100" u="none">
                <a:solidFill>
                  <a:srgbClr val="FFFF00"/>
                </a:solidFill>
                <a:effectLst/>
                <a:latin typeface="+mn-lt"/>
                <a:ea typeface="+mn-ea"/>
                <a:cs typeface="+mn-cs"/>
              </a:rPr>
              <a:t>Nível de Qualificação e Sexo</a:t>
            </a:r>
          </a:p>
          <a:p>
            <a:pPr lvl="0"/>
            <a:r>
              <a:rPr lang="pt-PT" sz="1100" u="none">
                <a:solidFill>
                  <a:srgbClr val="FFFF00"/>
                </a:solidFill>
                <a:effectLst/>
                <a:latin typeface="+mn-lt"/>
                <a:ea typeface="+mn-ea"/>
                <a:cs typeface="+mn-cs"/>
              </a:rPr>
              <a:t>- Profissão</a:t>
            </a:r>
          </a:p>
        </xdr:txBody>
      </xdr:sp>
      <xdr:sp macro="" textlink="">
        <xdr:nvSpPr>
          <xdr:cNvPr id="73" name="Text Box 12">
            <a:hlinkClick xmlns:r="http://schemas.openxmlformats.org/officeDocument/2006/relationships" r:id="rId8" tooltip="Características dos Trabalhadores por Conta de Outrem (TCO)"/>
            <a:extLst>
              <a:ext uri="{FF2B5EF4-FFF2-40B4-BE49-F238E27FC236}">
                <a16:creationId xmlns:a16="http://schemas.microsoft.com/office/drawing/2014/main" id="{00000000-0008-0000-0100-000049000000}"/>
              </a:ext>
            </a:extLst>
          </xdr:cNvPr>
          <xdr:cNvSpPr txBox="1">
            <a:spLocks noChangeArrowheads="1"/>
          </xdr:cNvSpPr>
        </xdr:nvSpPr>
        <xdr:spPr bwMode="auto">
          <a:xfrm>
            <a:off x="29714" y="7637015"/>
            <a:ext cx="3169418" cy="623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Características dos Trabalhadores</a:t>
            </a:r>
            <a:r>
              <a:rPr lang="en-US" altLang="pt-PT" sz="1500" b="1" baseline="0">
                <a:solidFill>
                  <a:srgbClr val="00467A"/>
                </a:solidFill>
                <a:latin typeface="Arial" charset="0"/>
              </a:rPr>
              <a:t> por Conta de Outrem (TCO)_2</a:t>
            </a:r>
            <a:endParaRPr lang="en-US" altLang="pt-PT" sz="1500" b="1">
              <a:solidFill>
                <a:srgbClr val="00467A"/>
              </a:solidFill>
              <a:latin typeface="Arial" charset="0"/>
            </a:endParaRPr>
          </a:p>
        </xdr:txBody>
      </xdr:sp>
      <xdr:sp macro="" textlink="">
        <xdr:nvSpPr>
          <xdr:cNvPr id="74" name="WordArt 37">
            <a:extLst>
              <a:ext uri="{FF2B5EF4-FFF2-40B4-BE49-F238E27FC236}">
                <a16:creationId xmlns:a16="http://schemas.microsoft.com/office/drawing/2014/main" id="{00000000-0008-0000-0100-00004A000000}"/>
              </a:ext>
            </a:extLst>
          </xdr:cNvPr>
          <xdr:cNvSpPr>
            <a:spLocks noChangeArrowheads="1" noChangeShapeType="1" noTextEdit="1"/>
          </xdr:cNvSpPr>
        </xdr:nvSpPr>
        <xdr:spPr bwMode="auto">
          <a:xfrm>
            <a:off x="5913777" y="7878536"/>
            <a:ext cx="345986"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VI</a:t>
            </a: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F5B681-359A-47D1-926E-EAFEA5AB8103}"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0.60195</cdr:x>
      <cdr:y>0.01557</cdr:y>
    </cdr:from>
    <cdr:to>
      <cdr:x>0.70652</cdr:x>
      <cdr:y>0.13273</cdr:y>
    </cdr:to>
    <cdr:sp macro="" textlink="q3_q7_q11_q15_q24_q35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28798" y="4159"/>
          <a:ext cx="347837" cy="43198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D635998-5C6E-4644-A5CE-BD8BE1E45122}"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294613" y="-78833"/>
          <a:ext cx="343086" cy="62372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21.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26F701-3CC2-4BEA-BFA8-70F65FD04085}"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0.61598</cdr:x>
      <cdr:y>0.02092</cdr:y>
    </cdr:from>
    <cdr:to>
      <cdr:x>0.75312</cdr:x>
      <cdr:y>0.12191</cdr:y>
    </cdr:to>
    <cdr:sp macro="" textlink="q3_q7_q11_q15_q24_q35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55191" y="-68956"/>
          <a:ext cx="299842" cy="56197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372960-0221-471D-AC29-08DF5500A456}"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0.94372</cdr:x>
      <cdr:y>0.12833</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42455" y="-143691"/>
          <a:ext cx="319517" cy="72987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22.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7BAF77C-8415-4B91-8D55-DD3E81F40666}"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0.59647</cdr:x>
      <cdr:y>0.0143</cdr:y>
    </cdr:from>
    <cdr:to>
      <cdr:x>0.74443</cdr:x>
      <cdr:y>0.12583</cdr:y>
    </cdr:to>
    <cdr:sp macro="" textlink="q3_q7_q11_q15_q24_q35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01834" y="-103258"/>
          <a:ext cx="320822" cy="60959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F22FF0-8723-4CCA-84BD-EF9BD80F8DCB}"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0.76152</cdr:x>
      <cdr:y>0.02071</cdr:y>
    </cdr:from>
    <cdr:to>
      <cdr:x>0.93439</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17906" y="-129371"/>
          <a:ext cx="332414" cy="71030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23.xml><?xml version="1.0" encoding="utf-8"?>
<xdr:wsDr xmlns:xdr="http://schemas.openxmlformats.org/drawingml/2006/spreadsheetDrawing" xmlns:a="http://schemas.openxmlformats.org/drawingml/2006/main">
  <xdr:twoCellAnchor>
    <xdr:from>
      <xdr:col>17</xdr:col>
      <xdr:colOff>228599</xdr:colOff>
      <xdr:row>29</xdr:row>
      <xdr:rowOff>180975</xdr:rowOff>
    </xdr:from>
    <xdr:to>
      <xdr:col>22</xdr:col>
      <xdr:colOff>491474</xdr:colOff>
      <xdr:row>34</xdr:row>
      <xdr:rowOff>56475</xdr:rowOff>
    </xdr:to>
    <xdr:sp macro="" textlink="q17_a_q19_q26_a_q29_q37_q40_Fig!AG177">
      <xdr:nvSpPr>
        <xdr:cNvPr id="85" name="CaixaDeTexto 84">
          <a:extLst>
            <a:ext uri="{FF2B5EF4-FFF2-40B4-BE49-F238E27FC236}">
              <a16:creationId xmlns:a16="http://schemas.microsoft.com/office/drawing/2014/main" id="{00000000-0008-0000-0C00-000055000000}"/>
            </a:ext>
          </a:extLst>
        </xdr:cNvPr>
        <xdr:cNvSpPr txBox="1"/>
      </xdr:nvSpPr>
      <xdr:spPr>
        <a:xfrm>
          <a:off x="9782174" y="5705475"/>
          <a:ext cx="3168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20BB0AFB-71B7-40F7-B536-9863E539EB2E}"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mediana: 80,0% do Ganho, entre 764 € (&lt; 1.º ciclo do ensino básico) e  1.453 € (Ensino superior**).
Ganho mediano: Entre 893 € e 1.735 €, nos mesmos níveis de habilitação, respetivamente.</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editAs="oneCell">
    <xdr:from>
      <xdr:col>0</xdr:col>
      <xdr:colOff>66675</xdr:colOff>
      <xdr:row>0</xdr:row>
      <xdr:rowOff>0</xdr:rowOff>
    </xdr:from>
    <xdr:to>
      <xdr:col>1</xdr:col>
      <xdr:colOff>383503</xdr:colOff>
      <xdr:row>2</xdr:row>
      <xdr:rowOff>48986</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6675" y="0"/>
          <a:ext cx="878803" cy="429986"/>
        </a:xfrm>
        <a:prstGeom prst="rect">
          <a:avLst/>
        </a:prstGeom>
      </xdr:spPr>
    </xdr:pic>
    <xdr:clientData/>
  </xdr:twoCellAnchor>
  <xdr:twoCellAnchor>
    <xdr:from>
      <xdr:col>1</xdr:col>
      <xdr:colOff>469834</xdr:colOff>
      <xdr:row>0</xdr:row>
      <xdr:rowOff>41276</xdr:rowOff>
    </xdr:from>
    <xdr:to>
      <xdr:col>22</xdr:col>
      <xdr:colOff>577786</xdr:colOff>
      <xdr:row>2</xdr:row>
      <xdr:rowOff>95250</xdr:rowOff>
    </xdr:to>
    <xdr:sp macro="" textlink="">
      <xdr:nvSpPr>
        <xdr:cNvPr id="3" name="Rectangle 17">
          <a:extLst>
            <a:ext uri="{FF2B5EF4-FFF2-40B4-BE49-F238E27FC236}">
              <a16:creationId xmlns:a16="http://schemas.microsoft.com/office/drawing/2014/main" id="{00000000-0008-0000-0C00-000003000000}"/>
            </a:ext>
          </a:extLst>
        </xdr:cNvPr>
        <xdr:cNvSpPr>
          <a:spLocks noChangeArrowheads="1"/>
        </xdr:cNvSpPr>
      </xdr:nvSpPr>
      <xdr:spPr bwMode="auto">
        <a:xfrm>
          <a:off x="1031809" y="41276"/>
          <a:ext cx="12004677" cy="43497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2013 - 2023: Quadros de Pessoal</a:t>
          </a:r>
        </a:p>
        <a:p>
          <a:pPr defTabSz="988538">
            <a:defRPr/>
          </a:pPr>
          <a:r>
            <a:rPr lang="pt-PT" sz="1600" b="1" i="1">
              <a:solidFill>
                <a:srgbClr val="FFE600"/>
              </a:solidFill>
              <a:effectLst>
                <a:outerShdw blurRad="38100" dist="38100" dir="2700000" algn="tl">
                  <a:srgbClr val="000000"/>
                </a:outerShdw>
              </a:effectLst>
              <a:latin typeface="Arial" charset="0"/>
            </a:rPr>
            <a:t>Características</a:t>
          </a:r>
          <a:r>
            <a:rPr lang="pt-PT" sz="1600" b="1" i="1" baseline="0">
              <a:solidFill>
                <a:srgbClr val="FFE600"/>
              </a:solidFill>
              <a:effectLst>
                <a:outerShdw blurRad="38100" dist="38100" dir="2700000" algn="tl">
                  <a:srgbClr val="000000"/>
                </a:outerShdw>
              </a:effectLst>
              <a:latin typeface="Arial" charset="0"/>
            </a:rPr>
            <a:t> dos Trabalhadores por Conta de Outrem (TCO)</a:t>
          </a:r>
          <a:endParaRPr lang="pt-PT" sz="1600" b="1" i="1">
            <a:solidFill>
              <a:srgbClr val="FFE600"/>
            </a:solidFill>
            <a:effectLst>
              <a:outerShdw blurRad="38100" dist="38100" dir="2700000" algn="tl">
                <a:srgbClr val="000000"/>
              </a:outerShdw>
            </a:effectLst>
            <a:latin typeface="Arial" charset="0"/>
          </a:endParaRPr>
        </a:p>
      </xdr:txBody>
    </xdr:sp>
    <xdr:clientData/>
  </xdr:twoCellAnchor>
  <xdr:twoCellAnchor>
    <xdr:from>
      <xdr:col>0</xdr:col>
      <xdr:colOff>137432</xdr:colOff>
      <xdr:row>8</xdr:row>
      <xdr:rowOff>152400</xdr:rowOff>
    </xdr:from>
    <xdr:to>
      <xdr:col>11</xdr:col>
      <xdr:colOff>104775</xdr:colOff>
      <xdr:row>29</xdr:row>
      <xdr:rowOff>9525</xdr:rowOff>
    </xdr:to>
    <xdr:grpSp>
      <xdr:nvGrpSpPr>
        <xdr:cNvPr id="5" name="Agrupar 4">
          <a:extLst>
            <a:ext uri="{FF2B5EF4-FFF2-40B4-BE49-F238E27FC236}">
              <a16:creationId xmlns:a16="http://schemas.microsoft.com/office/drawing/2014/main" id="{00000000-0008-0000-0C00-000005000000}"/>
            </a:ext>
          </a:extLst>
        </xdr:cNvPr>
        <xdr:cNvGrpSpPr/>
      </xdr:nvGrpSpPr>
      <xdr:grpSpPr>
        <a:xfrm>
          <a:off x="137432" y="1676400"/>
          <a:ext cx="6149068" cy="3857625"/>
          <a:chOff x="190500" y="1133475"/>
          <a:chExt cx="4134750" cy="1964700"/>
        </a:xfrm>
      </xdr:grpSpPr>
      <xdr:grpSp>
        <xdr:nvGrpSpPr>
          <xdr:cNvPr id="6" name="Agrupar 5">
            <a:extLst>
              <a:ext uri="{FF2B5EF4-FFF2-40B4-BE49-F238E27FC236}">
                <a16:creationId xmlns:a16="http://schemas.microsoft.com/office/drawing/2014/main" id="{00000000-0008-0000-0C00-000006000000}"/>
              </a:ext>
            </a:extLst>
          </xdr:cNvPr>
          <xdr:cNvGrpSpPr/>
        </xdr:nvGrpSpPr>
        <xdr:grpSpPr>
          <a:xfrm>
            <a:off x="1924050" y="1133475"/>
            <a:ext cx="2401200" cy="1850400"/>
            <a:chOff x="379" y="50819742"/>
            <a:chExt cx="3722129" cy="2517772"/>
          </a:xfrm>
        </xdr:grpSpPr>
        <xdr:graphicFrame macro="">
          <xdr:nvGraphicFramePr>
            <xdr:cNvPr id="8" name="Gráfico 7">
              <a:extLst>
                <a:ext uri="{FF2B5EF4-FFF2-40B4-BE49-F238E27FC236}">
                  <a16:creationId xmlns:a16="http://schemas.microsoft.com/office/drawing/2014/main" id="{00000000-0008-0000-0C00-000008000000}"/>
                </a:ext>
              </a:extLst>
            </xdr:cNvPr>
            <xdr:cNvGraphicFramePr/>
          </xdr:nvGraphicFramePr>
          <xdr:xfrm>
            <a:off x="379" y="50819742"/>
            <a:ext cx="3722129" cy="2517772"/>
          </xdr:xfrm>
          <a:graphic>
            <a:graphicData uri="http://schemas.openxmlformats.org/drawingml/2006/chart">
              <c:chart xmlns:c="http://schemas.openxmlformats.org/drawingml/2006/chart" xmlns:r="http://schemas.openxmlformats.org/officeDocument/2006/relationships" r:id="rId2"/>
            </a:graphicData>
          </a:graphic>
        </xdr:graphicFrame>
        <xdr:sp macro="" textlink="q17_a_q19_q26_a_q29_q37_q40_Fig!$S$23">
          <xdr:nvSpPr>
            <xdr:cNvPr id="9" name="CaixaDeTexto 8">
              <a:extLst>
                <a:ext uri="{FF2B5EF4-FFF2-40B4-BE49-F238E27FC236}">
                  <a16:creationId xmlns:a16="http://schemas.microsoft.com/office/drawing/2014/main" id="{00000000-0008-0000-0C00-000009000000}"/>
                </a:ext>
              </a:extLst>
            </xdr:cNvPr>
            <xdr:cNvSpPr txBox="1"/>
          </xdr:nvSpPr>
          <xdr:spPr>
            <a:xfrm>
              <a:off x="2466973" y="51215403"/>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13C352D-7C4F-4D98-833F-9C18CA6F96EA}"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1.552.823</a:t>
              </a:fld>
              <a:endParaRPr kumimoji="0" lang="pt-PT" sz="900" b="1" i="0" u="none" strike="noStrike" kern="0" cap="none" spc="0" normalizeH="0" baseline="0" noProof="0">
                <a:ln>
                  <a:noFill/>
                </a:ln>
                <a:solidFill>
                  <a:srgbClr val="000000"/>
                </a:solidFill>
                <a:effectLst/>
                <a:uLnTx/>
                <a:uFillTx/>
                <a:latin typeface="+mn-lt"/>
                <a:ea typeface="+mn-ea"/>
                <a:cs typeface="Arial"/>
              </a:endParaRPr>
            </a:p>
          </xdr:txBody>
        </xdr:sp>
        <xdr:sp macro="" textlink="q17_a_q19_q26_a_q29_q37_q40_Fig!$R$23">
          <xdr:nvSpPr>
            <xdr:cNvPr id="10" name="CaixaDeTexto 9">
              <a:extLst>
                <a:ext uri="{FF2B5EF4-FFF2-40B4-BE49-F238E27FC236}">
                  <a16:creationId xmlns:a16="http://schemas.microsoft.com/office/drawing/2014/main" id="{00000000-0008-0000-0C00-00000A000000}"/>
                </a:ext>
              </a:extLst>
            </xdr:cNvPr>
            <xdr:cNvSpPr txBox="1"/>
          </xdr:nvSpPr>
          <xdr:spPr>
            <a:xfrm>
              <a:off x="827210" y="51207396"/>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C47EF46-8E6E-47B5-B759-236E824EAE36}"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1.743.311</a:t>
              </a:fld>
              <a:endParaRPr kumimoji="0" lang="pt-PT" sz="9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7" name="Gráfico 6">
            <a:extLst>
              <a:ext uri="{FF2B5EF4-FFF2-40B4-BE49-F238E27FC236}">
                <a16:creationId xmlns:a16="http://schemas.microsoft.com/office/drawing/2014/main" id="{00000000-0008-0000-0C00-000007000000}"/>
              </a:ext>
            </a:extLst>
          </xdr:cNvPr>
          <xdr:cNvGraphicFramePr>
            <a:graphicFrameLocks/>
          </xdr:cNvGraphicFramePr>
        </xdr:nvGraphicFramePr>
        <xdr:xfrm>
          <a:off x="190500" y="1247775"/>
          <a:ext cx="2314575" cy="18504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468993</xdr:colOff>
      <xdr:row>33</xdr:row>
      <xdr:rowOff>9525</xdr:rowOff>
    </xdr:from>
    <xdr:to>
      <xdr:col>9</xdr:col>
      <xdr:colOff>276225</xdr:colOff>
      <xdr:row>51</xdr:row>
      <xdr:rowOff>85725</xdr:rowOff>
    </xdr:to>
    <xdr:grpSp>
      <xdr:nvGrpSpPr>
        <xdr:cNvPr id="17" name="Agrupar 16">
          <a:extLst>
            <a:ext uri="{FF2B5EF4-FFF2-40B4-BE49-F238E27FC236}">
              <a16:creationId xmlns:a16="http://schemas.microsoft.com/office/drawing/2014/main" id="{00000000-0008-0000-0C00-000011000000}"/>
            </a:ext>
          </a:extLst>
        </xdr:cNvPr>
        <xdr:cNvGrpSpPr/>
      </xdr:nvGrpSpPr>
      <xdr:grpSpPr>
        <a:xfrm>
          <a:off x="468993" y="6296025"/>
          <a:ext cx="4865007" cy="3505200"/>
          <a:chOff x="8543925" y="1371599"/>
          <a:chExt cx="4049025" cy="2050426"/>
        </a:xfrm>
      </xdr:grpSpPr>
      <xdr:graphicFrame macro="">
        <xdr:nvGraphicFramePr>
          <xdr:cNvPr id="18" name="Gráfico 17">
            <a:extLst>
              <a:ext uri="{FF2B5EF4-FFF2-40B4-BE49-F238E27FC236}">
                <a16:creationId xmlns:a16="http://schemas.microsoft.com/office/drawing/2014/main" id="{00000000-0008-0000-0C00-000012000000}"/>
              </a:ext>
            </a:extLst>
          </xdr:cNvPr>
          <xdr:cNvGraphicFramePr>
            <a:graphicFrameLocks/>
          </xdr:cNvGraphicFramePr>
        </xdr:nvGraphicFramePr>
        <xdr:xfrm>
          <a:off x="8543925" y="1533525"/>
          <a:ext cx="2857500" cy="1888500"/>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19" name="Agrupar 18">
            <a:extLst>
              <a:ext uri="{FF2B5EF4-FFF2-40B4-BE49-F238E27FC236}">
                <a16:creationId xmlns:a16="http://schemas.microsoft.com/office/drawing/2014/main" id="{00000000-0008-0000-0C00-000013000000}"/>
              </a:ext>
            </a:extLst>
          </xdr:cNvPr>
          <xdr:cNvGrpSpPr/>
        </xdr:nvGrpSpPr>
        <xdr:grpSpPr>
          <a:xfrm>
            <a:off x="10191750" y="1371599"/>
            <a:ext cx="2401200" cy="1821825"/>
            <a:chOff x="15382876" y="10342315"/>
            <a:chExt cx="2836231" cy="2008440"/>
          </a:xfrm>
        </xdr:grpSpPr>
        <xdr:graphicFrame macro="">
          <xdr:nvGraphicFramePr>
            <xdr:cNvPr id="20" name="Gráfico 19">
              <a:extLst>
                <a:ext uri="{FF2B5EF4-FFF2-40B4-BE49-F238E27FC236}">
                  <a16:creationId xmlns:a16="http://schemas.microsoft.com/office/drawing/2014/main" id="{00000000-0008-0000-0C00-000014000000}"/>
                </a:ext>
              </a:extLst>
            </xdr:cNvPr>
            <xdr:cNvGraphicFramePr>
              <a:graphicFrameLocks/>
            </xdr:cNvGraphicFramePr>
          </xdr:nvGraphicFramePr>
          <xdr:xfrm>
            <a:off x="15382876" y="10414000"/>
            <a:ext cx="2836231" cy="1936755"/>
          </xdr:xfrm>
          <a:graphic>
            <a:graphicData uri="http://schemas.openxmlformats.org/drawingml/2006/chart">
              <c:chart xmlns:c="http://schemas.openxmlformats.org/drawingml/2006/chart" xmlns:r="http://schemas.openxmlformats.org/officeDocument/2006/relationships" r:id="rId5"/>
            </a:graphicData>
          </a:graphic>
        </xdr:graphicFrame>
        <xdr:sp macro="" textlink="q17_a_q19_q26_a_q29_q37_q40_Fig!$R$82">
          <xdr:nvSpPr>
            <xdr:cNvPr id="21" name="CaixaDeTexto 20">
              <a:extLst>
                <a:ext uri="{FF2B5EF4-FFF2-40B4-BE49-F238E27FC236}">
                  <a16:creationId xmlns:a16="http://schemas.microsoft.com/office/drawing/2014/main" id="{00000000-0008-0000-0C00-000015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BBF52B7-D790-4BD9-8770-3F0155F9A181}"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2.467.600</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2" name="CaixaDeTexto 21">
              <a:extLst>
                <a:ext uri="{FF2B5EF4-FFF2-40B4-BE49-F238E27FC236}">
                  <a16:creationId xmlns:a16="http://schemas.microsoft.com/office/drawing/2014/main" id="{00000000-0008-0000-0C00-000016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0</xdr:col>
      <xdr:colOff>323851</xdr:colOff>
      <xdr:row>51</xdr:row>
      <xdr:rowOff>99084</xdr:rowOff>
    </xdr:from>
    <xdr:to>
      <xdr:col>8</xdr:col>
      <xdr:colOff>45151</xdr:colOff>
      <xdr:row>53</xdr:row>
      <xdr:rowOff>111207</xdr:rowOff>
    </xdr:to>
    <xdr:sp macro="" textlink="">
      <xdr:nvSpPr>
        <xdr:cNvPr id="23" name="CaixaDeTexto 22">
          <a:extLst>
            <a:ext uri="{FF2B5EF4-FFF2-40B4-BE49-F238E27FC236}">
              <a16:creationId xmlns:a16="http://schemas.microsoft.com/office/drawing/2014/main" id="{00000000-0008-0000-0C00-000017000000}"/>
            </a:ext>
          </a:extLst>
        </xdr:cNvPr>
        <xdr:cNvSpPr txBox="1"/>
      </xdr:nvSpPr>
      <xdr:spPr>
        <a:xfrm>
          <a:off x="323851" y="9814584"/>
          <a:ext cx="4217100" cy="39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PT" sz="600" b="0">
              <a:solidFill>
                <a:schemeClr val="tx1">
                  <a:lumMod val="50000"/>
                  <a:lumOff val="50000"/>
                </a:schemeClr>
              </a:solidFill>
            </a:rPr>
            <a:t>* Dos TCO a tempo completo, que auferiram remuneração completa no período de referência (outubro).</a:t>
          </a:r>
        </a:p>
        <a:p>
          <a:pPr algn="l"/>
          <a:r>
            <a:rPr lang="pt-PT" sz="600" b="0">
              <a:solidFill>
                <a:schemeClr val="tx1">
                  <a:lumMod val="50000"/>
                  <a:lumOff val="50000"/>
                </a:schemeClr>
              </a:solidFill>
            </a:rPr>
            <a:t>**No Ensino superior</a:t>
          </a:r>
          <a:r>
            <a:rPr lang="pt-PT" sz="600" b="0" baseline="0">
              <a:solidFill>
                <a:schemeClr val="tx1">
                  <a:lumMod val="50000"/>
                  <a:lumOff val="50000"/>
                </a:schemeClr>
              </a:solidFill>
            </a:rPr>
            <a:t> consideram-se: Curso técnico superior profissional, Bacharelato, Licenciatura, Mestrado e Doutoramento.</a:t>
          </a:r>
        </a:p>
        <a:p>
          <a:pPr algn="l"/>
          <a:endParaRPr lang="pt-PT" sz="600" b="0"/>
        </a:p>
      </xdr:txBody>
    </xdr:sp>
    <xdr:clientData/>
  </xdr:twoCellAnchor>
  <xdr:twoCellAnchor>
    <xdr:from>
      <xdr:col>11</xdr:col>
      <xdr:colOff>238125</xdr:colOff>
      <xdr:row>11</xdr:row>
      <xdr:rowOff>85725</xdr:rowOff>
    </xdr:from>
    <xdr:to>
      <xdr:col>22</xdr:col>
      <xdr:colOff>504825</xdr:colOff>
      <xdr:row>29</xdr:row>
      <xdr:rowOff>114300</xdr:rowOff>
    </xdr:to>
    <xdr:grpSp>
      <xdr:nvGrpSpPr>
        <xdr:cNvPr id="24" name="Agrupar 23">
          <a:extLst>
            <a:ext uri="{FF2B5EF4-FFF2-40B4-BE49-F238E27FC236}">
              <a16:creationId xmlns:a16="http://schemas.microsoft.com/office/drawing/2014/main" id="{00000000-0008-0000-0C00-000018000000}"/>
            </a:ext>
          </a:extLst>
        </xdr:cNvPr>
        <xdr:cNvGrpSpPr/>
      </xdr:nvGrpSpPr>
      <xdr:grpSpPr>
        <a:xfrm>
          <a:off x="6419850" y="2181225"/>
          <a:ext cx="6543675" cy="3457575"/>
          <a:chOff x="17928168" y="13873923"/>
          <a:chExt cx="5162525" cy="3324013"/>
        </a:xfrm>
      </xdr:grpSpPr>
      <xdr:grpSp>
        <xdr:nvGrpSpPr>
          <xdr:cNvPr id="25" name="Agrupar 24">
            <a:extLst>
              <a:ext uri="{FF2B5EF4-FFF2-40B4-BE49-F238E27FC236}">
                <a16:creationId xmlns:a16="http://schemas.microsoft.com/office/drawing/2014/main" id="{00000000-0008-0000-0C00-000019000000}"/>
              </a:ext>
            </a:extLst>
          </xdr:cNvPr>
          <xdr:cNvGrpSpPr/>
        </xdr:nvGrpSpPr>
        <xdr:grpSpPr>
          <a:xfrm>
            <a:off x="17928168" y="13918940"/>
            <a:ext cx="2595140" cy="3278996"/>
            <a:chOff x="16790459" y="14269574"/>
            <a:chExt cx="2595140" cy="2552635"/>
          </a:xfrm>
        </xdr:grpSpPr>
        <xdr:graphicFrame macro="">
          <xdr:nvGraphicFramePr>
            <xdr:cNvPr id="32" name="Gráfico 31">
              <a:extLst>
                <a:ext uri="{FF2B5EF4-FFF2-40B4-BE49-F238E27FC236}">
                  <a16:creationId xmlns:a16="http://schemas.microsoft.com/office/drawing/2014/main" id="{00000000-0008-0000-0C00-000020000000}"/>
                </a:ext>
              </a:extLst>
            </xdr:cNvPr>
            <xdr:cNvGraphicFramePr>
              <a:graphicFrameLocks/>
            </xdr:cNvGraphicFramePr>
          </xdr:nvGraphicFramePr>
          <xdr:xfrm>
            <a:off x="16790459" y="14440959"/>
            <a:ext cx="2595140" cy="2381250"/>
          </xdr:xfrm>
          <a:graphic>
            <a:graphicData uri="http://schemas.openxmlformats.org/drawingml/2006/chart">
              <c:chart xmlns:c="http://schemas.openxmlformats.org/drawingml/2006/chart" xmlns:r="http://schemas.openxmlformats.org/officeDocument/2006/relationships" r:id="rId6"/>
            </a:graphicData>
          </a:graphic>
        </xdr:graphicFrame>
        <xdr:sp macro="" textlink="q17_a_q19_q26_a_q29_q37_q40_Fig!$R$107">
          <xdr:nvSpPr>
            <xdr:cNvPr id="33" name="CaixaDeTexto 32">
              <a:extLst>
                <a:ext uri="{FF2B5EF4-FFF2-40B4-BE49-F238E27FC236}">
                  <a16:creationId xmlns:a16="http://schemas.microsoft.com/office/drawing/2014/main" id="{00000000-0008-0000-0C00-000021000000}"/>
                </a:ext>
              </a:extLst>
            </xdr:cNvPr>
            <xdr:cNvSpPr txBox="1"/>
          </xdr:nvSpPr>
          <xdr:spPr>
            <a:xfrm>
              <a:off x="17065625" y="14440466"/>
              <a:ext cx="828116" cy="10770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1C5C7F2-35F2-4BD7-AFD6-3A9B2ABBDB2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1.219,87 €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34" name="CaixaDeTexto 33">
              <a:extLst>
                <a:ext uri="{FF2B5EF4-FFF2-40B4-BE49-F238E27FC236}">
                  <a16:creationId xmlns:a16="http://schemas.microsoft.com/office/drawing/2014/main" id="{00000000-0008-0000-0C00-000022000000}"/>
                </a:ext>
              </a:extLst>
            </xdr:cNvPr>
            <xdr:cNvSpPr txBox="1"/>
          </xdr:nvSpPr>
          <xdr:spPr>
            <a:xfrm>
              <a:off x="17065623" y="14269574"/>
              <a:ext cx="835055" cy="141666"/>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7_a_q19_q26_a_q29_q37_q40_Fig!$R$108">
          <xdr:nvSpPr>
            <xdr:cNvPr id="35" name="CaixaDeTexto 34">
              <a:extLst>
                <a:ext uri="{FF2B5EF4-FFF2-40B4-BE49-F238E27FC236}">
                  <a16:creationId xmlns:a16="http://schemas.microsoft.com/office/drawing/2014/main" id="{00000000-0008-0000-0C00-000023000000}"/>
                </a:ext>
              </a:extLst>
            </xdr:cNvPr>
            <xdr:cNvSpPr txBox="1"/>
          </xdr:nvSpPr>
          <xdr:spPr>
            <a:xfrm>
              <a:off x="17065625" y="14584089"/>
              <a:ext cx="835055" cy="109542"/>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156ECC-38C7-4F73-8CAE-70A78179436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1.466,66 €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26" name="Agrupar 25">
            <a:extLst>
              <a:ext uri="{FF2B5EF4-FFF2-40B4-BE49-F238E27FC236}">
                <a16:creationId xmlns:a16="http://schemas.microsoft.com/office/drawing/2014/main" id="{00000000-0008-0000-0C00-00001A000000}"/>
              </a:ext>
            </a:extLst>
          </xdr:cNvPr>
          <xdr:cNvGrpSpPr/>
        </xdr:nvGrpSpPr>
        <xdr:grpSpPr>
          <a:xfrm>
            <a:off x="20312568" y="13873923"/>
            <a:ext cx="2778125" cy="3100196"/>
            <a:chOff x="20936984" y="14847589"/>
            <a:chExt cx="2778125" cy="3100196"/>
          </a:xfrm>
        </xdr:grpSpPr>
        <xdr:graphicFrame macro="">
          <xdr:nvGraphicFramePr>
            <xdr:cNvPr id="27" name="Gráfico 26">
              <a:extLst>
                <a:ext uri="{FF2B5EF4-FFF2-40B4-BE49-F238E27FC236}">
                  <a16:creationId xmlns:a16="http://schemas.microsoft.com/office/drawing/2014/main" id="{00000000-0008-0000-0C00-00001B000000}"/>
                </a:ext>
              </a:extLst>
            </xdr:cNvPr>
            <xdr:cNvGraphicFramePr/>
          </xdr:nvGraphicFramePr>
          <xdr:xfrm>
            <a:off x="20936984" y="14847589"/>
            <a:ext cx="2778125" cy="3100196"/>
          </xdr:xfrm>
          <a:graphic>
            <a:graphicData uri="http://schemas.openxmlformats.org/drawingml/2006/chart">
              <c:chart xmlns:c="http://schemas.openxmlformats.org/drawingml/2006/chart" xmlns:r="http://schemas.openxmlformats.org/officeDocument/2006/relationships" r:id="rId7"/>
            </a:graphicData>
          </a:graphic>
        </xdr:graphicFrame>
        <xdr:sp macro="" textlink="q17_a_q19_q26_a_q29_q37_q40_Fig!$R$114">
          <xdr:nvSpPr>
            <xdr:cNvPr id="28" name="CaixaDeTexto 27">
              <a:extLst>
                <a:ext uri="{FF2B5EF4-FFF2-40B4-BE49-F238E27FC236}">
                  <a16:creationId xmlns:a16="http://schemas.microsoft.com/office/drawing/2014/main" id="{00000000-0008-0000-0C00-00001C000000}"/>
                </a:ext>
              </a:extLst>
            </xdr:cNvPr>
            <xdr:cNvSpPr txBox="1"/>
          </xdr:nvSpPr>
          <xdr:spPr>
            <a:xfrm>
              <a:off x="21458349" y="15168110"/>
              <a:ext cx="774379" cy="14400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07BD8C-99F2-4650-BA3A-00151E8ADD3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1.294,03 €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R$115">
          <xdr:nvSpPr>
            <xdr:cNvPr id="29" name="CaixaDeTexto 28">
              <a:extLst>
                <a:ext uri="{FF2B5EF4-FFF2-40B4-BE49-F238E27FC236}">
                  <a16:creationId xmlns:a16="http://schemas.microsoft.com/office/drawing/2014/main" id="{00000000-0008-0000-0C00-00001D000000}"/>
                </a:ext>
              </a:extLst>
            </xdr:cNvPr>
            <xdr:cNvSpPr txBox="1"/>
          </xdr:nvSpPr>
          <xdr:spPr>
            <a:xfrm>
              <a:off x="21458349" y="15359885"/>
              <a:ext cx="774379" cy="1440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CF34B2E-6095-4C26-83B7-DA38221164E4}"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U$104">
          <xdr:nvSpPr>
            <xdr:cNvPr id="30" name="CaixaDeTexto 29">
              <a:extLst>
                <a:ext uri="{FF2B5EF4-FFF2-40B4-BE49-F238E27FC236}">
                  <a16:creationId xmlns:a16="http://schemas.microsoft.com/office/drawing/2014/main" id="{00000000-0008-0000-0C00-00001E000000}"/>
                </a:ext>
              </a:extLst>
            </xdr:cNvPr>
            <xdr:cNvSpPr txBox="1"/>
          </xdr:nvSpPr>
          <xdr:spPr>
            <a:xfrm>
              <a:off x="22755760" y="15181015"/>
              <a:ext cx="774379" cy="14400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ED31F1F-4F1E-4B28-80C7-E1D677609C7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1.129,64 €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V$104">
          <xdr:nvSpPr>
            <xdr:cNvPr id="31" name="CaixaDeTexto 30">
              <a:extLst>
                <a:ext uri="{FF2B5EF4-FFF2-40B4-BE49-F238E27FC236}">
                  <a16:creationId xmlns:a16="http://schemas.microsoft.com/office/drawing/2014/main" id="{00000000-0008-0000-0C00-00001F000000}"/>
                </a:ext>
              </a:extLst>
            </xdr:cNvPr>
            <xdr:cNvSpPr txBox="1"/>
          </xdr:nvSpPr>
          <xdr:spPr>
            <a:xfrm>
              <a:off x="22755760" y="15372791"/>
              <a:ext cx="774379" cy="14400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A095E1-FC08-48A6-9F65-B082055869C6}"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1.332,02 €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11</xdr:col>
      <xdr:colOff>285750</xdr:colOff>
      <xdr:row>35</xdr:row>
      <xdr:rowOff>0</xdr:rowOff>
    </xdr:from>
    <xdr:to>
      <xdr:col>22</xdr:col>
      <xdr:colOff>459884</xdr:colOff>
      <xdr:row>53</xdr:row>
      <xdr:rowOff>28575</xdr:rowOff>
    </xdr:to>
    <xdr:grpSp>
      <xdr:nvGrpSpPr>
        <xdr:cNvPr id="48" name="Agrupar 47">
          <a:extLst>
            <a:ext uri="{FF2B5EF4-FFF2-40B4-BE49-F238E27FC236}">
              <a16:creationId xmlns:a16="http://schemas.microsoft.com/office/drawing/2014/main" id="{00000000-0008-0000-0C00-000030000000}"/>
            </a:ext>
          </a:extLst>
        </xdr:cNvPr>
        <xdr:cNvGrpSpPr/>
      </xdr:nvGrpSpPr>
      <xdr:grpSpPr>
        <a:xfrm>
          <a:off x="6467475" y="6667500"/>
          <a:ext cx="6451109" cy="3457575"/>
          <a:chOff x="9582147" y="4362666"/>
          <a:chExt cx="4057651" cy="2986700"/>
        </a:xfrm>
      </xdr:grpSpPr>
      <xdr:grpSp>
        <xdr:nvGrpSpPr>
          <xdr:cNvPr id="49" name="Agrupar 48">
            <a:extLst>
              <a:ext uri="{FF2B5EF4-FFF2-40B4-BE49-F238E27FC236}">
                <a16:creationId xmlns:a16="http://schemas.microsoft.com/office/drawing/2014/main" id="{00000000-0008-0000-0C00-000031000000}"/>
              </a:ext>
            </a:extLst>
          </xdr:cNvPr>
          <xdr:cNvGrpSpPr/>
        </xdr:nvGrpSpPr>
        <xdr:grpSpPr>
          <a:xfrm>
            <a:off x="9582147" y="4531941"/>
            <a:ext cx="4057651" cy="2817425"/>
            <a:chOff x="15954373" y="22489526"/>
            <a:chExt cx="6017904" cy="2804664"/>
          </a:xfrm>
        </xdr:grpSpPr>
        <xdr:grpSp>
          <xdr:nvGrpSpPr>
            <xdr:cNvPr id="52" name="Agrupar 51">
              <a:extLst>
                <a:ext uri="{FF2B5EF4-FFF2-40B4-BE49-F238E27FC236}">
                  <a16:creationId xmlns:a16="http://schemas.microsoft.com/office/drawing/2014/main" id="{00000000-0008-0000-0C00-000034000000}"/>
                </a:ext>
              </a:extLst>
            </xdr:cNvPr>
            <xdr:cNvGrpSpPr/>
          </xdr:nvGrpSpPr>
          <xdr:grpSpPr>
            <a:xfrm>
              <a:off x="15954373" y="22497228"/>
              <a:ext cx="3216506" cy="2796962"/>
              <a:chOff x="20214165" y="14146309"/>
              <a:chExt cx="3216506" cy="2506567"/>
            </a:xfrm>
          </xdr:grpSpPr>
          <xdr:graphicFrame macro="">
            <xdr:nvGraphicFramePr>
              <xdr:cNvPr id="58" name="Gráfico 57">
                <a:extLst>
                  <a:ext uri="{FF2B5EF4-FFF2-40B4-BE49-F238E27FC236}">
                    <a16:creationId xmlns:a16="http://schemas.microsoft.com/office/drawing/2014/main" id="{00000000-0008-0000-0C00-00003A000000}"/>
                  </a:ext>
                </a:extLst>
              </xdr:cNvPr>
              <xdr:cNvGraphicFramePr>
                <a:graphicFrameLocks/>
              </xdr:cNvGraphicFramePr>
            </xdr:nvGraphicFramePr>
            <xdr:xfrm>
              <a:off x="20214165" y="14238964"/>
              <a:ext cx="3216506" cy="2413912"/>
            </xdr:xfrm>
            <a:graphic>
              <a:graphicData uri="http://schemas.openxmlformats.org/drawingml/2006/chart">
                <c:chart xmlns:c="http://schemas.openxmlformats.org/drawingml/2006/chart" xmlns:r="http://schemas.openxmlformats.org/officeDocument/2006/relationships" r:id="rId8"/>
              </a:graphicData>
            </a:graphic>
          </xdr:graphicFrame>
          <xdr:sp macro="" textlink="q17_a_q19_q26_a_q29_q37_q40_Fig!$R$156">
            <xdr:nvSpPr>
              <xdr:cNvPr id="59" name="CaixaDeTexto 58">
                <a:extLst>
                  <a:ext uri="{FF2B5EF4-FFF2-40B4-BE49-F238E27FC236}">
                    <a16:creationId xmlns:a16="http://schemas.microsoft.com/office/drawing/2014/main" id="{00000000-0008-0000-0C00-00003B000000}"/>
                  </a:ext>
                </a:extLst>
              </xdr:cNvPr>
              <xdr:cNvSpPr txBox="1"/>
            </xdr:nvSpPr>
            <xdr:spPr>
              <a:xfrm>
                <a:off x="20489332" y="14315305"/>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0F94BA2-6B0E-4433-82C5-B4EFBE3CC760}"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1.219,87 €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60" name="CaixaDeTexto 59">
                <a:extLst>
                  <a:ext uri="{FF2B5EF4-FFF2-40B4-BE49-F238E27FC236}">
                    <a16:creationId xmlns:a16="http://schemas.microsoft.com/office/drawing/2014/main" id="{00000000-0008-0000-0C00-00003C000000}"/>
                  </a:ext>
                </a:extLst>
              </xdr:cNvPr>
              <xdr:cNvSpPr txBox="1"/>
            </xdr:nvSpPr>
            <xdr:spPr>
              <a:xfrm>
                <a:off x="20489331" y="14146309"/>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7_q40_Fig!$R$157">
            <xdr:nvSpPr>
              <xdr:cNvPr id="61" name="CaixaDeTexto 60">
                <a:extLst>
                  <a:ext uri="{FF2B5EF4-FFF2-40B4-BE49-F238E27FC236}">
                    <a16:creationId xmlns:a16="http://schemas.microsoft.com/office/drawing/2014/main" id="{00000000-0008-0000-0C00-00003D000000}"/>
                  </a:ext>
                </a:extLst>
              </xdr:cNvPr>
              <xdr:cNvSpPr txBox="1"/>
            </xdr:nvSpPr>
            <xdr:spPr>
              <a:xfrm>
                <a:off x="20489332" y="14445865"/>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A4E0333-78D4-439B-B537-AEE1F2DB13B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1.466,66 €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53" name="Agrupar 52">
              <a:extLst>
                <a:ext uri="{FF2B5EF4-FFF2-40B4-BE49-F238E27FC236}">
                  <a16:creationId xmlns:a16="http://schemas.microsoft.com/office/drawing/2014/main" id="{00000000-0008-0000-0C00-000035000000}"/>
                </a:ext>
              </a:extLst>
            </xdr:cNvPr>
            <xdr:cNvGrpSpPr/>
          </xdr:nvGrpSpPr>
          <xdr:grpSpPr>
            <a:xfrm>
              <a:off x="19018245" y="22489526"/>
              <a:ext cx="2954032" cy="2699106"/>
              <a:chOff x="20489331" y="14115698"/>
              <a:chExt cx="2954032" cy="2418871"/>
            </a:xfrm>
          </xdr:grpSpPr>
          <xdr:graphicFrame macro="">
            <xdr:nvGraphicFramePr>
              <xdr:cNvPr id="54" name="Gráfico 53">
                <a:extLst>
                  <a:ext uri="{FF2B5EF4-FFF2-40B4-BE49-F238E27FC236}">
                    <a16:creationId xmlns:a16="http://schemas.microsoft.com/office/drawing/2014/main" id="{00000000-0008-0000-0C00-000036000000}"/>
                  </a:ext>
                </a:extLst>
              </xdr:cNvPr>
              <xdr:cNvGraphicFramePr>
                <a:graphicFrameLocks/>
              </xdr:cNvGraphicFramePr>
            </xdr:nvGraphicFramePr>
            <xdr:xfrm>
              <a:off x="20815828" y="14262773"/>
              <a:ext cx="2627535" cy="2271796"/>
            </xdr:xfrm>
            <a:graphic>
              <a:graphicData uri="http://schemas.openxmlformats.org/drawingml/2006/chart">
                <c:chart xmlns:c="http://schemas.openxmlformats.org/drawingml/2006/chart" xmlns:r="http://schemas.openxmlformats.org/officeDocument/2006/relationships" r:id="rId9"/>
              </a:graphicData>
            </a:graphic>
          </xdr:graphicFrame>
          <xdr:sp macro="" textlink="q17_a_q19_q26_a_q29_q37_q40_Fig!$R$161">
            <xdr:nvSpPr>
              <xdr:cNvPr id="55" name="CaixaDeTexto 54">
                <a:extLst>
                  <a:ext uri="{FF2B5EF4-FFF2-40B4-BE49-F238E27FC236}">
                    <a16:creationId xmlns:a16="http://schemas.microsoft.com/office/drawing/2014/main" id="{00000000-0008-0000-0C00-000037000000}"/>
                  </a:ext>
                </a:extLst>
              </xdr:cNvPr>
              <xdr:cNvSpPr txBox="1"/>
            </xdr:nvSpPr>
            <xdr:spPr>
              <a:xfrm>
                <a:off x="20489332" y="14269390"/>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87BF85-BB14-4F3A-AD15-798073BC924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880,00 €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56" name="CaixaDeTexto 55">
                <a:extLst>
                  <a:ext uri="{FF2B5EF4-FFF2-40B4-BE49-F238E27FC236}">
                    <a16:creationId xmlns:a16="http://schemas.microsoft.com/office/drawing/2014/main" id="{00000000-0008-0000-0C00-000038000000}"/>
                  </a:ext>
                </a:extLst>
              </xdr:cNvPr>
              <xdr:cNvSpPr txBox="1"/>
            </xdr:nvSpPr>
            <xdr:spPr>
              <a:xfrm>
                <a:off x="20489331" y="14115698"/>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7_q40_Fig!$R$162">
            <xdr:nvSpPr>
              <xdr:cNvPr id="57" name="CaixaDeTexto 56">
                <a:extLst>
                  <a:ext uri="{FF2B5EF4-FFF2-40B4-BE49-F238E27FC236}">
                    <a16:creationId xmlns:a16="http://schemas.microsoft.com/office/drawing/2014/main" id="{00000000-0008-0000-0C00-000039000000}"/>
                  </a:ext>
                </a:extLst>
              </xdr:cNvPr>
              <xdr:cNvSpPr txBox="1"/>
            </xdr:nvSpPr>
            <xdr:spPr>
              <a:xfrm>
                <a:off x="20489332" y="14399947"/>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6D98A2-6D76-440E-BC60-B4CCDBEDA45B}"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1.100,17 €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sp macro="" textlink="">
        <xdr:nvSpPr>
          <xdr:cNvPr id="50" name="CaixaDeTexto 49">
            <a:extLst>
              <a:ext uri="{FF2B5EF4-FFF2-40B4-BE49-F238E27FC236}">
                <a16:creationId xmlns:a16="http://schemas.microsoft.com/office/drawing/2014/main" id="{00000000-0008-0000-0C00-000032000000}"/>
              </a:ext>
            </a:extLst>
          </xdr:cNvPr>
          <xdr:cNvSpPr txBox="1"/>
        </xdr:nvSpPr>
        <xdr:spPr>
          <a:xfrm>
            <a:off x="9632950" y="4363806"/>
            <a:ext cx="1622714" cy="14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51" name="CaixaDeTexto 50">
            <a:extLst>
              <a:ext uri="{FF2B5EF4-FFF2-40B4-BE49-F238E27FC236}">
                <a16:creationId xmlns:a16="http://schemas.microsoft.com/office/drawing/2014/main" id="{00000000-0008-0000-0C00-000033000000}"/>
              </a:ext>
            </a:extLst>
          </xdr:cNvPr>
          <xdr:cNvSpPr txBox="1"/>
        </xdr:nvSpPr>
        <xdr:spPr>
          <a:xfrm>
            <a:off x="11626850" y="4362666"/>
            <a:ext cx="1690234" cy="16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medianas mensais</a:t>
            </a:r>
            <a:endParaRPr lang="pt-PT" sz="800" b="1">
              <a:solidFill>
                <a:schemeClr val="tx2"/>
              </a:solidFill>
            </a:endParaRPr>
          </a:p>
        </xdr:txBody>
      </xdr:sp>
    </xdr:grpSp>
    <xdr:clientData/>
  </xdr:twoCellAnchor>
  <xdr:twoCellAnchor>
    <xdr:from>
      <xdr:col>0</xdr:col>
      <xdr:colOff>171450</xdr:colOff>
      <xdr:row>6</xdr:row>
      <xdr:rowOff>129163</xdr:rowOff>
    </xdr:from>
    <xdr:to>
      <xdr:col>11</xdr:col>
      <xdr:colOff>37725</xdr:colOff>
      <xdr:row>9</xdr:row>
      <xdr:rowOff>95250</xdr:rowOff>
    </xdr:to>
    <xdr:sp macro="" textlink="q17_a_q19_q26_a_q29_q37_q40_Fig!$Z$1">
      <xdr:nvSpPr>
        <xdr:cNvPr id="62" name="CaixaDeTexto 61">
          <a:extLst>
            <a:ext uri="{FF2B5EF4-FFF2-40B4-BE49-F238E27FC236}">
              <a16:creationId xmlns:a16="http://schemas.microsoft.com/office/drawing/2014/main" id="{00000000-0008-0000-0C00-00003E000000}"/>
            </a:ext>
          </a:extLst>
        </xdr:cNvPr>
        <xdr:cNvSpPr txBox="1"/>
      </xdr:nvSpPr>
      <xdr:spPr>
        <a:xfrm>
          <a:off x="171450" y="1272163"/>
          <a:ext cx="6048000" cy="53758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1E7581E2-9095-4569-90A1-D838D0031323}" type="TxLink">
            <a:rPr lang="en-US" sz="900" b="0" i="0" u="none" strike="noStrike">
              <a:solidFill>
                <a:sysClr val="windowText" lastClr="000000"/>
              </a:solidFill>
              <a:latin typeface="Calibri"/>
              <a:cs typeface="Calibri"/>
            </a:rPr>
            <a:pPr/>
            <a:t>2023:
Existiam 3.296.134 TCO, dos quais 50,1% tinham entre 25 e 44 anos; 
A taxa de feminização era de 47,1%</a:t>
          </a:fld>
          <a:endParaRPr lang="pt-PT" sz="900" b="0">
            <a:solidFill>
              <a:sysClr val="windowText" lastClr="000000"/>
            </a:solidFill>
          </a:endParaRPr>
        </a:p>
      </xdr:txBody>
    </xdr:sp>
    <xdr:clientData/>
  </xdr:twoCellAnchor>
  <xdr:twoCellAnchor>
    <xdr:from>
      <xdr:col>0</xdr:col>
      <xdr:colOff>200025</xdr:colOff>
      <xdr:row>30</xdr:row>
      <xdr:rowOff>33598</xdr:rowOff>
    </xdr:from>
    <xdr:to>
      <xdr:col>11</xdr:col>
      <xdr:colOff>66300</xdr:colOff>
      <xdr:row>32</xdr:row>
      <xdr:rowOff>188998</xdr:rowOff>
    </xdr:to>
    <xdr:sp macro="" textlink="q17_a_q19_q26_a_q29_q37_q40_Fig!$W$86">
      <xdr:nvSpPr>
        <xdr:cNvPr id="64" name="CaixaDeTexto 63">
          <a:extLst>
            <a:ext uri="{FF2B5EF4-FFF2-40B4-BE49-F238E27FC236}">
              <a16:creationId xmlns:a16="http://schemas.microsoft.com/office/drawing/2014/main" id="{00000000-0008-0000-0C00-000040000000}"/>
            </a:ext>
          </a:extLst>
        </xdr:cNvPr>
        <xdr:cNvSpPr txBox="1"/>
      </xdr:nvSpPr>
      <xdr:spPr>
        <a:xfrm>
          <a:off x="200025" y="5748598"/>
          <a:ext cx="6048000" cy="5364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E93C6ABD-1843-4229-A504-5C37C5A7ECF0}" type="TxLink">
            <a:rPr lang="en-US" sz="900" b="0" i="0" u="none" strike="noStrike">
              <a:solidFill>
                <a:sysClr val="windowText" lastClr="000000"/>
              </a:solidFill>
              <a:latin typeface="Calibri"/>
              <a:cs typeface="Calibri"/>
            </a:rPr>
            <a:pPr/>
            <a:t>2023:
61,1% dos TCO tinham os Ensinos Secundário e Superior completos.</a:t>
          </a:fld>
          <a:endParaRPr lang="pt-PT" sz="900" b="0">
            <a:solidFill>
              <a:sysClr val="windowText" lastClr="000000"/>
            </a:solidFill>
          </a:endParaRPr>
        </a:p>
      </xdr:txBody>
    </xdr:sp>
    <xdr:clientData/>
  </xdr:twoCellAnchor>
  <xdr:twoCellAnchor>
    <xdr:from>
      <xdr:col>11</xdr:col>
      <xdr:colOff>295275</xdr:colOff>
      <xdr:row>6</xdr:row>
      <xdr:rowOff>137746</xdr:rowOff>
    </xdr:from>
    <xdr:to>
      <xdr:col>17</xdr:col>
      <xdr:colOff>91425</xdr:colOff>
      <xdr:row>11</xdr:row>
      <xdr:rowOff>13246</xdr:rowOff>
    </xdr:to>
    <xdr:sp macro="" textlink="q17_a_q19_q26_a_q29_q37_q40_Fig!$AM$99">
      <xdr:nvSpPr>
        <xdr:cNvPr id="65" name="CaixaDeTexto 64">
          <a:extLst>
            <a:ext uri="{FF2B5EF4-FFF2-40B4-BE49-F238E27FC236}">
              <a16:creationId xmlns:a16="http://schemas.microsoft.com/office/drawing/2014/main" id="{00000000-0008-0000-0C00-000041000000}"/>
            </a:ext>
          </a:extLst>
        </xdr:cNvPr>
        <xdr:cNvSpPr txBox="1"/>
      </xdr:nvSpPr>
      <xdr:spPr>
        <a:xfrm>
          <a:off x="6477000" y="1280746"/>
          <a:ext cx="3168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28500F9E-80FC-41DC-8CAC-4DCA6B17EA83}"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83,2% do Ganho, entre 925 € (18 - 24 anos) e 1.345 €  (65 e + anos).
Ganho: Entre 1.100 € (18 - 24 anos) e 1.595 €  (45 - 54 anos).</a:t>
          </a:fld>
          <a:endParaRPr kumimoji="0" lang="pt-PT"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11</xdr:col>
      <xdr:colOff>314325</xdr:colOff>
      <xdr:row>29</xdr:row>
      <xdr:rowOff>180975</xdr:rowOff>
    </xdr:from>
    <xdr:to>
      <xdr:col>17</xdr:col>
      <xdr:colOff>110475</xdr:colOff>
      <xdr:row>34</xdr:row>
      <xdr:rowOff>56475</xdr:rowOff>
    </xdr:to>
    <xdr:sp macro="" textlink="q17_a_q19_q26_a_q29_q37_q40_Fig!$AA$177">
      <xdr:nvSpPr>
        <xdr:cNvPr id="67" name="CaixaDeTexto 66">
          <a:extLst>
            <a:ext uri="{FF2B5EF4-FFF2-40B4-BE49-F238E27FC236}">
              <a16:creationId xmlns:a16="http://schemas.microsoft.com/office/drawing/2014/main" id="{00000000-0008-0000-0C00-000043000000}"/>
            </a:ext>
          </a:extLst>
        </xdr:cNvPr>
        <xdr:cNvSpPr txBox="1"/>
      </xdr:nvSpPr>
      <xdr:spPr>
        <a:xfrm>
          <a:off x="6496050" y="5705475"/>
          <a:ext cx="3168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7780C63-7073-4FE6-9238-51DD5D68997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média: 83,2% do Ganho, entre 821 € (&lt; 1.º ciclo do ensino básico) e  1.871 € (Ensino superior**).
Ganho médio:Entre 968 € e 2.205 €, nos mesmos níveis de habilitação,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0</xdr:col>
      <xdr:colOff>7937</xdr:colOff>
      <xdr:row>2</xdr:row>
      <xdr:rowOff>123825</xdr:rowOff>
    </xdr:from>
    <xdr:to>
      <xdr:col>23</xdr:col>
      <xdr:colOff>0</xdr:colOff>
      <xdr:row>3</xdr:row>
      <xdr:rowOff>171450</xdr:rowOff>
    </xdr:to>
    <xdr:sp macro="" textlink="">
      <xdr:nvSpPr>
        <xdr:cNvPr id="68" name="Text Box 10">
          <a:extLst>
            <a:ext uri="{FF2B5EF4-FFF2-40B4-BE49-F238E27FC236}">
              <a16:creationId xmlns:a16="http://schemas.microsoft.com/office/drawing/2014/main" id="{00000000-0008-0000-0C00-000044000000}"/>
            </a:ext>
          </a:extLst>
        </xdr:cNvPr>
        <xdr:cNvSpPr txBox="1">
          <a:spLocks noChangeArrowheads="1"/>
        </xdr:cNvSpPr>
      </xdr:nvSpPr>
      <xdr:spPr bwMode="auto">
        <a:xfrm>
          <a:off x="7937" y="504825"/>
          <a:ext cx="13031788" cy="238125"/>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200" b="1">
              <a:solidFill>
                <a:srgbClr val="00467A"/>
              </a:solidFill>
              <a:latin typeface="Arial" charset="0"/>
            </a:rPr>
            <a:t>Trabalhadores por Conta de Outrem e Remunerações médias mensais</a:t>
          </a:r>
        </a:p>
        <a:p>
          <a:pPr algn="l">
            <a:spcBef>
              <a:spcPct val="50000"/>
            </a:spcBef>
          </a:pPr>
          <a:endParaRPr lang="en-US" altLang="pt-PT" sz="1200" b="1">
            <a:solidFill>
              <a:srgbClr val="00467A"/>
            </a:solidFill>
            <a:latin typeface="Arial" charset="0"/>
          </a:endParaRPr>
        </a:p>
      </xdr:txBody>
    </xdr:sp>
    <xdr:clientData/>
  </xdr:twoCellAnchor>
  <xdr:twoCellAnchor>
    <xdr:from>
      <xdr:col>10</xdr:col>
      <xdr:colOff>356428</xdr:colOff>
      <xdr:row>2</xdr:row>
      <xdr:rowOff>114300</xdr:rowOff>
    </xdr:from>
    <xdr:to>
      <xdr:col>14</xdr:col>
      <xdr:colOff>77185</xdr:colOff>
      <xdr:row>3</xdr:row>
      <xdr:rowOff>171825</xdr:rowOff>
    </xdr:to>
    <xdr:grpSp>
      <xdr:nvGrpSpPr>
        <xdr:cNvPr id="69" name="Agrupar 68">
          <a:extLst>
            <a:ext uri="{FF2B5EF4-FFF2-40B4-BE49-F238E27FC236}">
              <a16:creationId xmlns:a16="http://schemas.microsoft.com/office/drawing/2014/main" id="{00000000-0008-0000-0C00-000045000000}"/>
            </a:ext>
          </a:extLst>
        </xdr:cNvPr>
        <xdr:cNvGrpSpPr/>
      </xdr:nvGrpSpPr>
      <xdr:grpSpPr>
        <a:xfrm>
          <a:off x="5976178" y="495300"/>
          <a:ext cx="1911507" cy="248025"/>
          <a:chOff x="4531552" y="504825"/>
          <a:chExt cx="1916251" cy="248025"/>
        </a:xfrm>
      </xdr:grpSpPr>
      <xdr:sp macro="" textlink="">
        <xdr:nvSpPr>
          <xdr:cNvPr id="70" name="Text Box 10">
            <a:extLst>
              <a:ext uri="{FF2B5EF4-FFF2-40B4-BE49-F238E27FC236}">
                <a16:creationId xmlns:a16="http://schemas.microsoft.com/office/drawing/2014/main" id="{00000000-0008-0000-0C00-000046000000}"/>
              </a:ext>
            </a:extLst>
          </xdr:cNvPr>
          <xdr:cNvSpPr txBox="1">
            <a:spLocks noChangeArrowheads="1"/>
          </xdr:cNvSpPr>
        </xdr:nvSpPr>
        <xdr:spPr bwMode="auto">
          <a:xfrm>
            <a:off x="4531552" y="504825"/>
            <a:ext cx="1170000" cy="248025"/>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418817" name="Drop Down 1" hidden="1">
                <a:extLst>
                  <a:ext uri="{63B3BB69-23CF-44E3-9099-C40C66FF867C}">
                    <a14:compatExt spid="_x0000_s418817"/>
                  </a:ext>
                  <a:ext uri="{FF2B5EF4-FFF2-40B4-BE49-F238E27FC236}">
                    <a16:creationId xmlns:a16="http://schemas.microsoft.com/office/drawing/2014/main" id="{00000000-0008-0000-0C00-000001640600}"/>
                  </a:ext>
                </a:extLst>
              </xdr:cNvPr>
              <xdr:cNvSpPr/>
            </xdr:nvSpPr>
            <xdr:spPr bwMode="auto">
              <a:xfrm>
                <a:off x="5727802" y="543516"/>
                <a:ext cx="720001" cy="199434"/>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0</xdr:col>
      <xdr:colOff>0</xdr:colOff>
      <xdr:row>4</xdr:row>
      <xdr:rowOff>12700</xdr:rowOff>
    </xdr:from>
    <xdr:to>
      <xdr:col>22</xdr:col>
      <xdr:colOff>528974</xdr:colOff>
      <xdr:row>5</xdr:row>
      <xdr:rowOff>8550</xdr:rowOff>
    </xdr:to>
    <xdr:grpSp>
      <xdr:nvGrpSpPr>
        <xdr:cNvPr id="71" name="Agrupar 70">
          <a:extLst>
            <a:ext uri="{FF2B5EF4-FFF2-40B4-BE49-F238E27FC236}">
              <a16:creationId xmlns:a16="http://schemas.microsoft.com/office/drawing/2014/main" id="{00000000-0008-0000-0C00-000047000000}"/>
            </a:ext>
          </a:extLst>
        </xdr:cNvPr>
        <xdr:cNvGrpSpPr/>
      </xdr:nvGrpSpPr>
      <xdr:grpSpPr>
        <a:xfrm>
          <a:off x="0" y="774700"/>
          <a:ext cx="12987674" cy="186350"/>
          <a:chOff x="0" y="1060450"/>
          <a:chExt cx="12987674" cy="186350"/>
        </a:xfrm>
      </xdr:grpSpPr>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0" y="1060450"/>
            <a:ext cx="6444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Número de Trabalhadores</a:t>
            </a:r>
            <a:r>
              <a:rPr lang="en-US" sz="1100" b="1" kern="1200" baseline="0">
                <a:solidFill>
                  <a:schemeClr val="tx2">
                    <a:lumMod val="50000"/>
                  </a:schemeClr>
                </a:solidFill>
                <a:effectLst/>
                <a:latin typeface="Calibri" panose="020F0502020204030204" pitchFamily="34" charset="0"/>
                <a:ea typeface="+mn-ea"/>
                <a:cs typeface="Calibri" panose="020F0502020204030204" pitchFamily="34" charset="0"/>
              </a:rPr>
              <a:t> por Conta de Outrem </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sp macro="" textlink="">
        <xdr:nvSpPr>
          <xdr:cNvPr id="72" name="Rectangle 3">
            <a:extLst>
              <a:ext uri="{FF2B5EF4-FFF2-40B4-BE49-F238E27FC236}">
                <a16:creationId xmlns:a16="http://schemas.microsoft.com/office/drawing/2014/main" id="{00000000-0008-0000-0C00-000048000000}"/>
              </a:ext>
            </a:extLst>
          </xdr:cNvPr>
          <xdr:cNvSpPr>
            <a:spLocks noChangeArrowheads="1"/>
          </xdr:cNvSpPr>
        </xdr:nvSpPr>
        <xdr:spPr bwMode="auto">
          <a:xfrm>
            <a:off x="6543674" y="1066800"/>
            <a:ext cx="6444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Remunerações médias mensais</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grpSp>
    <xdr:clientData/>
  </xdr:twoCellAnchor>
  <xdr:twoCellAnchor>
    <xdr:from>
      <xdr:col>0</xdr:col>
      <xdr:colOff>9524</xdr:colOff>
      <xdr:row>5</xdr:row>
      <xdr:rowOff>60326</xdr:rowOff>
    </xdr:from>
    <xdr:to>
      <xdr:col>22</xdr:col>
      <xdr:colOff>552449</xdr:colOff>
      <xdr:row>6</xdr:row>
      <xdr:rowOff>85725</xdr:rowOff>
    </xdr:to>
    <xdr:grpSp>
      <xdr:nvGrpSpPr>
        <xdr:cNvPr id="73" name="Agrupar 72">
          <a:extLst>
            <a:ext uri="{FF2B5EF4-FFF2-40B4-BE49-F238E27FC236}">
              <a16:creationId xmlns:a16="http://schemas.microsoft.com/office/drawing/2014/main" id="{00000000-0008-0000-0C00-000049000000}"/>
            </a:ext>
          </a:extLst>
        </xdr:cNvPr>
        <xdr:cNvGrpSpPr/>
      </xdr:nvGrpSpPr>
      <xdr:grpSpPr>
        <a:xfrm>
          <a:off x="9524" y="1012826"/>
          <a:ext cx="13001625" cy="215899"/>
          <a:chOff x="230187" y="661786"/>
          <a:chExt cx="5846763" cy="449464"/>
        </a:xfrm>
      </xdr:grpSpPr>
      <xdr:sp macro="" textlink="">
        <xdr:nvSpPr>
          <xdr:cNvPr id="74" name="Rectangle 3">
            <a:extLst>
              <a:ext uri="{FF2B5EF4-FFF2-40B4-BE49-F238E27FC236}">
                <a16:creationId xmlns:a16="http://schemas.microsoft.com/office/drawing/2014/main" id="{00000000-0008-0000-0C00-00004A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75" name="Text Box 10">
            <a:extLst>
              <a:ext uri="{FF2B5EF4-FFF2-40B4-BE49-F238E27FC236}">
                <a16:creationId xmlns:a16="http://schemas.microsoft.com/office/drawing/2014/main" id="{00000000-0008-0000-0C00-00004B000000}"/>
              </a:ext>
            </a:extLst>
          </xdr:cNvPr>
          <xdr:cNvSpPr txBox="1">
            <a:spLocks noChangeArrowheads="1"/>
          </xdr:cNvSpPr>
        </xdr:nvSpPr>
        <xdr:spPr bwMode="auto">
          <a:xfrm>
            <a:off x="307903" y="661786"/>
            <a:ext cx="2220612" cy="34030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900" b="1" kern="1200">
                <a:solidFill>
                  <a:srgbClr val="00467A"/>
                </a:solidFill>
                <a:effectLst/>
                <a:latin typeface="Calibri" panose="020F0502020204030204" pitchFamily="34" charset="0"/>
                <a:ea typeface="+mn-ea"/>
                <a:cs typeface="Calibri" panose="020F0502020204030204" pitchFamily="34" charset="0"/>
              </a:rPr>
              <a:t>.....por Grupo Etário e Sexo</a:t>
            </a:r>
            <a:endParaRPr lang="pt-PT" sz="900">
              <a:solidFill>
                <a:srgbClr val="00467A"/>
              </a:solidFill>
              <a:effectLst/>
              <a:latin typeface="Calibri" panose="020F0502020204030204" pitchFamily="34" charset="0"/>
              <a:cs typeface="Calibri" panose="020F0502020204030204" pitchFamily="34" charset="0"/>
            </a:endParaRPr>
          </a:p>
        </xdr:txBody>
      </xdr:sp>
    </xdr:grpSp>
    <xdr:clientData/>
  </xdr:twoCellAnchor>
  <xdr:twoCellAnchor>
    <xdr:from>
      <xdr:col>0</xdr:col>
      <xdr:colOff>9522</xdr:colOff>
      <xdr:row>28</xdr:row>
      <xdr:rowOff>142874</xdr:rowOff>
    </xdr:from>
    <xdr:to>
      <xdr:col>23</xdr:col>
      <xdr:colOff>1797</xdr:colOff>
      <xdr:row>29</xdr:row>
      <xdr:rowOff>168374</xdr:rowOff>
    </xdr:to>
    <xdr:grpSp>
      <xdr:nvGrpSpPr>
        <xdr:cNvPr id="79" name="Agrupar 78">
          <a:extLst>
            <a:ext uri="{FF2B5EF4-FFF2-40B4-BE49-F238E27FC236}">
              <a16:creationId xmlns:a16="http://schemas.microsoft.com/office/drawing/2014/main" id="{00000000-0008-0000-0C00-00004F000000}"/>
            </a:ext>
          </a:extLst>
        </xdr:cNvPr>
        <xdr:cNvGrpSpPr/>
      </xdr:nvGrpSpPr>
      <xdr:grpSpPr>
        <a:xfrm>
          <a:off x="9522" y="5476874"/>
          <a:ext cx="13030203" cy="216000"/>
          <a:chOff x="230187" y="661786"/>
          <a:chExt cx="5846763" cy="449464"/>
        </a:xfrm>
      </xdr:grpSpPr>
      <xdr:sp macro="" textlink="">
        <xdr:nvSpPr>
          <xdr:cNvPr id="80" name="Rectangle 3">
            <a:extLst>
              <a:ext uri="{FF2B5EF4-FFF2-40B4-BE49-F238E27FC236}">
                <a16:creationId xmlns:a16="http://schemas.microsoft.com/office/drawing/2014/main" id="{00000000-0008-0000-0C00-000050000000}"/>
              </a:ext>
            </a:extLst>
          </xdr:cNvPr>
          <xdr:cNvSpPr>
            <a:spLocks noChangeArrowheads="1"/>
          </xdr:cNvSpPr>
        </xdr:nvSpPr>
        <xdr:spPr bwMode="auto">
          <a:xfrm>
            <a:off x="230187" y="673101"/>
            <a:ext cx="5846763" cy="438149"/>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81" name="Text Box 10">
            <a:extLst>
              <a:ext uri="{FF2B5EF4-FFF2-40B4-BE49-F238E27FC236}">
                <a16:creationId xmlns:a16="http://schemas.microsoft.com/office/drawing/2014/main" id="{00000000-0008-0000-0C00-000051000000}"/>
              </a:ext>
            </a:extLst>
          </xdr:cNvPr>
          <xdr:cNvSpPr txBox="1">
            <a:spLocks noChangeArrowheads="1"/>
          </xdr:cNvSpPr>
        </xdr:nvSpPr>
        <xdr:spPr bwMode="auto">
          <a:xfrm>
            <a:off x="303628" y="661786"/>
            <a:ext cx="2215955" cy="33709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Nível de Habilitação</a:t>
            </a:r>
            <a:endParaRPr lang="pt-PT" sz="1000">
              <a:solidFill>
                <a:srgbClr val="00467A"/>
              </a:solidFill>
              <a:effectLst/>
              <a:latin typeface="+mn-lt"/>
            </a:endParaRPr>
          </a:p>
        </xdr:txBody>
      </xdr:sp>
    </xdr:grpSp>
    <xdr:clientData/>
  </xdr:twoCellAnchor>
  <xdr:twoCellAnchor>
    <xdr:from>
      <xdr:col>21</xdr:col>
      <xdr:colOff>31684</xdr:colOff>
      <xdr:row>0</xdr:row>
      <xdr:rowOff>127001</xdr:rowOff>
    </xdr:from>
    <xdr:to>
      <xdr:col>22</xdr:col>
      <xdr:colOff>484175</xdr:colOff>
      <xdr:row>1</xdr:row>
      <xdr:rowOff>173928</xdr:rowOff>
    </xdr:to>
    <xdr:sp macro="" textlink="">
      <xdr:nvSpPr>
        <xdr:cNvPr id="82" name="Text Box 10">
          <a:hlinkClick xmlns:r="http://schemas.openxmlformats.org/officeDocument/2006/relationships" r:id="rId10"/>
          <a:extLst>
            <a:ext uri="{FF2B5EF4-FFF2-40B4-BE49-F238E27FC236}">
              <a16:creationId xmlns:a16="http://schemas.microsoft.com/office/drawing/2014/main" id="{00000000-0008-0000-0C00-000052000000}"/>
            </a:ext>
          </a:extLst>
        </xdr:cNvPr>
        <xdr:cNvSpPr txBox="1">
          <a:spLocks noChangeArrowheads="1"/>
        </xdr:cNvSpPr>
      </xdr:nvSpPr>
      <xdr:spPr bwMode="auto">
        <a:xfrm>
          <a:off x="11909359" y="12700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17</xdr:col>
      <xdr:colOff>257173</xdr:colOff>
      <xdr:row>6</xdr:row>
      <xdr:rowOff>139699</xdr:rowOff>
    </xdr:from>
    <xdr:to>
      <xdr:col>22</xdr:col>
      <xdr:colOff>520048</xdr:colOff>
      <xdr:row>11</xdr:row>
      <xdr:rowOff>15199</xdr:rowOff>
    </xdr:to>
    <xdr:sp macro="" textlink="q17_a_q19_q26_a_q29_q37_q40_Fig!AX92">
      <xdr:nvSpPr>
        <xdr:cNvPr id="83" name="CaixaDeTexto 82">
          <a:extLst>
            <a:ext uri="{FF2B5EF4-FFF2-40B4-BE49-F238E27FC236}">
              <a16:creationId xmlns:a16="http://schemas.microsoft.com/office/drawing/2014/main" id="{00000000-0008-0000-0C00-000053000000}"/>
            </a:ext>
          </a:extLst>
        </xdr:cNvPr>
        <xdr:cNvSpPr txBox="1"/>
      </xdr:nvSpPr>
      <xdr:spPr>
        <a:xfrm>
          <a:off x="9810748" y="1282699"/>
          <a:ext cx="3168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E1D93B8-A427-4A4B-8792-3BED9284426F}"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Base Mulheres = 87,3% da dos Homens (H), entre  66,6% da dos H (&lt; 18 anos) e 93,8% (18 - 24 anos).
Ganho Mulheres = 84,4% da dos H, entre  70,7% da dos H (&lt; 18 anos) e 92,8% (18 - 24 anos).</a:t>
          </a:fld>
          <a:endParaRPr kumimoji="0" lang="en-US" i="0" u="none" strike="noStrike" kern="0" cap="none" spc="0" normalizeH="0" baseline="0" noProof="0">
            <a:ln>
              <a:noFill/>
            </a:ln>
            <a:solidFill>
              <a:sysClr val="windowText" lastClr="000000"/>
            </a:solidFill>
            <a:effectLst/>
            <a:uLnTx/>
            <a:uFillTx/>
            <a:latin typeface="Calibri"/>
            <a:ea typeface="+mn-ea"/>
          </a:endParaRP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0.51845</cdr:x>
      <cdr:y>0.14688</cdr:y>
    </cdr:from>
    <cdr:to>
      <cdr:x>0.65457</cdr:x>
      <cdr:y>0.26625</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851379" y="533645"/>
          <a:ext cx="486083" cy="433695"/>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5.xml><?xml version="1.0" encoding="utf-8"?>
<c:userShapes xmlns:c="http://schemas.openxmlformats.org/drawingml/2006/chart">
  <cdr:relSizeAnchor xmlns:cdr="http://schemas.openxmlformats.org/drawingml/2006/chartDrawing">
    <cdr:from>
      <cdr:x>0.49765</cdr:x>
      <cdr:y>0.09441</cdr:y>
    </cdr:from>
    <cdr:to>
      <cdr:x>0.61405</cdr:x>
      <cdr:y>0.18938</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752408" y="304450"/>
          <a:ext cx="409887" cy="306256"/>
          <a:chOff x="1941922" y="369817"/>
          <a:chExt cx="48965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4192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6.xml><?xml version="1.0" encoding="utf-8"?>
<xdr:wsDr xmlns:xdr="http://schemas.openxmlformats.org/drawingml/2006/spreadsheetDrawing" xmlns:a="http://schemas.openxmlformats.org/drawingml/2006/main">
  <xdr:twoCellAnchor>
    <xdr:from>
      <xdr:col>17</xdr:col>
      <xdr:colOff>200025</xdr:colOff>
      <xdr:row>29</xdr:row>
      <xdr:rowOff>152400</xdr:rowOff>
    </xdr:from>
    <xdr:to>
      <xdr:col>22</xdr:col>
      <xdr:colOff>534900</xdr:colOff>
      <xdr:row>34</xdr:row>
      <xdr:rowOff>135900</xdr:rowOff>
    </xdr:to>
    <xdr:sp macro="" textlink="q17_a_q19_q26_a_q29_q37_q40_Fig!Z296">
      <xdr:nvSpPr>
        <xdr:cNvPr id="2" name="CaixaDeTexto 1">
          <a:extLst>
            <a:ext uri="{FF2B5EF4-FFF2-40B4-BE49-F238E27FC236}">
              <a16:creationId xmlns:a16="http://schemas.microsoft.com/office/drawing/2014/main" id="{00000000-0008-0000-0D00-000002000000}"/>
            </a:ext>
          </a:extLst>
        </xdr:cNvPr>
        <xdr:cNvSpPr txBox="1"/>
      </xdr:nvSpPr>
      <xdr:spPr>
        <a:xfrm>
          <a:off x="9753600" y="5676900"/>
          <a:ext cx="3240000" cy="936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DFCF6A7B-E23F-45C3-B3FE-6DC3C225EC78}"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horária média: 6,88 € a variar entre 4,86 € (Trabalhadores não qualificados ) e 16,69 € (Trabalhadores sem profissão atribuida).</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editAs="oneCell">
    <xdr:from>
      <xdr:col>0</xdr:col>
      <xdr:colOff>66675</xdr:colOff>
      <xdr:row>0</xdr:row>
      <xdr:rowOff>0</xdr:rowOff>
    </xdr:from>
    <xdr:to>
      <xdr:col>1</xdr:col>
      <xdr:colOff>383503</xdr:colOff>
      <xdr:row>2</xdr:row>
      <xdr:rowOff>48986</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66675" y="0"/>
          <a:ext cx="878803" cy="429986"/>
        </a:xfrm>
        <a:prstGeom prst="rect">
          <a:avLst/>
        </a:prstGeom>
      </xdr:spPr>
    </xdr:pic>
    <xdr:clientData/>
  </xdr:twoCellAnchor>
  <xdr:twoCellAnchor>
    <xdr:from>
      <xdr:col>1</xdr:col>
      <xdr:colOff>469834</xdr:colOff>
      <xdr:row>0</xdr:row>
      <xdr:rowOff>41276</xdr:rowOff>
    </xdr:from>
    <xdr:to>
      <xdr:col>22</xdr:col>
      <xdr:colOff>577786</xdr:colOff>
      <xdr:row>2</xdr:row>
      <xdr:rowOff>95250</xdr:rowOff>
    </xdr:to>
    <xdr:sp macro="" textlink="">
      <xdr:nvSpPr>
        <xdr:cNvPr id="4" name="Rectangle 17">
          <a:extLst>
            <a:ext uri="{FF2B5EF4-FFF2-40B4-BE49-F238E27FC236}">
              <a16:creationId xmlns:a16="http://schemas.microsoft.com/office/drawing/2014/main" id="{00000000-0008-0000-0D00-000004000000}"/>
            </a:ext>
          </a:extLst>
        </xdr:cNvPr>
        <xdr:cNvSpPr>
          <a:spLocks noChangeArrowheads="1"/>
        </xdr:cNvSpPr>
      </xdr:nvSpPr>
      <xdr:spPr bwMode="auto">
        <a:xfrm>
          <a:off x="1031809" y="41276"/>
          <a:ext cx="12004677" cy="43497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2013 - 2023: Quadros de Pessoal</a:t>
          </a:r>
        </a:p>
        <a:p>
          <a:pPr defTabSz="988538">
            <a:defRPr/>
          </a:pPr>
          <a:r>
            <a:rPr lang="pt-PT" sz="1600" b="1" i="1">
              <a:solidFill>
                <a:srgbClr val="FFE600"/>
              </a:solidFill>
              <a:effectLst>
                <a:outerShdw blurRad="38100" dist="38100" dir="2700000" algn="tl">
                  <a:srgbClr val="000000"/>
                </a:outerShdw>
              </a:effectLst>
              <a:latin typeface="Arial" charset="0"/>
            </a:rPr>
            <a:t>Características</a:t>
          </a:r>
          <a:r>
            <a:rPr lang="pt-PT" sz="1600" b="1" i="1" baseline="0">
              <a:solidFill>
                <a:srgbClr val="FFE600"/>
              </a:solidFill>
              <a:effectLst>
                <a:outerShdw blurRad="38100" dist="38100" dir="2700000" algn="tl">
                  <a:srgbClr val="000000"/>
                </a:outerShdw>
              </a:effectLst>
              <a:latin typeface="Arial" charset="0"/>
            </a:rPr>
            <a:t> dos Trabalhadores por Conta de Outrem (TCO)</a:t>
          </a:r>
          <a:endParaRPr lang="pt-PT" sz="1600" b="1" i="1">
            <a:solidFill>
              <a:srgbClr val="FFE600"/>
            </a:solidFill>
            <a:effectLst>
              <a:outerShdw blurRad="38100" dist="38100" dir="2700000" algn="tl">
                <a:srgbClr val="000000"/>
              </a:outerShdw>
            </a:effectLst>
            <a:latin typeface="Arial" charset="0"/>
          </a:endParaRPr>
        </a:p>
      </xdr:txBody>
    </xdr:sp>
    <xdr:clientData/>
  </xdr:twoCellAnchor>
  <xdr:twoCellAnchor>
    <xdr:from>
      <xdr:col>0</xdr:col>
      <xdr:colOff>200025</xdr:colOff>
      <xdr:row>29</xdr:row>
      <xdr:rowOff>166948</xdr:rowOff>
    </xdr:from>
    <xdr:to>
      <xdr:col>11</xdr:col>
      <xdr:colOff>0</xdr:colOff>
      <xdr:row>32</xdr:row>
      <xdr:rowOff>131848</xdr:rowOff>
    </xdr:to>
    <xdr:sp macro="" textlink="q17_a_q19_q26_a_q29_q37_q40_Fig!$S$278">
      <xdr:nvSpPr>
        <xdr:cNvPr id="45" name="CaixaDeTexto 44">
          <a:extLst>
            <a:ext uri="{FF2B5EF4-FFF2-40B4-BE49-F238E27FC236}">
              <a16:creationId xmlns:a16="http://schemas.microsoft.com/office/drawing/2014/main" id="{00000000-0008-0000-0D00-00002D000000}"/>
            </a:ext>
          </a:extLst>
        </xdr:cNvPr>
        <xdr:cNvSpPr txBox="1"/>
      </xdr:nvSpPr>
      <xdr:spPr>
        <a:xfrm>
          <a:off x="200025" y="5691448"/>
          <a:ext cx="5981700" cy="5364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EBA47BDC-C09A-4547-B3CE-F9B6B4F55ABF}" type="TxLink">
            <a:rPr lang="en-US" sz="900" b="0" i="0" u="none" strike="noStrike">
              <a:solidFill>
                <a:srgbClr val="000000"/>
              </a:solidFill>
              <a:latin typeface="Calibri"/>
              <a:cs typeface="Calibri"/>
            </a:rPr>
            <a:pPr/>
            <a:t>2023:
35,5% dos TCO eram "Trabalhadores dos serviços pessoais, de protecção e segurança e vendedores" (21,0%) e "Trabalhadores não qualificados " (14,5%).</a:t>
          </a:fld>
          <a:endParaRPr lang="pt-PT" sz="900" b="0">
            <a:solidFill>
              <a:sysClr val="windowText" lastClr="000000"/>
            </a:solidFill>
          </a:endParaRPr>
        </a:p>
      </xdr:txBody>
    </xdr:sp>
    <xdr:clientData/>
  </xdr:twoCellAnchor>
  <xdr:twoCellAnchor>
    <xdr:from>
      <xdr:col>11</xdr:col>
      <xdr:colOff>219074</xdr:colOff>
      <xdr:row>29</xdr:row>
      <xdr:rowOff>152400</xdr:rowOff>
    </xdr:from>
    <xdr:to>
      <xdr:col>17</xdr:col>
      <xdr:colOff>87224</xdr:colOff>
      <xdr:row>34</xdr:row>
      <xdr:rowOff>135900</xdr:rowOff>
    </xdr:to>
    <xdr:sp macro="" textlink="q17_a_q19_q26_a_q29_q37_q40_Fig!$S$296">
      <xdr:nvSpPr>
        <xdr:cNvPr id="47" name="CaixaDeTexto 46">
          <a:extLst>
            <a:ext uri="{FF2B5EF4-FFF2-40B4-BE49-F238E27FC236}">
              <a16:creationId xmlns:a16="http://schemas.microsoft.com/office/drawing/2014/main" id="{00000000-0008-0000-0D00-00002F000000}"/>
            </a:ext>
          </a:extLst>
        </xdr:cNvPr>
        <xdr:cNvSpPr txBox="1"/>
      </xdr:nvSpPr>
      <xdr:spPr>
        <a:xfrm>
          <a:off x="6400799" y="5676900"/>
          <a:ext cx="3240000" cy="936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5515E1E7-BA0E-466C-8FF3-87868B39CA2D}"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média: 83,2% do Ganho, entre 854 € (Trabalhadores não qualificados) e 2.853 € (Trabalhadores sem profissão atribuida).
Ganho médio: Entre 1.007 € e 3.169 € nas mesmas profissões,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0</xdr:col>
      <xdr:colOff>7937</xdr:colOff>
      <xdr:row>2</xdr:row>
      <xdr:rowOff>123825</xdr:rowOff>
    </xdr:from>
    <xdr:to>
      <xdr:col>23</xdr:col>
      <xdr:colOff>0</xdr:colOff>
      <xdr:row>3</xdr:row>
      <xdr:rowOff>171450</xdr:rowOff>
    </xdr:to>
    <xdr:sp macro="" textlink="">
      <xdr:nvSpPr>
        <xdr:cNvPr id="48" name="Text Box 10">
          <a:extLst>
            <a:ext uri="{FF2B5EF4-FFF2-40B4-BE49-F238E27FC236}">
              <a16:creationId xmlns:a16="http://schemas.microsoft.com/office/drawing/2014/main" id="{00000000-0008-0000-0D00-000030000000}"/>
            </a:ext>
          </a:extLst>
        </xdr:cNvPr>
        <xdr:cNvSpPr txBox="1">
          <a:spLocks noChangeArrowheads="1"/>
        </xdr:cNvSpPr>
      </xdr:nvSpPr>
      <xdr:spPr bwMode="auto">
        <a:xfrm>
          <a:off x="7937" y="504825"/>
          <a:ext cx="13031788" cy="238125"/>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200" b="1">
              <a:solidFill>
                <a:srgbClr val="00467A"/>
              </a:solidFill>
              <a:latin typeface="Arial" charset="0"/>
            </a:rPr>
            <a:t>Trabalhadores por Conta de Outrem e Remunerações médias mensais</a:t>
          </a:r>
        </a:p>
        <a:p>
          <a:pPr algn="l">
            <a:spcBef>
              <a:spcPct val="50000"/>
            </a:spcBef>
          </a:pPr>
          <a:endParaRPr lang="en-US" altLang="pt-PT" sz="1200" b="1">
            <a:solidFill>
              <a:srgbClr val="00467A"/>
            </a:solidFill>
            <a:latin typeface="Arial" charset="0"/>
          </a:endParaRPr>
        </a:p>
      </xdr:txBody>
    </xdr:sp>
    <xdr:clientData/>
  </xdr:twoCellAnchor>
  <xdr:twoCellAnchor>
    <xdr:from>
      <xdr:col>10</xdr:col>
      <xdr:colOff>356428</xdr:colOff>
      <xdr:row>2</xdr:row>
      <xdr:rowOff>114300</xdr:rowOff>
    </xdr:from>
    <xdr:to>
      <xdr:col>14</xdr:col>
      <xdr:colOff>77185</xdr:colOff>
      <xdr:row>3</xdr:row>
      <xdr:rowOff>171825</xdr:rowOff>
    </xdr:to>
    <xdr:grpSp>
      <xdr:nvGrpSpPr>
        <xdr:cNvPr id="49" name="Agrupar 48">
          <a:extLst>
            <a:ext uri="{FF2B5EF4-FFF2-40B4-BE49-F238E27FC236}">
              <a16:creationId xmlns:a16="http://schemas.microsoft.com/office/drawing/2014/main" id="{00000000-0008-0000-0D00-000031000000}"/>
            </a:ext>
          </a:extLst>
        </xdr:cNvPr>
        <xdr:cNvGrpSpPr/>
      </xdr:nvGrpSpPr>
      <xdr:grpSpPr>
        <a:xfrm>
          <a:off x="5976178" y="495300"/>
          <a:ext cx="1911507" cy="248025"/>
          <a:chOff x="4531552" y="504825"/>
          <a:chExt cx="1916251" cy="248025"/>
        </a:xfrm>
      </xdr:grpSpPr>
      <xdr:sp macro="" textlink="">
        <xdr:nvSpPr>
          <xdr:cNvPr id="50" name="Text Box 10">
            <a:extLst>
              <a:ext uri="{FF2B5EF4-FFF2-40B4-BE49-F238E27FC236}">
                <a16:creationId xmlns:a16="http://schemas.microsoft.com/office/drawing/2014/main" id="{00000000-0008-0000-0D00-000032000000}"/>
              </a:ext>
            </a:extLst>
          </xdr:cNvPr>
          <xdr:cNvSpPr txBox="1">
            <a:spLocks noChangeArrowheads="1"/>
          </xdr:cNvSpPr>
        </xdr:nvSpPr>
        <xdr:spPr bwMode="auto">
          <a:xfrm>
            <a:off x="4531552" y="504825"/>
            <a:ext cx="1170000" cy="248025"/>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420865" name="Drop Down 1" hidden="1">
                <a:extLst>
                  <a:ext uri="{63B3BB69-23CF-44E3-9099-C40C66FF867C}">
                    <a14:compatExt spid="_x0000_s420865"/>
                  </a:ext>
                  <a:ext uri="{FF2B5EF4-FFF2-40B4-BE49-F238E27FC236}">
                    <a16:creationId xmlns:a16="http://schemas.microsoft.com/office/drawing/2014/main" id="{00000000-0008-0000-0D00-0000016C0600}"/>
                  </a:ext>
                </a:extLst>
              </xdr:cNvPr>
              <xdr:cNvSpPr/>
            </xdr:nvSpPr>
            <xdr:spPr bwMode="auto">
              <a:xfrm>
                <a:off x="5727802" y="543516"/>
                <a:ext cx="720001" cy="199434"/>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0</xdr:col>
      <xdr:colOff>0</xdr:colOff>
      <xdr:row>4</xdr:row>
      <xdr:rowOff>12700</xdr:rowOff>
    </xdr:from>
    <xdr:to>
      <xdr:col>22</xdr:col>
      <xdr:colOff>528974</xdr:colOff>
      <xdr:row>5</xdr:row>
      <xdr:rowOff>8550</xdr:rowOff>
    </xdr:to>
    <xdr:grpSp>
      <xdr:nvGrpSpPr>
        <xdr:cNvPr id="52" name="Agrupar 51">
          <a:extLst>
            <a:ext uri="{FF2B5EF4-FFF2-40B4-BE49-F238E27FC236}">
              <a16:creationId xmlns:a16="http://schemas.microsoft.com/office/drawing/2014/main" id="{00000000-0008-0000-0D00-000034000000}"/>
            </a:ext>
          </a:extLst>
        </xdr:cNvPr>
        <xdr:cNvGrpSpPr/>
      </xdr:nvGrpSpPr>
      <xdr:grpSpPr>
        <a:xfrm>
          <a:off x="0" y="774700"/>
          <a:ext cx="12987674" cy="186350"/>
          <a:chOff x="0" y="1060450"/>
          <a:chExt cx="12987674" cy="186350"/>
        </a:xfrm>
      </xdr:grpSpPr>
      <xdr:sp macro="" textlink="">
        <xdr:nvSpPr>
          <xdr:cNvPr id="53" name="Rectangle 3">
            <a:extLst>
              <a:ext uri="{FF2B5EF4-FFF2-40B4-BE49-F238E27FC236}">
                <a16:creationId xmlns:a16="http://schemas.microsoft.com/office/drawing/2014/main" id="{00000000-0008-0000-0D00-000035000000}"/>
              </a:ext>
            </a:extLst>
          </xdr:cNvPr>
          <xdr:cNvSpPr>
            <a:spLocks noChangeArrowheads="1"/>
          </xdr:cNvSpPr>
        </xdr:nvSpPr>
        <xdr:spPr bwMode="auto">
          <a:xfrm>
            <a:off x="0" y="1060450"/>
            <a:ext cx="6444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Número de Trabalhadores</a:t>
            </a:r>
            <a:r>
              <a:rPr lang="en-US" sz="1100" b="1" kern="1200" baseline="0">
                <a:solidFill>
                  <a:schemeClr val="tx2">
                    <a:lumMod val="50000"/>
                  </a:schemeClr>
                </a:solidFill>
                <a:effectLst/>
                <a:latin typeface="Calibri" panose="020F0502020204030204" pitchFamily="34" charset="0"/>
                <a:ea typeface="+mn-ea"/>
                <a:cs typeface="Calibri" panose="020F0502020204030204" pitchFamily="34" charset="0"/>
              </a:rPr>
              <a:t> por Conta de Outrem </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sp macro="" textlink="">
        <xdr:nvSpPr>
          <xdr:cNvPr id="54" name="Rectangle 3">
            <a:extLst>
              <a:ext uri="{FF2B5EF4-FFF2-40B4-BE49-F238E27FC236}">
                <a16:creationId xmlns:a16="http://schemas.microsoft.com/office/drawing/2014/main" id="{00000000-0008-0000-0D00-000036000000}"/>
              </a:ext>
            </a:extLst>
          </xdr:cNvPr>
          <xdr:cNvSpPr>
            <a:spLocks noChangeArrowheads="1"/>
          </xdr:cNvSpPr>
        </xdr:nvSpPr>
        <xdr:spPr bwMode="auto">
          <a:xfrm>
            <a:off x="6543674" y="1066800"/>
            <a:ext cx="6444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Remunerações médias mensais</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grpSp>
    <xdr:clientData/>
  </xdr:twoCellAnchor>
  <xdr:twoCellAnchor>
    <xdr:from>
      <xdr:col>0</xdr:col>
      <xdr:colOff>9521</xdr:colOff>
      <xdr:row>28</xdr:row>
      <xdr:rowOff>85724</xdr:rowOff>
    </xdr:from>
    <xdr:to>
      <xdr:col>22</xdr:col>
      <xdr:colOff>554021</xdr:colOff>
      <xdr:row>29</xdr:row>
      <xdr:rowOff>111224</xdr:rowOff>
    </xdr:to>
    <xdr:grpSp>
      <xdr:nvGrpSpPr>
        <xdr:cNvPr id="58" name="Agrupar 57">
          <a:extLst>
            <a:ext uri="{FF2B5EF4-FFF2-40B4-BE49-F238E27FC236}">
              <a16:creationId xmlns:a16="http://schemas.microsoft.com/office/drawing/2014/main" id="{00000000-0008-0000-0D00-00003A000000}"/>
            </a:ext>
          </a:extLst>
        </xdr:cNvPr>
        <xdr:cNvGrpSpPr/>
      </xdr:nvGrpSpPr>
      <xdr:grpSpPr>
        <a:xfrm>
          <a:off x="9521" y="5419724"/>
          <a:ext cx="13003200" cy="216000"/>
          <a:chOff x="230187" y="661786"/>
          <a:chExt cx="5846763" cy="449464"/>
        </a:xfrm>
      </xdr:grpSpPr>
      <xdr:sp macro="" textlink="">
        <xdr:nvSpPr>
          <xdr:cNvPr id="59" name="Rectangle 3">
            <a:extLst>
              <a:ext uri="{FF2B5EF4-FFF2-40B4-BE49-F238E27FC236}">
                <a16:creationId xmlns:a16="http://schemas.microsoft.com/office/drawing/2014/main" id="{00000000-0008-0000-0D00-00003B000000}"/>
              </a:ext>
            </a:extLst>
          </xdr:cNvPr>
          <xdr:cNvSpPr>
            <a:spLocks noChangeArrowheads="1"/>
          </xdr:cNvSpPr>
        </xdr:nvSpPr>
        <xdr:spPr bwMode="auto">
          <a:xfrm>
            <a:off x="230187" y="673101"/>
            <a:ext cx="5846763" cy="438149"/>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60" name="Text Box 10">
            <a:extLst>
              <a:ext uri="{FF2B5EF4-FFF2-40B4-BE49-F238E27FC236}">
                <a16:creationId xmlns:a16="http://schemas.microsoft.com/office/drawing/2014/main" id="{00000000-0008-0000-0D00-00003C000000}"/>
              </a:ext>
            </a:extLst>
          </xdr:cNvPr>
          <xdr:cNvSpPr txBox="1">
            <a:spLocks noChangeArrowheads="1"/>
          </xdr:cNvSpPr>
        </xdr:nvSpPr>
        <xdr:spPr bwMode="auto">
          <a:xfrm>
            <a:off x="303628" y="661786"/>
            <a:ext cx="2215955" cy="33709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Profissão</a:t>
            </a:r>
            <a:endParaRPr lang="pt-PT" sz="1000">
              <a:solidFill>
                <a:srgbClr val="00467A"/>
              </a:solidFill>
              <a:effectLst/>
              <a:latin typeface="+mn-lt"/>
            </a:endParaRPr>
          </a:p>
        </xdr:txBody>
      </xdr:sp>
    </xdr:grpSp>
    <xdr:clientData/>
  </xdr:twoCellAnchor>
  <xdr:twoCellAnchor>
    <xdr:from>
      <xdr:col>21</xdr:col>
      <xdr:colOff>31684</xdr:colOff>
      <xdr:row>0</xdr:row>
      <xdr:rowOff>127001</xdr:rowOff>
    </xdr:from>
    <xdr:to>
      <xdr:col>22</xdr:col>
      <xdr:colOff>484175</xdr:colOff>
      <xdr:row>1</xdr:row>
      <xdr:rowOff>173928</xdr:rowOff>
    </xdr:to>
    <xdr:sp macro="" textlink="">
      <xdr:nvSpPr>
        <xdr:cNvPr id="61" name="Text Box 10">
          <a:hlinkClick xmlns:r="http://schemas.openxmlformats.org/officeDocument/2006/relationships" r:id="rId2"/>
          <a:extLst>
            <a:ext uri="{FF2B5EF4-FFF2-40B4-BE49-F238E27FC236}">
              <a16:creationId xmlns:a16="http://schemas.microsoft.com/office/drawing/2014/main" id="{00000000-0008-0000-0D00-00003D000000}"/>
            </a:ext>
          </a:extLst>
        </xdr:cNvPr>
        <xdr:cNvSpPr txBox="1">
          <a:spLocks noChangeArrowheads="1"/>
        </xdr:cNvSpPr>
      </xdr:nvSpPr>
      <xdr:spPr bwMode="auto">
        <a:xfrm>
          <a:off x="11909359" y="12700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0</xdr:col>
      <xdr:colOff>66675</xdr:colOff>
      <xdr:row>5</xdr:row>
      <xdr:rowOff>38100</xdr:rowOff>
    </xdr:from>
    <xdr:to>
      <xdr:col>23</xdr:col>
      <xdr:colOff>30150</xdr:colOff>
      <xdr:row>6</xdr:row>
      <xdr:rowOff>63600</xdr:rowOff>
    </xdr:to>
    <xdr:grpSp>
      <xdr:nvGrpSpPr>
        <xdr:cNvPr id="63" name="Agrupar 62">
          <a:extLst>
            <a:ext uri="{FF2B5EF4-FFF2-40B4-BE49-F238E27FC236}">
              <a16:creationId xmlns:a16="http://schemas.microsoft.com/office/drawing/2014/main" id="{00000000-0008-0000-0D00-00003F000000}"/>
            </a:ext>
          </a:extLst>
        </xdr:cNvPr>
        <xdr:cNvGrpSpPr/>
      </xdr:nvGrpSpPr>
      <xdr:grpSpPr>
        <a:xfrm>
          <a:off x="66675" y="990600"/>
          <a:ext cx="12973050" cy="216000"/>
          <a:chOff x="230187" y="661786"/>
          <a:chExt cx="5846763" cy="449464"/>
        </a:xfrm>
      </xdr:grpSpPr>
      <xdr:sp macro="" textlink="">
        <xdr:nvSpPr>
          <xdr:cNvPr id="64" name="Rectangle 3">
            <a:extLst>
              <a:ext uri="{FF2B5EF4-FFF2-40B4-BE49-F238E27FC236}">
                <a16:creationId xmlns:a16="http://schemas.microsoft.com/office/drawing/2014/main" id="{00000000-0008-0000-0D00-000040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65" name="Text Box 10">
            <a:extLst>
              <a:ext uri="{FF2B5EF4-FFF2-40B4-BE49-F238E27FC236}">
                <a16:creationId xmlns:a16="http://schemas.microsoft.com/office/drawing/2014/main" id="{00000000-0008-0000-0D00-000041000000}"/>
              </a:ext>
            </a:extLst>
          </xdr:cNvPr>
          <xdr:cNvSpPr txBox="1">
            <a:spLocks noChangeArrowheads="1"/>
          </xdr:cNvSpPr>
        </xdr:nvSpPr>
        <xdr:spPr bwMode="auto">
          <a:xfrm>
            <a:off x="307900" y="661786"/>
            <a:ext cx="2220863" cy="33709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Nível de Qualificação e Sexo</a:t>
            </a:r>
            <a:endParaRPr lang="pt-PT" sz="1000">
              <a:solidFill>
                <a:srgbClr val="00467A"/>
              </a:solidFill>
              <a:effectLst/>
              <a:latin typeface="+mn-lt"/>
            </a:endParaRPr>
          </a:p>
        </xdr:txBody>
      </xdr:sp>
    </xdr:grpSp>
    <xdr:clientData/>
  </xdr:twoCellAnchor>
  <xdr:twoCellAnchor>
    <xdr:from>
      <xdr:col>0</xdr:col>
      <xdr:colOff>161925</xdr:colOff>
      <xdr:row>6</xdr:row>
      <xdr:rowOff>123825</xdr:rowOff>
    </xdr:from>
    <xdr:to>
      <xdr:col>11</xdr:col>
      <xdr:colOff>28200</xdr:colOff>
      <xdr:row>9</xdr:row>
      <xdr:rowOff>88725</xdr:rowOff>
    </xdr:to>
    <xdr:sp macro="" textlink="q17_a_q19_q26_a_q29_q37_q40_Fig!$Y$57">
      <xdr:nvSpPr>
        <xdr:cNvPr id="66" name="CaixaDeTexto 65">
          <a:extLst>
            <a:ext uri="{FF2B5EF4-FFF2-40B4-BE49-F238E27FC236}">
              <a16:creationId xmlns:a16="http://schemas.microsoft.com/office/drawing/2014/main" id="{00000000-0008-0000-0D00-000042000000}"/>
            </a:ext>
          </a:extLst>
        </xdr:cNvPr>
        <xdr:cNvSpPr txBox="1"/>
      </xdr:nvSpPr>
      <xdr:spPr>
        <a:xfrm>
          <a:off x="161925" y="1266825"/>
          <a:ext cx="6048000" cy="5364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48839FCC-299A-463A-BB08-0CE435B4BBAF}" type="TxLink">
            <a:rPr lang="en-US" sz="900" b="0" i="0" u="none" strike="noStrike">
              <a:solidFill>
                <a:sysClr val="windowText" lastClr="000000"/>
              </a:solidFill>
              <a:latin typeface="Calibri"/>
              <a:cs typeface="Calibri"/>
            </a:rPr>
            <a:pPr/>
            <a:t>2023:
56,0% dos TCO eram profissionais qualificados e semi-qualificados, onde a taxa de feminização era de  41,8% e de 56,4%, respetivamente.</a:t>
          </a:fld>
          <a:endParaRPr lang="pt-PT" sz="900" b="0">
            <a:solidFill>
              <a:sysClr val="windowText" lastClr="000000"/>
            </a:solidFill>
          </a:endParaRPr>
        </a:p>
      </xdr:txBody>
    </xdr:sp>
    <xdr:clientData/>
  </xdr:twoCellAnchor>
  <xdr:twoCellAnchor>
    <xdr:from>
      <xdr:col>0</xdr:col>
      <xdr:colOff>161925</xdr:colOff>
      <xdr:row>8</xdr:row>
      <xdr:rowOff>171450</xdr:rowOff>
    </xdr:from>
    <xdr:to>
      <xdr:col>11</xdr:col>
      <xdr:colOff>19050</xdr:colOff>
      <xdr:row>27</xdr:row>
      <xdr:rowOff>161925</xdr:rowOff>
    </xdr:to>
    <xdr:grpSp>
      <xdr:nvGrpSpPr>
        <xdr:cNvPr id="67" name="Agrupar 66">
          <a:extLst>
            <a:ext uri="{FF2B5EF4-FFF2-40B4-BE49-F238E27FC236}">
              <a16:creationId xmlns:a16="http://schemas.microsoft.com/office/drawing/2014/main" id="{00000000-0008-0000-0D00-000043000000}"/>
            </a:ext>
          </a:extLst>
        </xdr:cNvPr>
        <xdr:cNvGrpSpPr/>
      </xdr:nvGrpSpPr>
      <xdr:grpSpPr>
        <a:xfrm>
          <a:off x="161925" y="1695450"/>
          <a:ext cx="6038850" cy="3609975"/>
          <a:chOff x="4838698" y="1104900"/>
          <a:chExt cx="4438651" cy="2174250"/>
        </a:xfrm>
      </xdr:grpSpPr>
      <xdr:grpSp>
        <xdr:nvGrpSpPr>
          <xdr:cNvPr id="68" name="Agrupar 67">
            <a:extLst>
              <a:ext uri="{FF2B5EF4-FFF2-40B4-BE49-F238E27FC236}">
                <a16:creationId xmlns:a16="http://schemas.microsoft.com/office/drawing/2014/main" id="{00000000-0008-0000-0D00-000044000000}"/>
              </a:ext>
            </a:extLst>
          </xdr:cNvPr>
          <xdr:cNvGrpSpPr/>
        </xdr:nvGrpSpPr>
        <xdr:grpSpPr>
          <a:xfrm>
            <a:off x="6905624" y="1104900"/>
            <a:ext cx="2371725" cy="2088525"/>
            <a:chOff x="237729" y="50865118"/>
            <a:chExt cx="3452223" cy="2472395"/>
          </a:xfrm>
        </xdr:grpSpPr>
        <xdr:graphicFrame macro="">
          <xdr:nvGraphicFramePr>
            <xdr:cNvPr id="70" name="Gráfico 69">
              <a:extLst>
                <a:ext uri="{FF2B5EF4-FFF2-40B4-BE49-F238E27FC236}">
                  <a16:creationId xmlns:a16="http://schemas.microsoft.com/office/drawing/2014/main" id="{00000000-0008-0000-0D00-000046000000}"/>
                </a:ext>
              </a:extLst>
            </xdr:cNvPr>
            <xdr:cNvGraphicFramePr/>
          </xdr:nvGraphicFramePr>
          <xdr:xfrm>
            <a:off x="237729" y="50865118"/>
            <a:ext cx="3452223" cy="2472395"/>
          </xdr:xfrm>
          <a:graphic>
            <a:graphicData uri="http://schemas.openxmlformats.org/drawingml/2006/chart">
              <c:chart xmlns:c="http://schemas.openxmlformats.org/drawingml/2006/chart" xmlns:r="http://schemas.openxmlformats.org/officeDocument/2006/relationships" r:id="rId3"/>
            </a:graphicData>
          </a:graphic>
        </xdr:graphicFrame>
        <xdr:sp macro="" textlink="q17_a_q19_q26_a_q29_q37_q40_Fig!$S$53">
          <xdr:nvSpPr>
            <xdr:cNvPr id="71" name="CaixaDeTexto 70">
              <a:extLst>
                <a:ext uri="{FF2B5EF4-FFF2-40B4-BE49-F238E27FC236}">
                  <a16:creationId xmlns:a16="http://schemas.microsoft.com/office/drawing/2014/main" id="{00000000-0008-0000-0D00-000047000000}"/>
                </a:ext>
              </a:extLst>
            </xdr:cNvPr>
            <xdr:cNvSpPr txBox="1"/>
          </xdr:nvSpPr>
          <xdr:spPr>
            <a:xfrm>
              <a:off x="2462259" y="51257392"/>
              <a:ext cx="972653" cy="212825"/>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346763-475C-40D3-8C96-022D8ECA6C6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1.552.823</a:t>
              </a:fld>
              <a:endParaRPr kumimoji="0" lang="pt-PT" sz="800" b="1" i="0" u="none" strike="noStrike" kern="0" cap="none" spc="0" normalizeH="0" baseline="0" noProof="0">
                <a:ln>
                  <a:noFill/>
                </a:ln>
                <a:solidFill>
                  <a:srgbClr val="000000"/>
                </a:solidFill>
                <a:effectLst/>
                <a:uLnTx/>
                <a:uFillTx/>
                <a:latin typeface="+mn-lt"/>
                <a:ea typeface="+mn-ea"/>
                <a:cs typeface="Arial"/>
              </a:endParaRPr>
            </a:p>
          </xdr:txBody>
        </xdr:sp>
        <xdr:sp macro="" textlink="q17_a_q19_q26_a_q29_q37_q40_Fig!$R$53">
          <xdr:nvSpPr>
            <xdr:cNvPr id="72" name="CaixaDeTexto 71">
              <a:extLst>
                <a:ext uri="{FF2B5EF4-FFF2-40B4-BE49-F238E27FC236}">
                  <a16:creationId xmlns:a16="http://schemas.microsoft.com/office/drawing/2014/main" id="{00000000-0008-0000-0D00-000048000000}"/>
                </a:ext>
              </a:extLst>
            </xdr:cNvPr>
            <xdr:cNvSpPr txBox="1"/>
          </xdr:nvSpPr>
          <xdr:spPr>
            <a:xfrm>
              <a:off x="930254" y="51250755"/>
              <a:ext cx="972653" cy="213084"/>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28F9F58-0452-4DC4-9A48-9DAD84751F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1.743.311</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69" name="Gráfico 68">
            <a:extLst>
              <a:ext uri="{FF2B5EF4-FFF2-40B4-BE49-F238E27FC236}">
                <a16:creationId xmlns:a16="http://schemas.microsoft.com/office/drawing/2014/main" id="{00000000-0008-0000-0D00-000045000000}"/>
              </a:ext>
            </a:extLst>
          </xdr:cNvPr>
          <xdr:cNvGraphicFramePr>
            <a:graphicFrameLocks/>
          </xdr:cNvGraphicFramePr>
        </xdr:nvGraphicFramePr>
        <xdr:xfrm>
          <a:off x="4838698" y="1428750"/>
          <a:ext cx="2838452" cy="18504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11</xdr:col>
      <xdr:colOff>419100</xdr:colOff>
      <xdr:row>6</xdr:row>
      <xdr:rowOff>114300</xdr:rowOff>
    </xdr:from>
    <xdr:to>
      <xdr:col>17</xdr:col>
      <xdr:colOff>215250</xdr:colOff>
      <xdr:row>10</xdr:row>
      <xdr:rowOff>180300</xdr:rowOff>
    </xdr:to>
    <xdr:sp macro="" textlink="q17_a_q19_q26_a_q29_q37_q40_Fig!AN135">
      <xdr:nvSpPr>
        <xdr:cNvPr id="73" name="CaixaDeTexto 72">
          <a:extLst>
            <a:ext uri="{FF2B5EF4-FFF2-40B4-BE49-F238E27FC236}">
              <a16:creationId xmlns:a16="http://schemas.microsoft.com/office/drawing/2014/main" id="{00000000-0008-0000-0D00-000049000000}"/>
            </a:ext>
          </a:extLst>
        </xdr:cNvPr>
        <xdr:cNvSpPr txBox="1"/>
      </xdr:nvSpPr>
      <xdr:spPr>
        <a:xfrm>
          <a:off x="6600825" y="1257300"/>
          <a:ext cx="3168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1912416A-AF04-4DEC-A1EB-FA2979111E70}"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83,2% do Ganho, entre 806 €  (Profissionais não qualificados) e  2.374 €  (Quadros superiores).
Ganho: Entre 950 €  e 2.771 €, nos mesmos níveis de qualificação, respetivamente.</a:t>
          </a:fld>
          <a:endParaRPr kumimoji="0" lang="en-US" b="0" i="0" u="none" strike="noStrike" kern="0" cap="none" spc="0" normalizeH="0" baseline="0" noProof="0">
            <a:ln>
              <a:noFill/>
            </a:ln>
            <a:effectLst/>
            <a:uLnTx/>
            <a:uFillTx/>
            <a:latin typeface="Calibri"/>
            <a:ea typeface="+mn-ea"/>
          </a:endParaRPr>
        </a:p>
      </xdr:txBody>
    </xdr:sp>
    <xdr:clientData/>
  </xdr:twoCellAnchor>
  <xdr:twoCellAnchor>
    <xdr:from>
      <xdr:col>17</xdr:col>
      <xdr:colOff>276225</xdr:colOff>
      <xdr:row>6</xdr:row>
      <xdr:rowOff>114300</xdr:rowOff>
    </xdr:from>
    <xdr:to>
      <xdr:col>22</xdr:col>
      <xdr:colOff>539100</xdr:colOff>
      <xdr:row>10</xdr:row>
      <xdr:rowOff>180300</xdr:rowOff>
    </xdr:to>
    <xdr:sp macro="" textlink="q17_a_q19_q26_a_q29_q37_q40_Fig!AN137">
      <xdr:nvSpPr>
        <xdr:cNvPr id="74" name="CaixaDeTexto 73">
          <a:extLst>
            <a:ext uri="{FF2B5EF4-FFF2-40B4-BE49-F238E27FC236}">
              <a16:creationId xmlns:a16="http://schemas.microsoft.com/office/drawing/2014/main" id="{00000000-0008-0000-0D00-00004A000000}"/>
            </a:ext>
          </a:extLst>
        </xdr:cNvPr>
        <xdr:cNvSpPr txBox="1"/>
      </xdr:nvSpPr>
      <xdr:spPr>
        <a:xfrm>
          <a:off x="9829800" y="1257300"/>
          <a:ext cx="3168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D1E7EE5-876E-4ADB-805A-AD48B919594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Base Mulheres = 87,3%  da dos Homens (H), entre  74,0% da dos H (Quadros superiores ) e 97,6% (Praticantes e aprendizes).
Ganho Mulheres = 84,4% da dos H, entre 73,5% da dos H (Quadros superiores) e 95,3% (Praticantes e aprendizes).</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11</xdr:col>
      <xdr:colOff>323850</xdr:colOff>
      <xdr:row>11</xdr:row>
      <xdr:rowOff>38100</xdr:rowOff>
    </xdr:from>
    <xdr:to>
      <xdr:col>22</xdr:col>
      <xdr:colOff>514350</xdr:colOff>
      <xdr:row>28</xdr:row>
      <xdr:rowOff>161925</xdr:rowOff>
    </xdr:to>
    <xdr:grpSp>
      <xdr:nvGrpSpPr>
        <xdr:cNvPr id="75" name="Agrupar 74">
          <a:extLst>
            <a:ext uri="{FF2B5EF4-FFF2-40B4-BE49-F238E27FC236}">
              <a16:creationId xmlns:a16="http://schemas.microsoft.com/office/drawing/2014/main" id="{00000000-0008-0000-0D00-00004B000000}"/>
            </a:ext>
          </a:extLst>
        </xdr:cNvPr>
        <xdr:cNvGrpSpPr/>
      </xdr:nvGrpSpPr>
      <xdr:grpSpPr>
        <a:xfrm>
          <a:off x="6505575" y="2133600"/>
          <a:ext cx="6467475" cy="3362325"/>
          <a:chOff x="18293291" y="17907757"/>
          <a:chExt cx="5355382" cy="3534079"/>
        </a:xfrm>
      </xdr:grpSpPr>
      <xdr:grpSp>
        <xdr:nvGrpSpPr>
          <xdr:cNvPr id="76" name="Agrupar 75">
            <a:extLst>
              <a:ext uri="{FF2B5EF4-FFF2-40B4-BE49-F238E27FC236}">
                <a16:creationId xmlns:a16="http://schemas.microsoft.com/office/drawing/2014/main" id="{00000000-0008-0000-0D00-00004C000000}"/>
              </a:ext>
            </a:extLst>
          </xdr:cNvPr>
          <xdr:cNvGrpSpPr/>
        </xdr:nvGrpSpPr>
        <xdr:grpSpPr>
          <a:xfrm>
            <a:off x="18293291" y="17938754"/>
            <a:ext cx="2846916" cy="3503082"/>
            <a:chOff x="20214167" y="14049372"/>
            <a:chExt cx="2846916" cy="2603503"/>
          </a:xfrm>
        </xdr:grpSpPr>
        <xdr:graphicFrame macro="">
          <xdr:nvGraphicFramePr>
            <xdr:cNvPr id="83" name="Gráfico 82">
              <a:extLst>
                <a:ext uri="{FF2B5EF4-FFF2-40B4-BE49-F238E27FC236}">
                  <a16:creationId xmlns:a16="http://schemas.microsoft.com/office/drawing/2014/main" id="{00000000-0008-0000-0D00-000053000000}"/>
                </a:ext>
              </a:extLst>
            </xdr:cNvPr>
            <xdr:cNvGraphicFramePr>
              <a:graphicFrameLocks/>
            </xdr:cNvGraphicFramePr>
          </xdr:nvGraphicFramePr>
          <xdr:xfrm>
            <a:off x="20214167" y="14271625"/>
            <a:ext cx="2846916" cy="2381250"/>
          </xdr:xfrm>
          <a:graphic>
            <a:graphicData uri="http://schemas.openxmlformats.org/drawingml/2006/chart">
              <c:chart xmlns:c="http://schemas.openxmlformats.org/drawingml/2006/chart" xmlns:r="http://schemas.openxmlformats.org/officeDocument/2006/relationships" r:id="rId5"/>
            </a:graphicData>
          </a:graphic>
        </xdr:graphicFrame>
        <xdr:sp macro="" textlink="q17_a_q19_q26_a_q29_q37_q40_Fig!$R$132">
          <xdr:nvSpPr>
            <xdr:cNvPr id="84" name="CaixaDeTexto 83">
              <a:extLst>
                <a:ext uri="{FF2B5EF4-FFF2-40B4-BE49-F238E27FC236}">
                  <a16:creationId xmlns:a16="http://schemas.microsoft.com/office/drawing/2014/main" id="{00000000-0008-0000-0D00-000054000000}"/>
                </a:ext>
              </a:extLst>
            </xdr:cNvPr>
            <xdr:cNvSpPr txBox="1"/>
          </xdr:nvSpPr>
          <xdr:spPr>
            <a:xfrm>
              <a:off x="20489330" y="14220587"/>
              <a:ext cx="966890" cy="103652"/>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94FF904-7FF2-4811-B6FA-9508B3DAD15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1.219,87 €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5" name="CaixaDeTexto 84">
              <a:extLst>
                <a:ext uri="{FF2B5EF4-FFF2-40B4-BE49-F238E27FC236}">
                  <a16:creationId xmlns:a16="http://schemas.microsoft.com/office/drawing/2014/main" id="{00000000-0008-0000-0D00-000055000000}"/>
                </a:ext>
              </a:extLst>
            </xdr:cNvPr>
            <xdr:cNvSpPr txBox="1"/>
          </xdr:nvSpPr>
          <xdr:spPr>
            <a:xfrm>
              <a:off x="20489333" y="14049372"/>
              <a:ext cx="950758" cy="139765"/>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7_a_q19_q26_a_q29_q37_q40_Fig!$R$133">
          <xdr:nvSpPr>
            <xdr:cNvPr id="86" name="CaixaDeTexto 85">
              <a:extLst>
                <a:ext uri="{FF2B5EF4-FFF2-40B4-BE49-F238E27FC236}">
                  <a16:creationId xmlns:a16="http://schemas.microsoft.com/office/drawing/2014/main" id="{00000000-0008-0000-0D00-000056000000}"/>
                </a:ext>
              </a:extLst>
            </xdr:cNvPr>
            <xdr:cNvSpPr txBox="1"/>
          </xdr:nvSpPr>
          <xdr:spPr>
            <a:xfrm>
              <a:off x="20489330" y="14370432"/>
              <a:ext cx="950759" cy="107547"/>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F41B4DC-6B12-4705-972B-8D9EFE182F4F}"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1.466,66 €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77" name="Agrupar 76">
            <a:extLst>
              <a:ext uri="{FF2B5EF4-FFF2-40B4-BE49-F238E27FC236}">
                <a16:creationId xmlns:a16="http://schemas.microsoft.com/office/drawing/2014/main" id="{00000000-0008-0000-0D00-00004D000000}"/>
              </a:ext>
            </a:extLst>
          </xdr:cNvPr>
          <xdr:cNvGrpSpPr/>
        </xdr:nvGrpSpPr>
        <xdr:grpSpPr>
          <a:xfrm>
            <a:off x="20418296" y="17907757"/>
            <a:ext cx="3230377" cy="3327698"/>
            <a:chOff x="21145612" y="14869909"/>
            <a:chExt cx="2840782" cy="3090007"/>
          </a:xfrm>
        </xdr:grpSpPr>
        <xdr:graphicFrame macro="">
          <xdr:nvGraphicFramePr>
            <xdr:cNvPr id="78" name="Gráfico 77">
              <a:extLst>
                <a:ext uri="{FF2B5EF4-FFF2-40B4-BE49-F238E27FC236}">
                  <a16:creationId xmlns:a16="http://schemas.microsoft.com/office/drawing/2014/main" id="{00000000-0008-0000-0D00-00004E000000}"/>
                </a:ext>
              </a:extLst>
            </xdr:cNvPr>
            <xdr:cNvGraphicFramePr/>
          </xdr:nvGraphicFramePr>
          <xdr:xfrm>
            <a:off x="21145612" y="14869909"/>
            <a:ext cx="2778125" cy="3090007"/>
          </xdr:xfrm>
          <a:graphic>
            <a:graphicData uri="http://schemas.openxmlformats.org/drawingml/2006/chart">
              <c:chart xmlns:c="http://schemas.openxmlformats.org/drawingml/2006/chart" xmlns:r="http://schemas.openxmlformats.org/officeDocument/2006/relationships" r:id="rId6"/>
            </a:graphicData>
          </a:graphic>
        </xdr:graphicFrame>
        <xdr:sp macro="" textlink="q17_a_q19_q26_a_q29_q37_q40_Fig!$R$136">
          <xdr:nvSpPr>
            <xdr:cNvPr id="79" name="CaixaDeTexto 78">
              <a:extLst>
                <a:ext uri="{FF2B5EF4-FFF2-40B4-BE49-F238E27FC236}">
                  <a16:creationId xmlns:a16="http://schemas.microsoft.com/office/drawing/2014/main" id="{00000000-0008-0000-0D00-00004F000000}"/>
                </a:ext>
              </a:extLst>
            </xdr:cNvPr>
            <xdr:cNvSpPr txBox="1"/>
          </xdr:nvSpPr>
          <xdr:spPr>
            <a:xfrm>
              <a:off x="21936641" y="15221481"/>
              <a:ext cx="782888" cy="11979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E49E796-DCE6-4364-B448-F5CA0509A2D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1.294,03 €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R$137">
          <xdr:nvSpPr>
            <xdr:cNvPr id="80" name="CaixaDeTexto 79">
              <a:extLst>
                <a:ext uri="{FF2B5EF4-FFF2-40B4-BE49-F238E27FC236}">
                  <a16:creationId xmlns:a16="http://schemas.microsoft.com/office/drawing/2014/main" id="{00000000-0008-0000-0D00-000050000000}"/>
                </a:ext>
              </a:extLst>
            </xdr:cNvPr>
            <xdr:cNvSpPr txBox="1"/>
          </xdr:nvSpPr>
          <xdr:spPr>
            <a:xfrm>
              <a:off x="21943733" y="15413258"/>
              <a:ext cx="782231" cy="1199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94AF2D3-E95C-4965-BDF3-A75C1EA1175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T$129">
          <xdr:nvSpPr>
            <xdr:cNvPr id="81" name="CaixaDeTexto 80">
              <a:extLst>
                <a:ext uri="{FF2B5EF4-FFF2-40B4-BE49-F238E27FC236}">
                  <a16:creationId xmlns:a16="http://schemas.microsoft.com/office/drawing/2014/main" id="{00000000-0008-0000-0D00-000051000000}"/>
                </a:ext>
              </a:extLst>
            </xdr:cNvPr>
            <xdr:cNvSpPr txBox="1"/>
          </xdr:nvSpPr>
          <xdr:spPr>
            <a:xfrm>
              <a:off x="23202946" y="15216190"/>
              <a:ext cx="783448" cy="11979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E772E6-B5EE-4022-A5D7-B926F70E47F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1.129,64 €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U$129">
          <xdr:nvSpPr>
            <xdr:cNvPr id="82" name="CaixaDeTexto 81">
              <a:extLst>
                <a:ext uri="{FF2B5EF4-FFF2-40B4-BE49-F238E27FC236}">
                  <a16:creationId xmlns:a16="http://schemas.microsoft.com/office/drawing/2014/main" id="{00000000-0008-0000-0D00-000052000000}"/>
                </a:ext>
              </a:extLst>
            </xdr:cNvPr>
            <xdr:cNvSpPr txBox="1"/>
          </xdr:nvSpPr>
          <xdr:spPr>
            <a:xfrm>
              <a:off x="23202947" y="15407964"/>
              <a:ext cx="782888" cy="11979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402D5C1-CE2B-4A98-9B05-1F7756AEEC85}"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1.332,02 €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0</xdr:col>
      <xdr:colOff>161925</xdr:colOff>
      <xdr:row>33</xdr:row>
      <xdr:rowOff>38100</xdr:rowOff>
    </xdr:from>
    <xdr:to>
      <xdr:col>11</xdr:col>
      <xdr:colOff>19050</xdr:colOff>
      <xdr:row>53</xdr:row>
      <xdr:rowOff>95250</xdr:rowOff>
    </xdr:to>
    <xdr:grpSp>
      <xdr:nvGrpSpPr>
        <xdr:cNvPr id="87" name="Agrupar 86">
          <a:extLst>
            <a:ext uri="{FF2B5EF4-FFF2-40B4-BE49-F238E27FC236}">
              <a16:creationId xmlns:a16="http://schemas.microsoft.com/office/drawing/2014/main" id="{00000000-0008-0000-0D00-000057000000}"/>
            </a:ext>
          </a:extLst>
        </xdr:cNvPr>
        <xdr:cNvGrpSpPr/>
      </xdr:nvGrpSpPr>
      <xdr:grpSpPr>
        <a:xfrm>
          <a:off x="161925" y="6324600"/>
          <a:ext cx="6038850" cy="3867150"/>
          <a:chOff x="17325975" y="933450"/>
          <a:chExt cx="5810250" cy="3467099"/>
        </a:xfrm>
      </xdr:grpSpPr>
      <xdr:graphicFrame macro="">
        <xdr:nvGraphicFramePr>
          <xdr:cNvPr id="88" name="Gráfico 87">
            <a:extLst>
              <a:ext uri="{FF2B5EF4-FFF2-40B4-BE49-F238E27FC236}">
                <a16:creationId xmlns:a16="http://schemas.microsoft.com/office/drawing/2014/main" id="{00000000-0008-0000-0D00-000058000000}"/>
              </a:ext>
            </a:extLst>
          </xdr:cNvPr>
          <xdr:cNvGraphicFramePr>
            <a:graphicFrameLocks/>
          </xdr:cNvGraphicFramePr>
        </xdr:nvGraphicFramePr>
        <xdr:xfrm>
          <a:off x="17325975" y="1305142"/>
          <a:ext cx="3905250" cy="3095407"/>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89" name="Agrupar 88">
            <a:extLst>
              <a:ext uri="{FF2B5EF4-FFF2-40B4-BE49-F238E27FC236}">
                <a16:creationId xmlns:a16="http://schemas.microsoft.com/office/drawing/2014/main" id="{00000000-0008-0000-0D00-000059000000}"/>
              </a:ext>
            </a:extLst>
          </xdr:cNvPr>
          <xdr:cNvGrpSpPr/>
        </xdr:nvGrpSpPr>
        <xdr:grpSpPr>
          <a:xfrm>
            <a:off x="20111887" y="933450"/>
            <a:ext cx="3024338" cy="3295647"/>
            <a:chOff x="15382876" y="10342315"/>
            <a:chExt cx="2836231" cy="2080882"/>
          </a:xfrm>
        </xdr:grpSpPr>
        <xdr:graphicFrame macro="">
          <xdr:nvGraphicFramePr>
            <xdr:cNvPr id="90" name="Gráfico 89">
              <a:extLst>
                <a:ext uri="{FF2B5EF4-FFF2-40B4-BE49-F238E27FC236}">
                  <a16:creationId xmlns:a16="http://schemas.microsoft.com/office/drawing/2014/main" id="{00000000-0008-0000-0D00-00005A000000}"/>
                </a:ext>
              </a:extLst>
            </xdr:cNvPr>
            <xdr:cNvGraphicFramePr>
              <a:graphicFrameLocks/>
            </xdr:cNvGraphicFramePr>
          </xdr:nvGraphicFramePr>
          <xdr:xfrm>
            <a:off x="15382876" y="10368740"/>
            <a:ext cx="2836231" cy="2054457"/>
          </xdr:xfrm>
          <a:graphic>
            <a:graphicData uri="http://schemas.openxmlformats.org/drawingml/2006/chart">
              <c:chart xmlns:c="http://schemas.openxmlformats.org/drawingml/2006/chart" xmlns:r="http://schemas.openxmlformats.org/officeDocument/2006/relationships" r:id="rId8"/>
            </a:graphicData>
          </a:graphic>
        </xdr:graphicFrame>
        <xdr:sp macro="" textlink="q17_a_q19_q26_a_q29_q37_q40_Fig!$T$264">
          <xdr:nvSpPr>
            <xdr:cNvPr id="91" name="CaixaDeTexto 90">
              <a:extLst>
                <a:ext uri="{FF2B5EF4-FFF2-40B4-BE49-F238E27FC236}">
                  <a16:creationId xmlns:a16="http://schemas.microsoft.com/office/drawing/2014/main" id="{00000000-0008-0000-0D00-00005B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21FB161-F1F9-49F3-BCBC-1AB2C8F36695}"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3.296.134</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92" name="CaixaDeTexto 91">
              <a:extLst>
                <a:ext uri="{FF2B5EF4-FFF2-40B4-BE49-F238E27FC236}">
                  <a16:creationId xmlns:a16="http://schemas.microsoft.com/office/drawing/2014/main" id="{00000000-0008-0000-0D00-00005C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10</xdr:col>
      <xdr:colOff>457200</xdr:colOff>
      <xdr:row>34</xdr:row>
      <xdr:rowOff>161925</xdr:rowOff>
    </xdr:from>
    <xdr:to>
      <xdr:col>23</xdr:col>
      <xdr:colOff>133736</xdr:colOff>
      <xdr:row>53</xdr:row>
      <xdr:rowOff>66675</xdr:rowOff>
    </xdr:to>
    <xdr:grpSp>
      <xdr:nvGrpSpPr>
        <xdr:cNvPr id="93" name="Agrupar 92">
          <a:extLst>
            <a:ext uri="{FF2B5EF4-FFF2-40B4-BE49-F238E27FC236}">
              <a16:creationId xmlns:a16="http://schemas.microsoft.com/office/drawing/2014/main" id="{00000000-0008-0000-0D00-00005D000000}"/>
            </a:ext>
          </a:extLst>
        </xdr:cNvPr>
        <xdr:cNvGrpSpPr/>
      </xdr:nvGrpSpPr>
      <xdr:grpSpPr>
        <a:xfrm>
          <a:off x="6076950" y="6638925"/>
          <a:ext cx="6962775" cy="3524250"/>
          <a:chOff x="16221075" y="5530007"/>
          <a:chExt cx="5787920" cy="3598649"/>
        </a:xfrm>
      </xdr:grpSpPr>
      <xdr:graphicFrame macro="">
        <xdr:nvGraphicFramePr>
          <xdr:cNvPr id="94" name="Gráfico 93">
            <a:extLst>
              <a:ext uri="{FF2B5EF4-FFF2-40B4-BE49-F238E27FC236}">
                <a16:creationId xmlns:a16="http://schemas.microsoft.com/office/drawing/2014/main" id="{00000000-0008-0000-0D00-00005E000000}"/>
              </a:ext>
            </a:extLst>
          </xdr:cNvPr>
          <xdr:cNvGraphicFramePr>
            <a:graphicFrameLocks/>
          </xdr:cNvGraphicFramePr>
        </xdr:nvGraphicFramePr>
        <xdr:xfrm>
          <a:off x="16221075" y="5734051"/>
          <a:ext cx="4016365" cy="3394605"/>
        </xdr:xfrm>
        <a:graphic>
          <a:graphicData uri="http://schemas.openxmlformats.org/drawingml/2006/chart">
            <c:chart xmlns:c="http://schemas.openxmlformats.org/drawingml/2006/chart" xmlns:r="http://schemas.openxmlformats.org/officeDocument/2006/relationships" r:id="rId9"/>
          </a:graphicData>
        </a:graphic>
      </xdr:graphicFrame>
      <xdr:sp macro="" textlink="q17_a_q19_q26_a_q29_q37_q40_Fig!$U$264">
        <xdr:nvSpPr>
          <xdr:cNvPr id="95" name="CaixaDeTexto 94">
            <a:extLst>
              <a:ext uri="{FF2B5EF4-FFF2-40B4-BE49-F238E27FC236}">
                <a16:creationId xmlns:a16="http://schemas.microsoft.com/office/drawing/2014/main" id="{00000000-0008-0000-0D00-00005F000000}"/>
              </a:ext>
            </a:extLst>
          </xdr:cNvPr>
          <xdr:cNvSpPr txBox="1"/>
        </xdr:nvSpPr>
        <xdr:spPr>
          <a:xfrm>
            <a:off x="16617421" y="5845032"/>
            <a:ext cx="692678" cy="14301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2ECE00-A87A-4283-9A52-74C3749E319F}"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1.219,87 €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96" name="CaixaDeTexto 95">
            <a:extLst>
              <a:ext uri="{FF2B5EF4-FFF2-40B4-BE49-F238E27FC236}">
                <a16:creationId xmlns:a16="http://schemas.microsoft.com/office/drawing/2014/main" id="{00000000-0008-0000-0D00-000060000000}"/>
              </a:ext>
            </a:extLst>
          </xdr:cNvPr>
          <xdr:cNvSpPr txBox="1"/>
        </xdr:nvSpPr>
        <xdr:spPr>
          <a:xfrm>
            <a:off x="16617421" y="5613571"/>
            <a:ext cx="692679" cy="2062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7_q40_Fig!$V$264">
        <xdr:nvSpPr>
          <xdr:cNvPr id="97" name="CaixaDeTexto 96">
            <a:extLst>
              <a:ext uri="{FF2B5EF4-FFF2-40B4-BE49-F238E27FC236}">
                <a16:creationId xmlns:a16="http://schemas.microsoft.com/office/drawing/2014/main" id="{00000000-0008-0000-0D00-000061000000}"/>
              </a:ext>
            </a:extLst>
          </xdr:cNvPr>
          <xdr:cNvSpPr txBox="1"/>
        </xdr:nvSpPr>
        <xdr:spPr>
          <a:xfrm>
            <a:off x="16617421" y="6023130"/>
            <a:ext cx="692678" cy="104621"/>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F2CD233-01EE-469E-8399-17A6EEED23C3}"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1.466,66 €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98" name="Agrupar 97">
            <a:extLst>
              <a:ext uri="{FF2B5EF4-FFF2-40B4-BE49-F238E27FC236}">
                <a16:creationId xmlns:a16="http://schemas.microsoft.com/office/drawing/2014/main" id="{00000000-0008-0000-0D00-000062000000}"/>
              </a:ext>
            </a:extLst>
          </xdr:cNvPr>
          <xdr:cNvGrpSpPr/>
        </xdr:nvGrpSpPr>
        <xdr:grpSpPr>
          <a:xfrm>
            <a:off x="19701235" y="5603993"/>
            <a:ext cx="2158641" cy="3444760"/>
            <a:chOff x="20489329" y="14115698"/>
            <a:chExt cx="2954034" cy="2531384"/>
          </a:xfrm>
        </xdr:grpSpPr>
        <xdr:graphicFrame macro="">
          <xdr:nvGraphicFramePr>
            <xdr:cNvPr id="101" name="Gráfico 100">
              <a:extLst>
                <a:ext uri="{FF2B5EF4-FFF2-40B4-BE49-F238E27FC236}">
                  <a16:creationId xmlns:a16="http://schemas.microsoft.com/office/drawing/2014/main" id="{00000000-0008-0000-0D00-000065000000}"/>
                </a:ext>
              </a:extLst>
            </xdr:cNvPr>
            <xdr:cNvGraphicFramePr>
              <a:graphicFrameLocks/>
            </xdr:cNvGraphicFramePr>
          </xdr:nvGraphicFramePr>
          <xdr:xfrm>
            <a:off x="21031750" y="14262773"/>
            <a:ext cx="2411613" cy="2384309"/>
          </xdr:xfrm>
          <a:graphic>
            <a:graphicData uri="http://schemas.openxmlformats.org/drawingml/2006/chart">
              <c:chart xmlns:c="http://schemas.openxmlformats.org/drawingml/2006/chart" xmlns:r="http://schemas.openxmlformats.org/officeDocument/2006/relationships" r:id="rId10"/>
            </a:graphicData>
          </a:graphic>
        </xdr:graphicFrame>
        <xdr:sp macro="" textlink="q17_a_q19_q26_a_q29_q37_q40_Fig!$W$264">
          <xdr:nvSpPr>
            <xdr:cNvPr id="102" name="CaixaDeTexto 101">
              <a:extLst>
                <a:ext uri="{FF2B5EF4-FFF2-40B4-BE49-F238E27FC236}">
                  <a16:creationId xmlns:a16="http://schemas.microsoft.com/office/drawing/2014/main" id="{00000000-0008-0000-0D00-000066000000}"/>
                </a:ext>
              </a:extLst>
            </xdr:cNvPr>
            <xdr:cNvSpPr txBox="1"/>
          </xdr:nvSpPr>
          <xdr:spPr>
            <a:xfrm>
              <a:off x="20489331" y="14269390"/>
              <a:ext cx="1068605" cy="100056"/>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159EE41-3203-4DE7-A967-4559667BB7F1}"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6,88 €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03" name="CaixaDeTexto 102">
              <a:extLst>
                <a:ext uri="{FF2B5EF4-FFF2-40B4-BE49-F238E27FC236}">
                  <a16:creationId xmlns:a16="http://schemas.microsoft.com/office/drawing/2014/main" id="{00000000-0008-0000-0D00-000067000000}"/>
                </a:ext>
              </a:extLst>
            </xdr:cNvPr>
            <xdr:cNvSpPr txBox="1"/>
          </xdr:nvSpPr>
          <xdr:spPr>
            <a:xfrm>
              <a:off x="20489329" y="14115698"/>
              <a:ext cx="1083522" cy="130262"/>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grpSp>
      <xdr:sp macro="" textlink="">
        <xdr:nvSpPr>
          <xdr:cNvPr id="99" name="CaixaDeTexto 98">
            <a:extLst>
              <a:ext uri="{FF2B5EF4-FFF2-40B4-BE49-F238E27FC236}">
                <a16:creationId xmlns:a16="http://schemas.microsoft.com/office/drawing/2014/main" id="{00000000-0008-0000-0D00-000063000000}"/>
              </a:ext>
            </a:extLst>
          </xdr:cNvPr>
          <xdr:cNvSpPr txBox="1"/>
        </xdr:nvSpPr>
        <xdr:spPr>
          <a:xfrm>
            <a:off x="17218081" y="5530007"/>
            <a:ext cx="1539726" cy="179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100" name="CaixaDeTexto 99">
            <a:extLst>
              <a:ext uri="{FF2B5EF4-FFF2-40B4-BE49-F238E27FC236}">
                <a16:creationId xmlns:a16="http://schemas.microsoft.com/office/drawing/2014/main" id="{00000000-0008-0000-0D00-000064000000}"/>
              </a:ext>
            </a:extLst>
          </xdr:cNvPr>
          <xdr:cNvSpPr txBox="1"/>
        </xdr:nvSpPr>
        <xdr:spPr>
          <a:xfrm>
            <a:off x="20158940" y="5599184"/>
            <a:ext cx="1850055"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a:t>
            </a:r>
            <a:r>
              <a:rPr lang="pt-PT" sz="800" b="1" baseline="0">
                <a:solidFill>
                  <a:schemeClr val="tx2"/>
                </a:solidFill>
              </a:rPr>
              <a:t> base horária</a:t>
            </a:r>
            <a:endParaRPr lang="pt-PT" sz="800" b="1">
              <a:solidFill>
                <a:schemeClr val="tx2"/>
              </a:solidFill>
            </a:endParaRPr>
          </a:p>
        </xdr:txBody>
      </xdr:sp>
    </xdr:grpSp>
    <xdr:clientData/>
  </xdr:twoCellAnchor>
  <xdr:twoCellAnchor>
    <xdr:from>
      <xdr:col>0</xdr:col>
      <xdr:colOff>495300</xdr:colOff>
      <xdr:row>52</xdr:row>
      <xdr:rowOff>0</xdr:rowOff>
    </xdr:from>
    <xdr:to>
      <xdr:col>10</xdr:col>
      <xdr:colOff>95550</xdr:colOff>
      <xdr:row>53</xdr:row>
      <xdr:rowOff>22957</xdr:rowOff>
    </xdr:to>
    <xdr:sp macro="" textlink="">
      <xdr:nvSpPr>
        <xdr:cNvPr id="62" name="CaixaDeTexto 61">
          <a:hlinkClick xmlns:r="http://schemas.openxmlformats.org/officeDocument/2006/relationships" r:id="rId11"/>
          <a:extLst>
            <a:ext uri="{FF2B5EF4-FFF2-40B4-BE49-F238E27FC236}">
              <a16:creationId xmlns:a16="http://schemas.microsoft.com/office/drawing/2014/main" id="{00000000-0008-0000-0D00-00003E000000}"/>
            </a:ext>
          </a:extLst>
        </xdr:cNvPr>
        <xdr:cNvSpPr txBox="1"/>
      </xdr:nvSpPr>
      <xdr:spPr>
        <a:xfrm>
          <a:off x="495300" y="9906000"/>
          <a:ext cx="5220000" cy="2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800" i="0"/>
            <a:t>Consultar mais</a:t>
          </a:r>
          <a:r>
            <a:rPr lang="pt-PT" sz="800" i="0" baseline="0"/>
            <a:t> informação sobre Classificação Portuguesa das Profissões (CPP/2010)  em </a:t>
          </a:r>
          <a:r>
            <a:rPr lang="pt-PT" sz="800" i="0" u="sng" baseline="0">
              <a:solidFill>
                <a:schemeClr val="accent1"/>
              </a:solidFill>
            </a:rPr>
            <a:t>Introdução e Metainformação</a:t>
          </a:r>
          <a:endParaRPr lang="pt-PT" sz="800" i="0" u="sng">
            <a:solidFill>
              <a:schemeClr val="accent1"/>
            </a:solidFill>
          </a:endParaRPr>
        </a:p>
      </xdr:txBody>
    </xdr:sp>
    <xdr:clientData/>
  </xdr:twoCellAnchor>
  <xdr:twoCellAnchor>
    <xdr:from>
      <xdr:col>1</xdr:col>
      <xdr:colOff>219075</xdr:colOff>
      <xdr:row>27</xdr:row>
      <xdr:rowOff>19050</xdr:rowOff>
    </xdr:from>
    <xdr:to>
      <xdr:col>10</xdr:col>
      <xdr:colOff>381300</xdr:colOff>
      <xdr:row>28</xdr:row>
      <xdr:rowOff>42007</xdr:rowOff>
    </xdr:to>
    <xdr:sp macro="" textlink="">
      <xdr:nvSpPr>
        <xdr:cNvPr id="104" name="CaixaDeTexto 103">
          <a:hlinkClick xmlns:r="http://schemas.openxmlformats.org/officeDocument/2006/relationships" r:id="rId11"/>
          <a:extLst>
            <a:ext uri="{FF2B5EF4-FFF2-40B4-BE49-F238E27FC236}">
              <a16:creationId xmlns:a16="http://schemas.microsoft.com/office/drawing/2014/main" id="{00000000-0008-0000-0D00-000068000000}"/>
            </a:ext>
          </a:extLst>
        </xdr:cNvPr>
        <xdr:cNvSpPr txBox="1"/>
      </xdr:nvSpPr>
      <xdr:spPr>
        <a:xfrm>
          <a:off x="781050" y="5162550"/>
          <a:ext cx="5220000" cy="2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800" i="0"/>
            <a:t>Consultar mais</a:t>
          </a:r>
          <a:r>
            <a:rPr lang="pt-PT" sz="800" i="0" baseline="0"/>
            <a:t> informação sobre Estrutura dos Níveis de Qualificação  em </a:t>
          </a:r>
          <a:r>
            <a:rPr lang="pt-PT" sz="800" i="0" u="sng" baseline="0">
              <a:solidFill>
                <a:schemeClr val="accent1"/>
              </a:solidFill>
            </a:rPr>
            <a:t>Introdução e Metainformação</a:t>
          </a:r>
          <a:endParaRPr lang="pt-PT" sz="800" i="0" u="sng">
            <a:solidFill>
              <a:schemeClr val="accent1"/>
            </a:solidFill>
          </a:endParaRP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0.50439</cdr:x>
      <cdr:y>0.13317</cdr:y>
    </cdr:from>
    <cdr:to>
      <cdr:x>0.64051</cdr:x>
      <cdr:y>0.25254</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627549" y="461786"/>
          <a:ext cx="439228" cy="413933"/>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8.xml><?xml version="1.0" encoding="utf-8"?>
<c:userShapes xmlns:c="http://schemas.openxmlformats.org/drawingml/2006/chart">
  <cdr:relSizeAnchor xmlns:cdr="http://schemas.openxmlformats.org/drawingml/2006/chartDrawing">
    <cdr:from>
      <cdr:x>0.60932</cdr:x>
      <cdr:y>0.10672</cdr:y>
    </cdr:from>
    <cdr:to>
      <cdr:x>0.72061</cdr:x>
      <cdr:y>0.1913</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2324646" y="337873"/>
          <a:ext cx="424588" cy="267778"/>
          <a:chOff x="1963402" y="369817"/>
          <a:chExt cx="46817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6340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9.xml><?xml version="1.0" encoding="utf-8"?>
<xdr:wsDr xmlns:xdr="http://schemas.openxmlformats.org/drawingml/2006/spreadsheetDrawing" xmlns:a="http://schemas.openxmlformats.org/drawingml/2006/main">
  <xdr:twoCellAnchor>
    <xdr:from>
      <xdr:col>17</xdr:col>
      <xdr:colOff>101600</xdr:colOff>
      <xdr:row>5</xdr:row>
      <xdr:rowOff>139700</xdr:rowOff>
    </xdr:from>
    <xdr:to>
      <xdr:col>21</xdr:col>
      <xdr:colOff>383116</xdr:colOff>
      <xdr:row>9</xdr:row>
      <xdr:rowOff>35983</xdr:rowOff>
    </xdr:to>
    <xdr:sp macro="" textlink="">
      <xdr:nvSpPr>
        <xdr:cNvPr id="70" name="CaixaDeTexto 69">
          <a:extLst>
            <a:ext uri="{FF2B5EF4-FFF2-40B4-BE49-F238E27FC236}">
              <a16:creationId xmlns:a16="http://schemas.microsoft.com/office/drawing/2014/main" id="{00000000-0008-0000-0E00-000046000000}"/>
            </a:ext>
          </a:extLst>
        </xdr:cNvPr>
        <xdr:cNvSpPr txBox="1"/>
      </xdr:nvSpPr>
      <xdr:spPr>
        <a:xfrm>
          <a:off x="10134600" y="1060450"/>
          <a:ext cx="2719916" cy="6455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2023 - </a:t>
          </a:r>
          <a:r>
            <a:rPr lang="en-US" sz="800" b="0" i="0" u="sng" strike="noStrike">
              <a:solidFill>
                <a:sysClr val="windowText" lastClr="000000"/>
              </a:solidFill>
              <a:latin typeface="+mn-lt"/>
              <a:cs typeface="Calibri"/>
            </a:rPr>
            <a:t>Proporção de TCO com remuneração Ganho</a:t>
          </a:r>
        </a:p>
        <a:p>
          <a:r>
            <a:rPr lang="en-US" sz="800" b="0" i="0" u="none" strike="noStrike">
              <a:solidFill>
                <a:sysClr val="windowText" lastClr="000000"/>
              </a:solidFill>
              <a:latin typeface="+mn-lt"/>
              <a:cs typeface="Calibri"/>
            </a:rPr>
            <a:t>&gt;= RMMG e  &lt; 1.000 €: 38,9% (-27,3 p.p face a 2013)</a:t>
          </a:r>
        </a:p>
        <a:p>
          <a:r>
            <a:rPr lang="en-US" sz="800" b="0" i="0" u="none" strike="noStrike">
              <a:solidFill>
                <a:sysClr val="windowText" lastClr="000000"/>
              </a:solidFill>
              <a:latin typeface="+mn-lt"/>
              <a:cs typeface="Calibri"/>
            </a:rPr>
            <a:t>= RMMG: 4,1% (+0,1 p.p. face a 2013)                                      </a:t>
          </a:r>
        </a:p>
        <a:p>
          <a:r>
            <a:rPr lang="en-US" sz="800" b="0" i="0" u="none" strike="noStrike">
              <a:solidFill>
                <a:sysClr val="windowText" lastClr="000000"/>
              </a:solidFill>
              <a:latin typeface="+mn-lt"/>
              <a:cs typeface="Calibri"/>
            </a:rPr>
            <a:t>&gt; RMMG e &lt; 1.000 €: 34,8% (- 27,4 p.p. face a 2013).</a:t>
          </a:r>
        </a:p>
        <a:p>
          <a:endParaRPr lang="en-US" sz="800" b="0" i="0" u="none" strike="noStrike" baseline="0">
            <a:solidFill>
              <a:sysClr val="windowText" lastClr="000000"/>
            </a:solidFill>
            <a:latin typeface="Calibri"/>
            <a:cs typeface="Calibri"/>
          </a:endParaRPr>
        </a:p>
      </xdr:txBody>
    </xdr:sp>
    <xdr:clientData/>
  </xdr:twoCellAnchor>
  <xdr:twoCellAnchor>
    <xdr:from>
      <xdr:col>11</xdr:col>
      <xdr:colOff>76332</xdr:colOff>
      <xdr:row>39</xdr:row>
      <xdr:rowOff>68130</xdr:rowOff>
    </xdr:from>
    <xdr:to>
      <xdr:col>22</xdr:col>
      <xdr:colOff>445428</xdr:colOff>
      <xdr:row>40</xdr:row>
      <xdr:rowOff>29008</xdr:rowOff>
    </xdr:to>
    <xdr:sp macro="" textlink="">
      <xdr:nvSpPr>
        <xdr:cNvPr id="76" name="CaixaDeTexto 75">
          <a:extLst>
            <a:ext uri="{FF2B5EF4-FFF2-40B4-BE49-F238E27FC236}">
              <a16:creationId xmlns:a16="http://schemas.microsoft.com/office/drawing/2014/main" id="{00000000-0008-0000-0E00-00004C000000}"/>
            </a:ext>
          </a:extLst>
        </xdr:cNvPr>
        <xdr:cNvSpPr txBox="1"/>
      </xdr:nvSpPr>
      <xdr:spPr>
        <a:xfrm>
          <a:off x="6595665" y="7312422"/>
          <a:ext cx="6941346" cy="146086"/>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Nota: D</a:t>
          </a:r>
          <a:r>
            <a:rPr lang="pt-PT" sz="600" b="0" i="0" baseline="-25000">
              <a:solidFill>
                <a:schemeClr val="tx1">
                  <a:lumMod val="50000"/>
                  <a:lumOff val="50000"/>
                </a:schemeClr>
              </a:solidFill>
              <a:effectLst/>
              <a:latin typeface="+mn-lt"/>
              <a:ea typeface="+mn-ea"/>
              <a:cs typeface="+mn-cs"/>
            </a:rPr>
            <a:t>k</a:t>
          </a:r>
          <a:r>
            <a:rPr lang="pt-PT" sz="600" b="0" i="0" baseline="0">
              <a:solidFill>
                <a:schemeClr val="tx1">
                  <a:lumMod val="50000"/>
                  <a:lumOff val="50000"/>
                </a:schemeClr>
              </a:solidFill>
              <a:effectLst/>
              <a:latin typeface="+mn-lt"/>
              <a:ea typeface="+mn-ea"/>
              <a:cs typeface="+mn-cs"/>
            </a:rPr>
            <a:t> representa a média do ganho recebido pelos 10% da população no decil k, por exemplo, D1 representa a média do ganho recebido pelos 10% da população com menor remuneração ganho. </a:t>
          </a:r>
          <a:endPar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endParaRPr>
        </a:p>
      </xdr:txBody>
    </xdr:sp>
    <xdr:clientData/>
  </xdr:twoCellAnchor>
  <xdr:twoCellAnchor>
    <xdr:from>
      <xdr:col>0</xdr:col>
      <xdr:colOff>1465</xdr:colOff>
      <xdr:row>3</xdr:row>
      <xdr:rowOff>11930</xdr:rowOff>
    </xdr:from>
    <xdr:to>
      <xdr:col>22</xdr:col>
      <xdr:colOff>600465</xdr:colOff>
      <xdr:row>3</xdr:row>
      <xdr:rowOff>181841</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1465" y="564380"/>
          <a:ext cx="13680000" cy="169911"/>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en-US" sz="1000" b="1" kern="1200">
              <a:solidFill>
                <a:srgbClr val="00467A"/>
              </a:solidFill>
              <a:effectLst/>
              <a:latin typeface="Calibri" panose="020F0502020204030204" pitchFamily="34" charset="0"/>
              <a:ea typeface="+mn-ea"/>
              <a:cs typeface="Calibri" panose="020F0502020204030204" pitchFamily="34" charset="0"/>
            </a:rPr>
            <a:t>Desigualdade Salarial e Contratação Coletiva</a:t>
          </a:r>
          <a:endParaRPr lang="pt-PT" sz="1000">
            <a:solidFill>
              <a:srgbClr val="00467A"/>
            </a:solidFill>
            <a:effectLst/>
            <a:latin typeface="Calibri" panose="020F0502020204030204" pitchFamily="34" charset="0"/>
            <a:cs typeface="Calibri" panose="020F0502020204030204" pitchFamily="34" charset="0"/>
          </a:endParaRPr>
        </a:p>
      </xdr:txBody>
    </xdr:sp>
    <xdr:clientData/>
  </xdr:twoCellAnchor>
  <xdr:twoCellAnchor editAs="oneCell">
    <xdr:from>
      <xdr:col>0</xdr:col>
      <xdr:colOff>66675</xdr:colOff>
      <xdr:row>0</xdr:row>
      <xdr:rowOff>45795</xdr:rowOff>
    </xdr:from>
    <xdr:to>
      <xdr:col>1</xdr:col>
      <xdr:colOff>383503</xdr:colOff>
      <xdr:row>2</xdr:row>
      <xdr:rowOff>94781</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66675" y="45795"/>
          <a:ext cx="907378" cy="417286"/>
        </a:xfrm>
        <a:prstGeom prst="rect">
          <a:avLst/>
        </a:prstGeom>
      </xdr:spPr>
    </xdr:pic>
    <xdr:clientData/>
  </xdr:twoCellAnchor>
  <xdr:twoCellAnchor>
    <xdr:from>
      <xdr:col>0</xdr:col>
      <xdr:colOff>38627</xdr:colOff>
      <xdr:row>18</xdr:row>
      <xdr:rowOff>149514</xdr:rowOff>
    </xdr:from>
    <xdr:to>
      <xdr:col>23</xdr:col>
      <xdr:colOff>119061</xdr:colOff>
      <xdr:row>20</xdr:row>
      <xdr:rowOff>91306</xdr:rowOff>
    </xdr:to>
    <xdr:sp macro="" textlink="">
      <xdr:nvSpPr>
        <xdr:cNvPr id="4" name="CaixaDeTexto 3">
          <a:extLst>
            <a:ext uri="{FF2B5EF4-FFF2-40B4-BE49-F238E27FC236}">
              <a16:creationId xmlns:a16="http://schemas.microsoft.com/office/drawing/2014/main" id="{00000000-0008-0000-0E00-000004000000}"/>
            </a:ext>
          </a:extLst>
        </xdr:cNvPr>
        <xdr:cNvSpPr txBox="1"/>
      </xdr:nvSpPr>
      <xdr:spPr>
        <a:xfrm>
          <a:off x="38627" y="3578514"/>
          <a:ext cx="13121747" cy="322792"/>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 Trabalhadores por conta de outrem a tempo completo, que auferiram remuneração completa no período de referência. </a:t>
          </a:r>
          <a:r>
            <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rPr>
            <a:t>** Retribuição Mínima Mensal Garantida (RMMG) - Continente 2013=485,00 euros; 2014=505,00 euros; 2015=505,00 euros; 2016=530,00 euros; 2017=557,00 euros; 2018=580,00 euros; 2019=600,00 euros; 2020=635,00 euros; 2021 = 665,00 euros, 2022 = 705,00 euros e 2023 = 760,00 euros..</a:t>
          </a:r>
        </a:p>
      </xdr:txBody>
    </xdr:sp>
    <xdr:clientData/>
  </xdr:twoCellAnchor>
  <xdr:twoCellAnchor>
    <xdr:from>
      <xdr:col>0</xdr:col>
      <xdr:colOff>350260</xdr:colOff>
      <xdr:row>7</xdr:row>
      <xdr:rowOff>175780</xdr:rowOff>
    </xdr:from>
    <xdr:to>
      <xdr:col>24</xdr:col>
      <xdr:colOff>40697</xdr:colOff>
      <xdr:row>19</xdr:row>
      <xdr:rowOff>137680</xdr:rowOff>
    </xdr:to>
    <xdr:grpSp>
      <xdr:nvGrpSpPr>
        <xdr:cNvPr id="5" name="Agrupar 4">
          <a:extLst>
            <a:ext uri="{FF2B5EF4-FFF2-40B4-BE49-F238E27FC236}">
              <a16:creationId xmlns:a16="http://schemas.microsoft.com/office/drawing/2014/main" id="{00000000-0008-0000-0E00-000005000000}"/>
            </a:ext>
          </a:extLst>
        </xdr:cNvPr>
        <xdr:cNvGrpSpPr/>
      </xdr:nvGrpSpPr>
      <xdr:grpSpPr>
        <a:xfrm>
          <a:off x="350260" y="1509280"/>
          <a:ext cx="12689465" cy="2247900"/>
          <a:chOff x="8448671" y="712203"/>
          <a:chExt cx="14601170" cy="4374147"/>
        </a:xfrm>
      </xdr:grpSpPr>
      <xdr:graphicFrame macro="">
        <xdr:nvGraphicFramePr>
          <xdr:cNvPr id="6" name="Gráfico 5">
            <a:extLst>
              <a:ext uri="{FF2B5EF4-FFF2-40B4-BE49-F238E27FC236}">
                <a16:creationId xmlns:a16="http://schemas.microsoft.com/office/drawing/2014/main" id="{00000000-0008-0000-0E00-000006000000}"/>
              </a:ext>
            </a:extLst>
          </xdr:cNvPr>
          <xdr:cNvGraphicFramePr/>
        </xdr:nvGraphicFramePr>
        <xdr:xfrm>
          <a:off x="8448671" y="717551"/>
          <a:ext cx="7760518" cy="436879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Gráfico 6">
            <a:extLst>
              <a:ext uri="{FF2B5EF4-FFF2-40B4-BE49-F238E27FC236}">
                <a16:creationId xmlns:a16="http://schemas.microsoft.com/office/drawing/2014/main" id="{00000000-0008-0000-0E00-000007000000}"/>
              </a:ext>
            </a:extLst>
          </xdr:cNvPr>
          <xdr:cNvGraphicFramePr>
            <a:graphicFrameLocks/>
          </xdr:cNvGraphicFramePr>
        </xdr:nvGraphicFramePr>
        <xdr:xfrm>
          <a:off x="15989778" y="712203"/>
          <a:ext cx="7060063" cy="436879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0</xdr:colOff>
      <xdr:row>4</xdr:row>
      <xdr:rowOff>44055</xdr:rowOff>
    </xdr:from>
    <xdr:to>
      <xdr:col>22</xdr:col>
      <xdr:colOff>599000</xdr:colOff>
      <xdr:row>5</xdr:row>
      <xdr:rowOff>103910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0" y="780655"/>
          <a:ext cx="13680000" cy="244005"/>
        </a:xfrm>
        <a:prstGeom prst="rect">
          <a:avLst/>
        </a:prstGeom>
        <a:solidFill>
          <a:schemeClr val="tx2"/>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pt-PT" sz="900" b="1" i="1">
              <a:solidFill>
                <a:schemeClr val="bg1"/>
              </a:solidFill>
              <a:effectLst>
                <a:outerShdw blurRad="38100" dist="38100" dir="2700000" algn="tl">
                  <a:srgbClr val="000000"/>
                </a:outerShdw>
              </a:effectLst>
              <a:latin typeface="+mn-lt"/>
            </a:rPr>
            <a:t>...Trabalhadores por conta de outrem* por escalão de remuneração mensal</a:t>
          </a:r>
        </a:p>
      </xdr:txBody>
    </xdr:sp>
    <xdr:clientData/>
  </xdr:twoCellAnchor>
  <xdr:twoCellAnchor>
    <xdr:from>
      <xdr:col>1</xdr:col>
      <xdr:colOff>430456</xdr:colOff>
      <xdr:row>0</xdr:row>
      <xdr:rowOff>45794</xdr:rowOff>
    </xdr:from>
    <xdr:to>
      <xdr:col>23</xdr:col>
      <xdr:colOff>2406</xdr:colOff>
      <xdr:row>2</xdr:row>
      <xdr:rowOff>165955</xdr:rowOff>
    </xdr:to>
    <xdr:sp macro="" textlink="">
      <xdr:nvSpPr>
        <xdr:cNvPr id="9" name="Rectangle 17">
          <a:extLst>
            <a:ext uri="{FF2B5EF4-FFF2-40B4-BE49-F238E27FC236}">
              <a16:creationId xmlns:a16="http://schemas.microsoft.com/office/drawing/2014/main" id="{00000000-0008-0000-0E00-000009000000}"/>
            </a:ext>
          </a:extLst>
        </xdr:cNvPr>
        <xdr:cNvSpPr>
          <a:spLocks noChangeArrowheads="1"/>
        </xdr:cNvSpPr>
      </xdr:nvSpPr>
      <xdr:spPr bwMode="auto">
        <a:xfrm>
          <a:off x="1021006" y="45794"/>
          <a:ext cx="12672000" cy="488461"/>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88538" rtl="0" eaLnBrk="0" fontAlgn="base" latinLnBrk="0" hangingPunct="0">
            <a:lnSpc>
              <a:spcPct val="100000"/>
            </a:lnSpc>
            <a:spcBef>
              <a:spcPct val="0"/>
            </a:spcBef>
            <a:spcAft>
              <a:spcPct val="0"/>
            </a:spcAft>
            <a:buClrTx/>
            <a:buSzTx/>
            <a:buFontTx/>
            <a:buNone/>
            <a:tabLst/>
            <a:defRPr/>
          </a:pPr>
          <a:r>
            <a:rPr kumimoji="0" lang="pt-PT" sz="1600" b="1" i="1" u="none" strike="noStrike" kern="1200" cap="none" spc="0" normalizeH="0" baseline="0" noProof="0">
              <a:ln>
                <a:noFill/>
              </a:ln>
              <a:solidFill>
                <a:sysClr val="window" lastClr="FFFFFF"/>
              </a:solidFill>
              <a:effectLst>
                <a:outerShdw blurRad="38100" dist="38100" dir="2700000" algn="tl">
                  <a:srgbClr val="000000"/>
                </a:outerShdw>
              </a:effectLst>
              <a:uLnTx/>
              <a:uFillTx/>
              <a:latin typeface="Arial" charset="0"/>
              <a:ea typeface="+mn-ea"/>
              <a:cs typeface="+mn-cs"/>
            </a:rPr>
            <a:t>Séries Cronológicas 2013 - 2023: Quadros de Pessoal</a:t>
          </a:r>
        </a:p>
        <a:p>
          <a:pPr marL="0" marR="0" lvl="0" indent="0" algn="ctr" defTabSz="988538" rtl="0" eaLnBrk="0" fontAlgn="base" latinLnBrk="0" hangingPunct="0">
            <a:lnSpc>
              <a:spcPct val="100000"/>
            </a:lnSpc>
            <a:spcBef>
              <a:spcPct val="0"/>
            </a:spcBef>
            <a:spcAft>
              <a:spcPct val="0"/>
            </a:spcAft>
            <a:buClrTx/>
            <a:buSzTx/>
            <a:buFontTx/>
            <a:buNone/>
            <a:tabLst/>
            <a:defRPr/>
          </a:pPr>
          <a:r>
            <a:rPr kumimoji="0" lang="pt-PT" sz="1600" b="1" i="1" u="none" strike="noStrike" kern="1200" cap="none" spc="0" normalizeH="0" baseline="0" noProof="0">
              <a:ln>
                <a:noFill/>
              </a:ln>
              <a:solidFill>
                <a:srgbClr val="FFE600"/>
              </a:solidFill>
              <a:effectLst>
                <a:outerShdw blurRad="38100" dist="38100" dir="2700000" algn="tl">
                  <a:srgbClr val="000000"/>
                </a:outerShdw>
              </a:effectLst>
              <a:uLnTx/>
              <a:uFillTx/>
              <a:latin typeface="Arial" charset="0"/>
              <a:ea typeface="+mn-ea"/>
              <a:cs typeface="+mn-cs"/>
            </a:rPr>
            <a:t>Desigualdade Salarial e Contratação Coletiva</a:t>
          </a:r>
        </a:p>
      </xdr:txBody>
    </xdr:sp>
    <xdr:clientData/>
  </xdr:twoCellAnchor>
  <xdr:twoCellAnchor>
    <xdr:from>
      <xdr:col>0</xdr:col>
      <xdr:colOff>25400</xdr:colOff>
      <xdr:row>20</xdr:row>
      <xdr:rowOff>15491</xdr:rowOff>
    </xdr:from>
    <xdr:to>
      <xdr:col>22</xdr:col>
      <xdr:colOff>588400</xdr:colOff>
      <xdr:row>21</xdr:row>
      <xdr:rowOff>12700</xdr:rowOff>
    </xdr:to>
    <xdr:sp macro="" textlink="">
      <xdr:nvSpPr>
        <xdr:cNvPr id="43" name="Rectangle 3">
          <a:extLst>
            <a:ext uri="{FF2B5EF4-FFF2-40B4-BE49-F238E27FC236}">
              <a16:creationId xmlns:a16="http://schemas.microsoft.com/office/drawing/2014/main" id="{00000000-0008-0000-0E00-00002B000000}"/>
            </a:ext>
          </a:extLst>
        </xdr:cNvPr>
        <xdr:cNvSpPr>
          <a:spLocks noChangeArrowheads="1"/>
        </xdr:cNvSpPr>
      </xdr:nvSpPr>
      <xdr:spPr bwMode="auto">
        <a:xfrm>
          <a:off x="25400" y="3723891"/>
          <a:ext cx="13644000" cy="181359"/>
        </a:xfrm>
        <a:prstGeom prst="rect">
          <a:avLst/>
        </a:prstGeom>
        <a:solidFill>
          <a:srgbClr val="1F497D"/>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88538" rtl="0" eaLnBrk="0" fontAlgn="base" latinLnBrk="0" hangingPunct="0">
            <a:lnSpc>
              <a:spcPct val="100000"/>
            </a:lnSpc>
            <a:spcBef>
              <a:spcPct val="0"/>
            </a:spcBef>
            <a:spcAft>
              <a:spcPct val="0"/>
            </a:spcAft>
            <a:buClrTx/>
            <a:buSzTx/>
            <a:buFontTx/>
            <a:buNone/>
            <a:tabLst/>
            <a:defRPr/>
          </a:pPr>
          <a:r>
            <a:rPr kumimoji="0" lang="pt-PT" sz="900" b="1" i="1" u="none" strike="noStrike" kern="1200" cap="none" spc="0" normalizeH="0" baseline="0" noProof="0">
              <a:ln>
                <a:noFill/>
              </a:ln>
              <a:solidFill>
                <a:sysClr val="window" lastClr="FFFFFF"/>
              </a:solidFill>
              <a:effectLst>
                <a:outerShdw blurRad="38100" dist="38100" dir="2700000" algn="tl">
                  <a:srgbClr val="000000"/>
                </a:outerShdw>
              </a:effectLst>
              <a:uLnTx/>
              <a:uFillTx/>
              <a:latin typeface="Calibri"/>
              <a:ea typeface="+mn-ea"/>
              <a:cs typeface="+mn-cs"/>
            </a:rPr>
            <a:t>...Remuneração mensal ganho</a:t>
          </a:r>
        </a:p>
      </xdr:txBody>
    </xdr:sp>
    <xdr:clientData/>
  </xdr:twoCellAnchor>
  <xdr:twoCellAnchor>
    <xdr:from>
      <xdr:col>0</xdr:col>
      <xdr:colOff>0</xdr:colOff>
      <xdr:row>40</xdr:row>
      <xdr:rowOff>25400</xdr:rowOff>
    </xdr:from>
    <xdr:to>
      <xdr:col>22</xdr:col>
      <xdr:colOff>599000</xdr:colOff>
      <xdr:row>41</xdr:row>
      <xdr:rowOff>63500</xdr:rowOff>
    </xdr:to>
    <xdr:sp macro="" textlink="">
      <xdr:nvSpPr>
        <xdr:cNvPr id="45" name="Text Box 10">
          <a:extLst>
            <a:ext uri="{FF2B5EF4-FFF2-40B4-BE49-F238E27FC236}">
              <a16:creationId xmlns:a16="http://schemas.microsoft.com/office/drawing/2014/main" id="{00000000-0008-0000-0E00-00002D000000}"/>
            </a:ext>
          </a:extLst>
        </xdr:cNvPr>
        <xdr:cNvSpPr txBox="1">
          <a:spLocks noChangeArrowheads="1"/>
        </xdr:cNvSpPr>
      </xdr:nvSpPr>
      <xdr:spPr bwMode="auto">
        <a:xfrm>
          <a:off x="0" y="7416800"/>
          <a:ext cx="13680000" cy="222250"/>
        </a:xfrm>
        <a:prstGeom prst="rect">
          <a:avLst/>
        </a:prstGeom>
        <a:solidFill>
          <a:srgbClr val="1F497D"/>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l" defTabSz="914400" rtl="0" eaLnBrk="0" fontAlgn="base" latinLnBrk="0" hangingPunct="0">
            <a:lnSpc>
              <a:spcPct val="100000"/>
            </a:lnSpc>
            <a:spcBef>
              <a:spcPct val="50000"/>
            </a:spcBef>
            <a:spcAft>
              <a:spcPct val="0"/>
            </a:spcAft>
            <a:buClrTx/>
            <a:buSzTx/>
            <a:buFontTx/>
            <a:buNone/>
            <a:tabLst/>
            <a:defRPr/>
          </a:pPr>
          <a:r>
            <a:rPr kumimoji="0" lang="en-US" altLang="pt-PT" sz="1000" b="1" i="0" u="none" strike="noStrike" kern="1200" cap="none" spc="0" normalizeH="0" baseline="0" noProof="0">
              <a:ln>
                <a:noFill/>
              </a:ln>
              <a:solidFill>
                <a:sysClr val="window" lastClr="FFFFFF"/>
              </a:solidFill>
              <a:effectLst/>
              <a:uLnTx/>
              <a:uFillTx/>
              <a:latin typeface="Calibri"/>
              <a:ea typeface="+mn-ea"/>
              <a:cs typeface="+mn-cs"/>
            </a:rPr>
            <a:t>Instrumentos de Regulamentação Coletiva de Trabalho (IRCT)</a:t>
          </a:r>
        </a:p>
      </xdr:txBody>
    </xdr:sp>
    <xdr:clientData/>
  </xdr:twoCellAnchor>
  <xdr:twoCellAnchor>
    <xdr:from>
      <xdr:col>12</xdr:col>
      <xdr:colOff>13041</xdr:colOff>
      <xdr:row>40</xdr:row>
      <xdr:rowOff>10765</xdr:rowOff>
    </xdr:from>
    <xdr:to>
      <xdr:col>15</xdr:col>
      <xdr:colOff>102779</xdr:colOff>
      <xdr:row>41</xdr:row>
      <xdr:rowOff>45613</xdr:rowOff>
    </xdr:to>
    <xdr:sp macro="" textlink="">
      <xdr:nvSpPr>
        <xdr:cNvPr id="46" name="Text Box 10">
          <a:extLst>
            <a:ext uri="{FF2B5EF4-FFF2-40B4-BE49-F238E27FC236}">
              <a16:creationId xmlns:a16="http://schemas.microsoft.com/office/drawing/2014/main" id="{00000000-0008-0000-0E00-00002E000000}"/>
            </a:ext>
          </a:extLst>
        </xdr:cNvPr>
        <xdr:cNvSpPr txBox="1">
          <a:spLocks noChangeArrowheads="1"/>
        </xdr:cNvSpPr>
      </xdr:nvSpPr>
      <xdr:spPr bwMode="auto">
        <a:xfrm>
          <a:off x="6661491" y="7630765"/>
          <a:ext cx="1832813" cy="22534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Remuneração média mensal Base</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xdr:clientData/>
  </xdr:twoCellAnchor>
  <xdr:twoCellAnchor>
    <xdr:from>
      <xdr:col>10</xdr:col>
      <xdr:colOff>227403</xdr:colOff>
      <xdr:row>22</xdr:row>
      <xdr:rowOff>0</xdr:rowOff>
    </xdr:from>
    <xdr:to>
      <xdr:col>22</xdr:col>
      <xdr:colOff>427872</xdr:colOff>
      <xdr:row>37</xdr:row>
      <xdr:rowOff>31750</xdr:rowOff>
    </xdr:to>
    <xdr:grpSp>
      <xdr:nvGrpSpPr>
        <xdr:cNvPr id="11" name="Agrupar 10">
          <a:extLst>
            <a:ext uri="{FF2B5EF4-FFF2-40B4-BE49-F238E27FC236}">
              <a16:creationId xmlns:a16="http://schemas.microsoft.com/office/drawing/2014/main" id="{00000000-0008-0000-0E00-00000B000000}"/>
            </a:ext>
          </a:extLst>
        </xdr:cNvPr>
        <xdr:cNvGrpSpPr/>
      </xdr:nvGrpSpPr>
      <xdr:grpSpPr>
        <a:xfrm>
          <a:off x="5847153" y="4191000"/>
          <a:ext cx="7039419" cy="2889250"/>
          <a:chOff x="6351983" y="4463519"/>
          <a:chExt cx="7375969" cy="2732222"/>
        </a:xfrm>
      </xdr:grpSpPr>
      <xdr:sp macro="" textlink="">
        <xdr:nvSpPr>
          <xdr:cNvPr id="55" name="CaixaDeTexto 1">
            <a:extLst>
              <a:ext uri="{FF2B5EF4-FFF2-40B4-BE49-F238E27FC236}">
                <a16:creationId xmlns:a16="http://schemas.microsoft.com/office/drawing/2014/main" id="{00000000-0008-0000-0E00-000037000000}"/>
              </a:ext>
            </a:extLst>
          </xdr:cNvPr>
          <xdr:cNvSpPr txBox="1"/>
        </xdr:nvSpPr>
        <xdr:spPr>
          <a:xfrm>
            <a:off x="8632656" y="4932701"/>
            <a:ext cx="1812589" cy="159508"/>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rgbClr val="1F497D"/>
                </a:solidFill>
                <a:effectLst/>
                <a:uLnTx/>
                <a:uFillTx/>
                <a:latin typeface="+mn-lt"/>
              </a:rPr>
              <a:t>Ganho mensal - média por decil (share)</a:t>
            </a:r>
          </a:p>
        </xdr:txBody>
      </xdr:sp>
      <xdr:grpSp>
        <xdr:nvGrpSpPr>
          <xdr:cNvPr id="56" name="Agrupar 55">
            <a:extLst>
              <a:ext uri="{FF2B5EF4-FFF2-40B4-BE49-F238E27FC236}">
                <a16:creationId xmlns:a16="http://schemas.microsoft.com/office/drawing/2014/main" id="{00000000-0008-0000-0E00-000038000000}"/>
              </a:ext>
            </a:extLst>
          </xdr:cNvPr>
          <xdr:cNvGrpSpPr/>
        </xdr:nvGrpSpPr>
        <xdr:grpSpPr>
          <a:xfrm>
            <a:off x="6377378" y="4800600"/>
            <a:ext cx="7375969" cy="2794000"/>
            <a:chOff x="41362296" y="637364"/>
            <a:chExt cx="7061793" cy="3580379"/>
          </a:xfrm>
        </xdr:grpSpPr>
        <xdr:graphicFrame macro="">
          <xdr:nvGraphicFramePr>
            <xdr:cNvPr id="57" name="Gráfico 56">
              <a:extLst>
                <a:ext uri="{FF2B5EF4-FFF2-40B4-BE49-F238E27FC236}">
                  <a16:creationId xmlns:a16="http://schemas.microsoft.com/office/drawing/2014/main" id="{00000000-0008-0000-0E00-000039000000}"/>
                </a:ext>
              </a:extLst>
            </xdr:cNvPr>
            <xdr:cNvGraphicFramePr>
              <a:graphicFrameLocks/>
            </xdr:cNvGraphicFramePr>
          </xdr:nvGraphicFramePr>
          <xdr:xfrm>
            <a:off x="41362296" y="637364"/>
            <a:ext cx="7061793" cy="3580379"/>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58" name="Agrupar 57">
              <a:extLst>
                <a:ext uri="{FF2B5EF4-FFF2-40B4-BE49-F238E27FC236}">
                  <a16:creationId xmlns:a16="http://schemas.microsoft.com/office/drawing/2014/main" id="{00000000-0008-0000-0E00-00003A000000}"/>
                </a:ext>
              </a:extLst>
            </xdr:cNvPr>
            <xdr:cNvGrpSpPr/>
          </xdr:nvGrpSpPr>
          <xdr:grpSpPr>
            <a:xfrm>
              <a:off x="47296302" y="899333"/>
              <a:ext cx="821810" cy="2738165"/>
              <a:chOff x="47296302" y="899333"/>
              <a:chExt cx="821810" cy="2738164"/>
            </a:xfrm>
          </xdr:grpSpPr>
          <xdr:grpSp>
            <xdr:nvGrpSpPr>
              <xdr:cNvPr id="59" name="Agrupar 58">
                <a:extLst>
                  <a:ext uri="{FF2B5EF4-FFF2-40B4-BE49-F238E27FC236}">
                    <a16:creationId xmlns:a16="http://schemas.microsoft.com/office/drawing/2014/main" id="{00000000-0008-0000-0E00-00003B000000}"/>
                  </a:ext>
                </a:extLst>
              </xdr:cNvPr>
              <xdr:cNvGrpSpPr/>
            </xdr:nvGrpSpPr>
            <xdr:grpSpPr>
              <a:xfrm>
                <a:off x="47634585" y="899333"/>
                <a:ext cx="483527" cy="2738164"/>
                <a:chOff x="48745835" y="524683"/>
                <a:chExt cx="483527" cy="2738164"/>
              </a:xfrm>
            </xdr:grpSpPr>
            <xdr:sp macro="" textlink="">
              <xdr:nvSpPr>
                <xdr:cNvPr id="65" name="Retângulo: Cantos Diagonais Arredondados 64">
                  <a:extLst>
                    <a:ext uri="{FF2B5EF4-FFF2-40B4-BE49-F238E27FC236}">
                      <a16:creationId xmlns:a16="http://schemas.microsoft.com/office/drawing/2014/main" id="{00000000-0008-0000-0E00-000041000000}"/>
                    </a:ext>
                  </a:extLst>
                </xdr:cNvPr>
                <xdr:cNvSpPr/>
              </xdr:nvSpPr>
              <xdr:spPr>
                <a:xfrm>
                  <a:off x="48745835" y="524683"/>
                  <a:ext cx="470265" cy="152447"/>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D10</a:t>
                  </a:r>
                </a:p>
              </xdr:txBody>
            </xdr:sp>
            <xdr:sp macro="" textlink="">
              <xdr:nvSpPr>
                <xdr:cNvPr id="66" name="Retângulo: Cantos Diagonais Arredondados 65">
                  <a:extLst>
                    <a:ext uri="{FF2B5EF4-FFF2-40B4-BE49-F238E27FC236}">
                      <a16:creationId xmlns:a16="http://schemas.microsoft.com/office/drawing/2014/main" id="{00000000-0008-0000-0E00-000042000000}"/>
                    </a:ext>
                  </a:extLst>
                </xdr:cNvPr>
                <xdr:cNvSpPr/>
              </xdr:nvSpPr>
              <xdr:spPr>
                <a:xfrm>
                  <a:off x="48803962" y="1905304"/>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D9</a:t>
                  </a:r>
                </a:p>
              </xdr:txBody>
            </xdr:sp>
            <xdr:sp macro="" textlink="">
              <xdr:nvSpPr>
                <xdr:cNvPr id="67" name="Retângulo: Cantos Diagonais Arredondados 66">
                  <a:extLst>
                    <a:ext uri="{FF2B5EF4-FFF2-40B4-BE49-F238E27FC236}">
                      <a16:creationId xmlns:a16="http://schemas.microsoft.com/office/drawing/2014/main" id="{00000000-0008-0000-0E00-000043000000}"/>
                    </a:ext>
                  </a:extLst>
                </xdr:cNvPr>
                <xdr:cNvSpPr/>
              </xdr:nvSpPr>
              <xdr:spPr>
                <a:xfrm>
                  <a:off x="48803016" y="2439473"/>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D5</a:t>
                  </a:r>
                </a:p>
              </xdr:txBody>
            </xdr:sp>
            <xdr:sp macro="" textlink="">
              <xdr:nvSpPr>
                <xdr:cNvPr id="68" name="Retângulo: Cantos Diagonais Arredondados 67">
                  <a:extLst>
                    <a:ext uri="{FF2B5EF4-FFF2-40B4-BE49-F238E27FC236}">
                      <a16:creationId xmlns:a16="http://schemas.microsoft.com/office/drawing/2014/main" id="{00000000-0008-0000-0E00-000044000000}"/>
                    </a:ext>
                  </a:extLst>
                </xdr:cNvPr>
                <xdr:cNvSpPr/>
              </xdr:nvSpPr>
              <xdr:spPr>
                <a:xfrm>
                  <a:off x="48814755" y="2856165"/>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D2</a:t>
                  </a:r>
                </a:p>
              </xdr:txBody>
            </xdr:sp>
            <xdr:sp macro="" textlink="">
              <xdr:nvSpPr>
                <xdr:cNvPr id="69" name="Retângulo: Cantos Diagonais Arredondados 68">
                  <a:extLst>
                    <a:ext uri="{FF2B5EF4-FFF2-40B4-BE49-F238E27FC236}">
                      <a16:creationId xmlns:a16="http://schemas.microsoft.com/office/drawing/2014/main" id="{00000000-0008-0000-0E00-000045000000}"/>
                    </a:ext>
                  </a:extLst>
                </xdr:cNvPr>
                <xdr:cNvSpPr/>
              </xdr:nvSpPr>
              <xdr:spPr>
                <a:xfrm>
                  <a:off x="48822348" y="3107386"/>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D1</a:t>
                  </a:r>
                </a:p>
              </xdr:txBody>
            </xdr:sp>
          </xdr:grpSp>
          <xdr:cxnSp macro="">
            <xdr:nvCxnSpPr>
              <xdr:cNvPr id="60" name="Conexão reta 59">
                <a:extLst>
                  <a:ext uri="{FF2B5EF4-FFF2-40B4-BE49-F238E27FC236}">
                    <a16:creationId xmlns:a16="http://schemas.microsoft.com/office/drawing/2014/main" id="{00000000-0008-0000-0E00-00003C000000}"/>
                  </a:ext>
                </a:extLst>
              </xdr:cNvPr>
              <xdr:cNvCxnSpPr>
                <a:endCxn id="65" idx="2"/>
              </xdr:cNvCxnSpPr>
            </xdr:nvCxnSpPr>
            <xdr:spPr>
              <a:xfrm flipV="1">
                <a:off x="47339576" y="975557"/>
                <a:ext cx="295009" cy="28208"/>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61" name="Conexão reta 60">
                <a:extLst>
                  <a:ext uri="{FF2B5EF4-FFF2-40B4-BE49-F238E27FC236}">
                    <a16:creationId xmlns:a16="http://schemas.microsoft.com/office/drawing/2014/main" id="{00000000-0008-0000-0E00-00003D000000}"/>
                  </a:ext>
                </a:extLst>
              </xdr:cNvPr>
              <xdr:cNvCxnSpPr>
                <a:endCxn id="66" idx="2"/>
              </xdr:cNvCxnSpPr>
            </xdr:nvCxnSpPr>
            <xdr:spPr>
              <a:xfrm flipV="1">
                <a:off x="47325115" y="2357684"/>
                <a:ext cx="367597" cy="121510"/>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62" name="Conexão reta 61">
                <a:extLst>
                  <a:ext uri="{FF2B5EF4-FFF2-40B4-BE49-F238E27FC236}">
                    <a16:creationId xmlns:a16="http://schemas.microsoft.com/office/drawing/2014/main" id="{00000000-0008-0000-0E00-00003E000000}"/>
                  </a:ext>
                </a:extLst>
              </xdr:cNvPr>
              <xdr:cNvCxnSpPr/>
            </xdr:nvCxnSpPr>
            <xdr:spPr>
              <a:xfrm flipV="1">
                <a:off x="47337107" y="2945846"/>
                <a:ext cx="400029" cy="293606"/>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63" name="Conexão reta 62">
                <a:extLst>
                  <a:ext uri="{FF2B5EF4-FFF2-40B4-BE49-F238E27FC236}">
                    <a16:creationId xmlns:a16="http://schemas.microsoft.com/office/drawing/2014/main" id="{00000000-0008-0000-0E00-00003F000000}"/>
                  </a:ext>
                </a:extLst>
              </xdr:cNvPr>
              <xdr:cNvCxnSpPr/>
            </xdr:nvCxnSpPr>
            <xdr:spPr>
              <a:xfrm flipV="1">
                <a:off x="47296302" y="3354207"/>
                <a:ext cx="484538" cy="48665"/>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64" name="Conexão reta 63">
                <a:extLst>
                  <a:ext uri="{FF2B5EF4-FFF2-40B4-BE49-F238E27FC236}">
                    <a16:creationId xmlns:a16="http://schemas.microsoft.com/office/drawing/2014/main" id="{00000000-0008-0000-0E00-000040000000}"/>
                  </a:ext>
                </a:extLst>
              </xdr:cNvPr>
              <xdr:cNvCxnSpPr/>
            </xdr:nvCxnSpPr>
            <xdr:spPr>
              <a:xfrm>
                <a:off x="47307995" y="3459527"/>
                <a:ext cx="443236" cy="76546"/>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grpSp>
      </xdr:grpSp>
    </xdr:grpSp>
    <xdr:clientData/>
  </xdr:twoCellAnchor>
  <xdr:twoCellAnchor>
    <xdr:from>
      <xdr:col>0</xdr:col>
      <xdr:colOff>81695</xdr:colOff>
      <xdr:row>21</xdr:row>
      <xdr:rowOff>95251</xdr:rowOff>
    </xdr:from>
    <xdr:to>
      <xdr:col>10</xdr:col>
      <xdr:colOff>79375</xdr:colOff>
      <xdr:row>26</xdr:row>
      <xdr:rowOff>134939</xdr:rowOff>
    </xdr:to>
    <xdr:sp macro="" textlink="">
      <xdr:nvSpPr>
        <xdr:cNvPr id="54" name="CaixaDeTexto 53">
          <a:extLst>
            <a:ext uri="{FF2B5EF4-FFF2-40B4-BE49-F238E27FC236}">
              <a16:creationId xmlns:a16="http://schemas.microsoft.com/office/drawing/2014/main" id="{00000000-0008-0000-0E00-000036000000}"/>
            </a:ext>
          </a:extLst>
        </xdr:cNvPr>
        <xdr:cNvSpPr txBox="1"/>
      </xdr:nvSpPr>
      <xdr:spPr>
        <a:xfrm>
          <a:off x="81695" y="4095751"/>
          <a:ext cx="5633305" cy="99218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ea typeface="+mn-ea"/>
              <a:cs typeface="Calibri"/>
            </a:rPr>
            <a:t>Ganho mediano:     </a:t>
          </a:r>
          <a:r>
            <a:rPr lang="en-US" sz="800" b="1" i="0" u="none" strike="noStrike" baseline="0">
              <a:solidFill>
                <a:sysClr val="windowText" lastClr="000000"/>
              </a:solidFill>
              <a:latin typeface="+mn-lt"/>
              <a:ea typeface="+mn-ea"/>
              <a:cs typeface="Calibri"/>
            </a:rPr>
            <a:t>                                                                                                Incidência de baixos salários:</a:t>
          </a:r>
          <a:endParaRPr lang="en-US" sz="800" b="1" i="0" u="none" strike="noStrike">
            <a:solidFill>
              <a:sysClr val="windowText" lastClr="000000"/>
            </a:solidFill>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u="sng" strike="noStrike">
              <a:solidFill>
                <a:sysClr val="windowText" lastClr="000000"/>
              </a:solidFill>
              <a:latin typeface="+mn-lt"/>
              <a:ea typeface="+mn-ea"/>
              <a:cs typeface="Calibri"/>
            </a:rPr>
            <a:t>2023:</a:t>
          </a:r>
          <a:r>
            <a:rPr lang="en-US" sz="800" b="0" i="0" u="none" strike="noStrike">
              <a:solidFill>
                <a:sysClr val="windowText" lastClr="000000"/>
              </a:solidFill>
              <a:latin typeface="+mn-lt"/>
              <a:ea typeface="+mn-ea"/>
              <a:cs typeface="Calibri"/>
            </a:rPr>
            <a:t> Metade dos TCO ganhava até 1.100 euros (+40,1% face a 2013).     </a:t>
          </a:r>
          <a:r>
            <a:rPr lang="en-US" sz="800" b="0" i="0" u="none" strike="noStrike" baseline="0">
              <a:solidFill>
                <a:sysClr val="windowText" lastClr="000000"/>
              </a:solidFill>
              <a:latin typeface="+mn-lt"/>
              <a:ea typeface="+mn-ea"/>
              <a:cs typeface="Calibri"/>
            </a:rPr>
            <a:t> </a:t>
          </a:r>
          <a:r>
            <a:rPr lang="en-US" sz="800" b="0" i="0" u="sng" strike="noStrike">
              <a:solidFill>
                <a:sysClr val="windowText" lastClr="000000"/>
              </a:solidFill>
              <a:latin typeface="+mn-lt"/>
              <a:ea typeface="+mn-ea"/>
              <a:cs typeface="Calibri"/>
            </a:rPr>
            <a:t>2013 - 2016</a:t>
          </a:r>
          <a:r>
            <a:rPr lang="en-US" sz="800" b="0" i="0" u="none" strike="noStrike">
              <a:solidFill>
                <a:sysClr val="windowText" lastClr="000000"/>
              </a:solidFill>
              <a:latin typeface="+mn-lt"/>
              <a:ea typeface="+mn-ea"/>
              <a:cs typeface="Calibri"/>
            </a:rPr>
            <a:t>: Total</a:t>
          </a:r>
          <a:r>
            <a:rPr lang="en-US" sz="800" b="0" i="0" u="none" strike="noStrike" baseline="0">
              <a:solidFill>
                <a:sysClr val="windowText" lastClr="000000"/>
              </a:solidFill>
              <a:latin typeface="+mn-lt"/>
              <a:ea typeface="+mn-ea"/>
              <a:cs typeface="Calibri"/>
            </a:rPr>
            <a:t> entre 7,59% e 5,86%;</a:t>
          </a:r>
          <a:r>
            <a:rPr lang="en-US" sz="800" b="0" i="0" u="none" strike="noStrike">
              <a:solidFill>
                <a:sysClr val="windowText" lastClr="000000"/>
              </a:solidFill>
              <a:latin typeface="+mn-lt"/>
              <a:ea typeface="+mn-ea"/>
              <a:cs typeface="Calibri"/>
            </a:rPr>
            <a:t> </a:t>
          </a:r>
        </a:p>
        <a:p>
          <a:r>
            <a:rPr lang="en-US" sz="800" b="1" i="0" u="none" strike="noStrike">
              <a:solidFill>
                <a:sysClr val="windowText" lastClr="000000"/>
              </a:solidFill>
              <a:latin typeface="+mn-lt"/>
              <a:ea typeface="+mn-ea"/>
              <a:cs typeface="Calibri"/>
            </a:rPr>
            <a:t>RMMG:			</a:t>
          </a:r>
          <a:r>
            <a:rPr lang="en-US" sz="800" b="1" i="0" u="none" strike="noStrike" baseline="0">
              <a:solidFill>
                <a:sysClr val="windowText" lastClr="000000"/>
              </a:solidFill>
              <a:latin typeface="+mn-lt"/>
              <a:ea typeface="+mn-ea"/>
              <a:cs typeface="Calibri"/>
            </a:rPr>
            <a:t>                                    </a:t>
          </a:r>
          <a:r>
            <a:rPr lang="en-US" sz="800" b="0" i="0" u="none" strike="noStrike" baseline="0">
              <a:solidFill>
                <a:sysClr val="windowText" lastClr="000000"/>
              </a:solidFill>
              <a:latin typeface="+mn-lt"/>
              <a:ea typeface="+mn-ea"/>
              <a:cs typeface="Calibri"/>
            </a:rPr>
            <a:t>Homens: entre 5,46% e 4,38%;</a:t>
          </a:r>
          <a:endParaRPr lang="en-US" sz="800" b="0" i="0" u="none" strike="noStrike">
            <a:solidFill>
              <a:sysClr val="windowText" lastClr="000000"/>
            </a:solidFill>
            <a:latin typeface="+mn-lt"/>
            <a:ea typeface="+mn-ea"/>
            <a:cs typeface="Calibri"/>
          </a:endParaRPr>
        </a:p>
        <a:p>
          <a:r>
            <a:rPr lang="en-US" sz="800" b="0" i="0" u="sng" strike="noStrike">
              <a:solidFill>
                <a:sysClr val="windowText" lastClr="000000"/>
              </a:solidFill>
              <a:latin typeface="+mn-lt"/>
              <a:cs typeface="Calibri"/>
            </a:rPr>
            <a:t>2013 -</a:t>
          </a:r>
          <a:r>
            <a:rPr lang="en-US" sz="800" b="0" i="0" u="sng" strike="noStrike" baseline="0">
              <a:solidFill>
                <a:sysClr val="windowText" lastClr="000000"/>
              </a:solidFill>
              <a:latin typeface="+mn-lt"/>
              <a:cs typeface="Calibri"/>
            </a:rPr>
            <a:t> </a:t>
          </a:r>
          <a:r>
            <a:rPr lang="en-US" sz="800" b="0" i="0" u="sng" strike="noStrike">
              <a:solidFill>
                <a:sysClr val="windowText" lastClr="000000"/>
              </a:solidFill>
              <a:latin typeface="+mn-lt"/>
              <a:cs typeface="Calibri"/>
            </a:rPr>
            <a:t>2016</a:t>
          </a:r>
          <a:r>
            <a:rPr lang="en-US" sz="800" b="0" i="0" u="none" strike="noStrike">
              <a:solidFill>
                <a:sysClr val="windowText" lastClr="000000"/>
              </a:solidFill>
              <a:latin typeface="+mn-lt"/>
              <a:cs typeface="Calibri"/>
            </a:rPr>
            <a:t>:</a:t>
          </a:r>
          <a:r>
            <a:rPr lang="en-US" sz="800" b="0" i="0" u="none" strike="noStrike" baseline="0">
              <a:solidFill>
                <a:sysClr val="windowText" lastClr="000000"/>
              </a:solidFill>
              <a:latin typeface="+mn-lt"/>
              <a:cs typeface="Calibri"/>
            </a:rPr>
            <a:t> aumento de 4,1%;	                                                                            Mulheres: entre 10,09% e 7,59%</a:t>
          </a:r>
        </a:p>
        <a:p>
          <a:r>
            <a:rPr lang="en-US" sz="800" b="0" i="0" u="sng" strike="noStrike">
              <a:solidFill>
                <a:sysClr val="windowText" lastClr="000000"/>
              </a:solidFill>
              <a:latin typeface="+mn-lt"/>
              <a:cs typeface="Calibri"/>
            </a:rPr>
            <a:t>2016 - 2023</a:t>
          </a:r>
          <a:r>
            <a:rPr lang="en-US" sz="800" b="0" i="0" u="none" strike="noStrike">
              <a:solidFill>
                <a:sysClr val="windowText" lastClr="000000"/>
              </a:solidFill>
              <a:latin typeface="+mn-lt"/>
              <a:cs typeface="Calibri"/>
            </a:rPr>
            <a:t>: aumento de 39,6%;		</a:t>
          </a:r>
          <a:r>
            <a:rPr lang="en-US" sz="800" b="0" i="0" u="none" strike="noStrike" baseline="0">
              <a:solidFill>
                <a:sysClr val="windowText" lastClr="000000"/>
              </a:solidFill>
              <a:latin typeface="+mn-lt"/>
              <a:cs typeface="Calibri"/>
            </a:rPr>
            <a:t>            </a:t>
          </a:r>
          <a:r>
            <a:rPr lang="en-US" sz="800" b="0" i="0" u="sng" strike="noStrike" baseline="0">
              <a:solidFill>
                <a:sysClr val="windowText" lastClr="000000"/>
              </a:solidFill>
              <a:latin typeface="+mn-lt"/>
              <a:cs typeface="Calibri"/>
            </a:rPr>
            <a:t>2017 - 2023</a:t>
          </a:r>
          <a:r>
            <a:rPr lang="en-US" sz="800" b="0" i="0" u="none" strike="noStrike" baseline="0">
              <a:solidFill>
                <a:sysClr val="windowText" lastClr="000000"/>
              </a:solidFill>
              <a:latin typeface="+mn-lt"/>
              <a:cs typeface="Calibri"/>
            </a:rPr>
            <a:t>: Total entre 0,19% e 0,10%;</a:t>
          </a:r>
          <a:endParaRPr lang="en-US" sz="800" b="0" i="0" u="none" strike="noStrike">
            <a:solidFill>
              <a:sysClr val="windowText" lastClr="000000"/>
            </a:solidFill>
            <a:latin typeface="+mn-lt"/>
            <a:cs typeface="Calibri"/>
          </a:endParaRPr>
        </a:p>
        <a:p>
          <a:r>
            <a:rPr lang="en-US" sz="800" b="0" i="0" u="sng" strike="noStrike">
              <a:solidFill>
                <a:sysClr val="windowText" lastClr="000000"/>
              </a:solidFill>
              <a:latin typeface="+mn-lt"/>
              <a:cs typeface="Calibri"/>
            </a:rPr>
            <a:t>2017:</a:t>
          </a:r>
          <a:r>
            <a:rPr lang="en-US" sz="800" b="0" i="0" u="sng" strike="noStrike" baseline="0">
              <a:solidFill>
                <a:sysClr val="windowText" lastClr="000000"/>
              </a:solidFill>
              <a:latin typeface="+mn-lt"/>
              <a:cs typeface="Calibri"/>
            </a:rPr>
            <a:t> </a:t>
          </a:r>
          <a:r>
            <a:rPr lang="en-US" sz="800" b="0" i="0" u="none" strike="noStrike" baseline="0">
              <a:solidFill>
                <a:sysClr val="windowText" lastClr="000000"/>
              </a:solidFill>
              <a:latin typeface="+mn-lt"/>
              <a:cs typeface="Calibri"/>
            </a:rPr>
            <a:t>RMMG &gt; limiar de baixos salários, </a:t>
          </a:r>
          <a:r>
            <a:rPr lang="en-US" sz="800" b="0" i="0" u="none" strike="noStrike">
              <a:solidFill>
                <a:sysClr val="windowText" lastClr="000000"/>
              </a:solidFill>
              <a:latin typeface="+mn-lt"/>
              <a:cs typeface="Calibri"/>
            </a:rPr>
            <a:t>pela primeira vez.                                                  Homens entre 0,10% e 0,07% (2020 e 2021);</a:t>
          </a:r>
        </a:p>
        <a:p>
          <a:r>
            <a:rPr lang="en-US" sz="800" b="0" i="0" u="none" strike="noStrike">
              <a:solidFill>
                <a:sysClr val="windowText" lastClr="000000"/>
              </a:solidFill>
              <a:latin typeface="+mn-lt"/>
              <a:cs typeface="Calibri"/>
            </a:rPr>
            <a:t>		</a:t>
          </a:r>
          <a:r>
            <a:rPr lang="en-US" sz="800" b="0" i="0" u="none" strike="noStrike" baseline="0">
              <a:solidFill>
                <a:sysClr val="windowText" lastClr="000000"/>
              </a:solidFill>
              <a:latin typeface="+mn-lt"/>
              <a:cs typeface="Calibri"/>
            </a:rPr>
            <a:t>                                                                          </a:t>
          </a:r>
          <a:r>
            <a:rPr lang="en-US" sz="800" b="0" i="0" u="none" strike="noStrike">
              <a:solidFill>
                <a:sysClr val="windowText" lastClr="000000"/>
              </a:solidFill>
              <a:latin typeface="+mn-lt"/>
              <a:cs typeface="Calibri"/>
            </a:rPr>
            <a:t> Mulheres entre 0,29% e 0,13%    </a:t>
          </a:r>
        </a:p>
        <a:p>
          <a:endParaRPr lang="en-US" sz="800" b="0" i="0" u="none" strike="noStrike">
            <a:solidFill>
              <a:sysClr val="windowText" lastClr="000000"/>
            </a:solidFill>
            <a:latin typeface="+mn-lt"/>
            <a:cs typeface="Calibri"/>
          </a:endParaRPr>
        </a:p>
      </xdr:txBody>
    </xdr:sp>
    <xdr:clientData/>
  </xdr:twoCellAnchor>
  <xdr:twoCellAnchor>
    <xdr:from>
      <xdr:col>1</xdr:col>
      <xdr:colOff>381933</xdr:colOff>
      <xdr:row>42</xdr:row>
      <xdr:rowOff>4618</xdr:rowOff>
    </xdr:from>
    <xdr:to>
      <xdr:col>9</xdr:col>
      <xdr:colOff>155862</xdr:colOff>
      <xdr:row>44</xdr:row>
      <xdr:rowOff>133350</xdr:rowOff>
    </xdr:to>
    <xdr:sp macro="" textlink="">
      <xdr:nvSpPr>
        <xdr:cNvPr id="77" name="CaixaDeTexto 76">
          <a:extLst>
            <a:ext uri="{FF2B5EF4-FFF2-40B4-BE49-F238E27FC236}">
              <a16:creationId xmlns:a16="http://schemas.microsoft.com/office/drawing/2014/main" id="{00000000-0008-0000-0E00-00004D000000}"/>
            </a:ext>
          </a:extLst>
        </xdr:cNvPr>
        <xdr:cNvSpPr txBox="1"/>
      </xdr:nvSpPr>
      <xdr:spPr>
        <a:xfrm>
          <a:off x="972483" y="7764318"/>
          <a:ext cx="4498329" cy="497032"/>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Calibri"/>
              <a:ea typeface="+mn-ea"/>
              <a:cs typeface="Calibri"/>
            </a:rPr>
            <a:t>2023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abrangidos por </a:t>
          </a:r>
          <a:r>
            <a:rPr lang="en-US" sz="800" b="0" i="0" baseline="0">
              <a:effectLst/>
              <a:latin typeface="+mn-lt"/>
              <a:ea typeface="+mn-ea"/>
              <a:cs typeface="+mn-cs"/>
            </a:rPr>
            <a:t>Contratos Coletivos de Trabalho</a:t>
          </a: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69,3% (-4,2 p.p. face a 2013);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não abrangidos por IRCT: 16,7% (+5,9 p.p. face a 2013).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10</xdr:col>
      <xdr:colOff>201758</xdr:colOff>
      <xdr:row>41</xdr:row>
      <xdr:rowOff>97848</xdr:rowOff>
    </xdr:from>
    <xdr:to>
      <xdr:col>16</xdr:col>
      <xdr:colOff>175781</xdr:colOff>
      <xdr:row>44</xdr:row>
      <xdr:rowOff>39832</xdr:rowOff>
    </xdr:to>
    <xdr:sp macro="" textlink="">
      <xdr:nvSpPr>
        <xdr:cNvPr id="78" name="CaixaDeTexto 77">
          <a:extLst>
            <a:ext uri="{FF2B5EF4-FFF2-40B4-BE49-F238E27FC236}">
              <a16:creationId xmlns:a16="http://schemas.microsoft.com/office/drawing/2014/main" id="{00000000-0008-0000-0E00-00004E000000}"/>
            </a:ext>
          </a:extLst>
        </xdr:cNvPr>
        <xdr:cNvSpPr txBox="1"/>
      </xdr:nvSpPr>
      <xdr:spPr>
        <a:xfrm>
          <a:off x="5821508" y="7908348"/>
          <a:ext cx="3326823" cy="513484"/>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2023 - Remuneração média mensal Base</a:t>
          </a: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90,6%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18,6%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21</xdr:col>
      <xdr:colOff>30407</xdr:colOff>
      <xdr:row>0</xdr:row>
      <xdr:rowOff>150569</xdr:rowOff>
    </xdr:from>
    <xdr:to>
      <xdr:col>22</xdr:col>
      <xdr:colOff>482898</xdr:colOff>
      <xdr:row>2</xdr:row>
      <xdr:rowOff>6996</xdr:rowOff>
    </xdr:to>
    <xdr:sp macro="" textlink="">
      <xdr:nvSpPr>
        <xdr:cNvPr id="79" name="Text Box 10">
          <a:hlinkClick xmlns:r="http://schemas.openxmlformats.org/officeDocument/2006/relationships" r:id="rId5"/>
          <a:extLst>
            <a:ext uri="{FF2B5EF4-FFF2-40B4-BE49-F238E27FC236}">
              <a16:creationId xmlns:a16="http://schemas.microsoft.com/office/drawing/2014/main" id="{00000000-0008-0000-0E00-00004F000000}"/>
            </a:ext>
          </a:extLst>
        </xdr:cNvPr>
        <xdr:cNvSpPr txBox="1">
          <a:spLocks noChangeArrowheads="1"/>
        </xdr:cNvSpPr>
      </xdr:nvSpPr>
      <xdr:spPr bwMode="auto">
        <a:xfrm>
          <a:off x="11908082" y="150569"/>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editAs="oneCell">
    <xdr:from>
      <xdr:col>0</xdr:col>
      <xdr:colOff>190500</xdr:colOff>
      <xdr:row>51</xdr:row>
      <xdr:rowOff>144029</xdr:rowOff>
    </xdr:from>
    <xdr:to>
      <xdr:col>22</xdr:col>
      <xdr:colOff>36562</xdr:colOff>
      <xdr:row>52</xdr:row>
      <xdr:rowOff>133350</xdr:rowOff>
    </xdr:to>
    <xdr:pic>
      <xdr:nvPicPr>
        <xdr:cNvPr id="10" name="Imagem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6"/>
        <a:stretch>
          <a:fillRect/>
        </a:stretch>
      </xdr:blipFill>
      <xdr:spPr>
        <a:xfrm>
          <a:off x="190500" y="9859529"/>
          <a:ext cx="12304762" cy="179821"/>
        </a:xfrm>
        <a:prstGeom prst="rect">
          <a:avLst/>
        </a:prstGeom>
      </xdr:spPr>
    </xdr:pic>
    <xdr:clientData/>
  </xdr:twoCellAnchor>
  <xdr:twoCellAnchor>
    <xdr:from>
      <xdr:col>10</xdr:col>
      <xdr:colOff>515217</xdr:colOff>
      <xdr:row>43</xdr:row>
      <xdr:rowOff>174913</xdr:rowOff>
    </xdr:from>
    <xdr:to>
      <xdr:col>21</xdr:col>
      <xdr:colOff>551580</xdr:colOff>
      <xdr:row>52</xdr:row>
      <xdr:rowOff>51088</xdr:rowOff>
    </xdr:to>
    <xdr:grpSp>
      <xdr:nvGrpSpPr>
        <xdr:cNvPr id="80" name="Agrupar 79">
          <a:extLst>
            <a:ext uri="{FF2B5EF4-FFF2-40B4-BE49-F238E27FC236}">
              <a16:creationId xmlns:a16="http://schemas.microsoft.com/office/drawing/2014/main" id="{00000000-0008-0000-0E00-000050000000}"/>
            </a:ext>
          </a:extLst>
        </xdr:cNvPr>
        <xdr:cNvGrpSpPr/>
      </xdr:nvGrpSpPr>
      <xdr:grpSpPr>
        <a:xfrm>
          <a:off x="6134967" y="8366413"/>
          <a:ext cx="6294288" cy="1590675"/>
          <a:chOff x="9525000" y="4636111"/>
          <a:chExt cx="8715370" cy="3506179"/>
        </a:xfrm>
      </xdr:grpSpPr>
      <xdr:graphicFrame macro="">
        <xdr:nvGraphicFramePr>
          <xdr:cNvPr id="81" name="Gráfico 80">
            <a:extLst>
              <a:ext uri="{FF2B5EF4-FFF2-40B4-BE49-F238E27FC236}">
                <a16:creationId xmlns:a16="http://schemas.microsoft.com/office/drawing/2014/main" id="{00000000-0008-0000-0E00-000051000000}"/>
              </a:ext>
            </a:extLst>
          </xdr:cNvPr>
          <xdr:cNvGraphicFramePr>
            <a:graphicFrameLocks/>
          </xdr:cNvGraphicFramePr>
        </xdr:nvGraphicFramePr>
        <xdr:xfrm>
          <a:off x="9525000" y="4754563"/>
          <a:ext cx="4746624" cy="3371851"/>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82" name="Gráfico 81">
            <a:extLst>
              <a:ext uri="{FF2B5EF4-FFF2-40B4-BE49-F238E27FC236}">
                <a16:creationId xmlns:a16="http://schemas.microsoft.com/office/drawing/2014/main" id="{00000000-0008-0000-0E00-000052000000}"/>
              </a:ext>
            </a:extLst>
          </xdr:cNvPr>
          <xdr:cNvGraphicFramePr>
            <a:graphicFrameLocks/>
          </xdr:cNvGraphicFramePr>
        </xdr:nvGraphicFramePr>
        <xdr:xfrm>
          <a:off x="13493746" y="4636111"/>
          <a:ext cx="4746624" cy="3506179"/>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18</xdr:col>
      <xdr:colOff>28575</xdr:colOff>
      <xdr:row>40</xdr:row>
      <xdr:rowOff>23284</xdr:rowOff>
    </xdr:from>
    <xdr:to>
      <xdr:col>21</xdr:col>
      <xdr:colOff>381000</xdr:colOff>
      <xdr:row>41</xdr:row>
      <xdr:rowOff>58132</xdr:rowOff>
    </xdr:to>
    <xdr:sp macro="" textlink="">
      <xdr:nvSpPr>
        <xdr:cNvPr id="83" name="Text Box 10">
          <a:extLst>
            <a:ext uri="{FF2B5EF4-FFF2-40B4-BE49-F238E27FC236}">
              <a16:creationId xmlns:a16="http://schemas.microsoft.com/office/drawing/2014/main" id="{00000000-0008-0000-0E00-000053000000}"/>
            </a:ext>
          </a:extLst>
        </xdr:cNvPr>
        <xdr:cNvSpPr txBox="1">
          <a:spLocks noChangeArrowheads="1"/>
        </xdr:cNvSpPr>
      </xdr:nvSpPr>
      <xdr:spPr bwMode="auto">
        <a:xfrm>
          <a:off x="10163175" y="7643284"/>
          <a:ext cx="2095500" cy="22534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Remuneração média mensal Ganho</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xdr:clientData/>
  </xdr:twoCellAnchor>
  <xdr:twoCellAnchor>
    <xdr:from>
      <xdr:col>0</xdr:col>
      <xdr:colOff>476250</xdr:colOff>
      <xdr:row>44</xdr:row>
      <xdr:rowOff>28575</xdr:rowOff>
    </xdr:from>
    <xdr:to>
      <xdr:col>10</xdr:col>
      <xdr:colOff>304799</xdr:colOff>
      <xdr:row>51</xdr:row>
      <xdr:rowOff>161925</xdr:rowOff>
    </xdr:to>
    <xdr:graphicFrame macro="">
      <xdr:nvGraphicFramePr>
        <xdr:cNvPr id="84" name="Gráfico 83">
          <a:extLst>
            <a:ext uri="{FF2B5EF4-FFF2-40B4-BE49-F238E27FC236}">
              <a16:creationId xmlns:a16="http://schemas.microsoft.com/office/drawing/2014/main" id="{00000000-0008-0000-0E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247650</xdr:colOff>
      <xdr:row>40</xdr:row>
      <xdr:rowOff>188673</xdr:rowOff>
    </xdr:from>
    <xdr:to>
      <xdr:col>7</xdr:col>
      <xdr:colOff>371475</xdr:colOff>
      <xdr:row>42</xdr:row>
      <xdr:rowOff>39371</xdr:rowOff>
    </xdr:to>
    <xdr:sp macro="" textlink="">
      <xdr:nvSpPr>
        <xdr:cNvPr id="85" name="Text Box 10">
          <a:extLst>
            <a:ext uri="{FF2B5EF4-FFF2-40B4-BE49-F238E27FC236}">
              <a16:creationId xmlns:a16="http://schemas.microsoft.com/office/drawing/2014/main" id="{00000000-0008-0000-0E00-000055000000}"/>
            </a:ext>
          </a:extLst>
        </xdr:cNvPr>
        <xdr:cNvSpPr txBox="1">
          <a:spLocks noChangeArrowheads="1"/>
        </xdr:cNvSpPr>
      </xdr:nvSpPr>
      <xdr:spPr bwMode="auto">
        <a:xfrm>
          <a:off x="1936173" y="7808673"/>
          <a:ext cx="2375188" cy="231698"/>
        </a:xfrm>
        <a:prstGeom prst="rect">
          <a:avLst/>
        </a:prstGeom>
        <a:no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TCO abrangidos e não abrangidos por IRCT</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xdr:clientData/>
  </xdr:twoCellAnchor>
  <xdr:twoCellAnchor>
    <xdr:from>
      <xdr:col>16</xdr:col>
      <xdr:colOff>562841</xdr:colOff>
      <xdr:row>41</xdr:row>
      <xdr:rowOff>121226</xdr:rowOff>
    </xdr:from>
    <xdr:to>
      <xdr:col>22</xdr:col>
      <xdr:colOff>406977</xdr:colOff>
      <xdr:row>44</xdr:row>
      <xdr:rowOff>63210</xdr:rowOff>
    </xdr:to>
    <xdr:sp macro="" textlink="">
      <xdr:nvSpPr>
        <xdr:cNvPr id="50" name="CaixaDeTexto 49">
          <a:extLst>
            <a:ext uri="{FF2B5EF4-FFF2-40B4-BE49-F238E27FC236}">
              <a16:creationId xmlns:a16="http://schemas.microsoft.com/office/drawing/2014/main" id="{00000000-0008-0000-0E00-000032000000}"/>
            </a:ext>
          </a:extLst>
        </xdr:cNvPr>
        <xdr:cNvSpPr txBox="1"/>
      </xdr:nvSpPr>
      <xdr:spPr>
        <a:xfrm>
          <a:off x="9542318" y="7931726"/>
          <a:ext cx="3325091" cy="513484"/>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2023 - Remuneração média mensal Ganho</a:t>
          </a: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89,3%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15,6%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0</xdr:col>
      <xdr:colOff>381000</xdr:colOff>
      <xdr:row>5</xdr:row>
      <xdr:rowOff>165100</xdr:rowOff>
    </xdr:from>
    <xdr:to>
      <xdr:col>4</xdr:col>
      <xdr:colOff>336550</xdr:colOff>
      <xdr:row>7</xdr:row>
      <xdr:rowOff>69423</xdr:rowOff>
    </xdr:to>
    <xdr:sp macro="" textlink="">
      <xdr:nvSpPr>
        <xdr:cNvPr id="51" name="CaixaDeTexto 50">
          <a:extLst>
            <a:ext uri="{FF2B5EF4-FFF2-40B4-BE49-F238E27FC236}">
              <a16:creationId xmlns:a16="http://schemas.microsoft.com/office/drawing/2014/main" id="{00000000-0008-0000-0E00-000033000000}"/>
            </a:ext>
          </a:extLst>
        </xdr:cNvPr>
        <xdr:cNvSpPr txBox="1"/>
      </xdr:nvSpPr>
      <xdr:spPr>
        <a:xfrm>
          <a:off x="381000" y="1085850"/>
          <a:ext cx="2317750" cy="272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...po escalão de remuneração mensal Base (%)</a:t>
          </a:r>
        </a:p>
      </xdr:txBody>
    </xdr:sp>
    <xdr:clientData/>
  </xdr:twoCellAnchor>
  <xdr:twoCellAnchor>
    <xdr:from>
      <xdr:col>13</xdr:col>
      <xdr:colOff>25400</xdr:colOff>
      <xdr:row>6</xdr:row>
      <xdr:rowOff>25400</xdr:rowOff>
    </xdr:from>
    <xdr:to>
      <xdr:col>16</xdr:col>
      <xdr:colOff>514350</xdr:colOff>
      <xdr:row>7</xdr:row>
      <xdr:rowOff>113873</xdr:rowOff>
    </xdr:to>
    <xdr:sp macro="" textlink="">
      <xdr:nvSpPr>
        <xdr:cNvPr id="52" name="CaixaDeTexto 51">
          <a:extLst>
            <a:ext uri="{FF2B5EF4-FFF2-40B4-BE49-F238E27FC236}">
              <a16:creationId xmlns:a16="http://schemas.microsoft.com/office/drawing/2014/main" id="{00000000-0008-0000-0E00-000034000000}"/>
            </a:ext>
          </a:extLst>
        </xdr:cNvPr>
        <xdr:cNvSpPr txBox="1"/>
      </xdr:nvSpPr>
      <xdr:spPr>
        <a:xfrm>
          <a:off x="7620000" y="1130300"/>
          <a:ext cx="2317750" cy="272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...po escalão de remuneração mensal Ganho (%)</a:t>
          </a:r>
        </a:p>
      </xdr:txBody>
    </xdr:sp>
    <xdr:clientData/>
  </xdr:twoCellAnchor>
  <xdr:twoCellAnchor>
    <xdr:from>
      <xdr:col>5</xdr:col>
      <xdr:colOff>311150</xdr:colOff>
      <xdr:row>5</xdr:row>
      <xdr:rowOff>152400</xdr:rowOff>
    </xdr:from>
    <xdr:to>
      <xdr:col>10</xdr:col>
      <xdr:colOff>123296</xdr:colOff>
      <xdr:row>9</xdr:row>
      <xdr:rowOff>32808</xdr:rowOff>
    </xdr:to>
    <xdr:sp macro="" textlink="">
      <xdr:nvSpPr>
        <xdr:cNvPr id="53" name="CaixaDeTexto 52">
          <a:extLst>
            <a:ext uri="{FF2B5EF4-FFF2-40B4-BE49-F238E27FC236}">
              <a16:creationId xmlns:a16="http://schemas.microsoft.com/office/drawing/2014/main" id="{00000000-0008-0000-0E00-000035000000}"/>
            </a:ext>
          </a:extLst>
        </xdr:cNvPr>
        <xdr:cNvSpPr txBox="1"/>
      </xdr:nvSpPr>
      <xdr:spPr>
        <a:xfrm>
          <a:off x="3263900" y="1073150"/>
          <a:ext cx="2764896" cy="62970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2023 - </a:t>
          </a:r>
          <a:r>
            <a:rPr lang="en-US" sz="800" b="0" i="0" u="sng" strike="noStrike">
              <a:solidFill>
                <a:sysClr val="windowText" lastClr="000000"/>
              </a:solidFill>
              <a:latin typeface="+mn-lt"/>
              <a:cs typeface="Calibri"/>
            </a:rPr>
            <a:t>Proporção de TCO com remuneração Base</a:t>
          </a:r>
        </a:p>
        <a:p>
          <a:r>
            <a:rPr lang="en-US" sz="800" b="0" i="0" u="none" strike="noStrike">
              <a:solidFill>
                <a:sysClr val="windowText" lastClr="000000"/>
              </a:solidFill>
              <a:latin typeface="+mn-lt"/>
              <a:cs typeface="Calibri"/>
            </a:rPr>
            <a:t>&gt;= RMMG e  &lt; 1.000 €: 59,5% (-15,0 p.p face a 2013)</a:t>
          </a:r>
        </a:p>
        <a:p>
          <a:r>
            <a:rPr lang="en-US" sz="800" b="0" i="0" u="none" strike="noStrike">
              <a:solidFill>
                <a:sysClr val="windowText" lastClr="000000"/>
              </a:solidFill>
              <a:latin typeface="+mn-lt"/>
              <a:cs typeface="Calibri"/>
            </a:rPr>
            <a:t>= RMMG: 20,6% (+6,5 p.p. face a 2013)                                      </a:t>
          </a:r>
        </a:p>
        <a:p>
          <a:r>
            <a:rPr lang="en-US" sz="800" b="0" i="0" u="none" strike="noStrike">
              <a:solidFill>
                <a:sysClr val="windowText" lastClr="000000"/>
              </a:solidFill>
              <a:latin typeface="+mn-lt"/>
              <a:cs typeface="Calibri"/>
            </a:rPr>
            <a:t>&gt; RMMG e &lt; 1.000 €: 38,8% (- 21,5 p.p. face a 2013).</a:t>
          </a:r>
        </a:p>
        <a:p>
          <a:endParaRPr lang="en-US" sz="800" b="0" i="0" u="none" strike="noStrike" baseline="0">
            <a:solidFill>
              <a:sysClr val="windowText" lastClr="000000"/>
            </a:solidFill>
            <a:latin typeface="Calibri"/>
            <a:cs typeface="Calibri"/>
          </a:endParaRPr>
        </a:p>
      </xdr:txBody>
    </xdr:sp>
    <xdr:clientData/>
  </xdr:twoCellAnchor>
  <xdr:twoCellAnchor>
    <xdr:from>
      <xdr:col>10</xdr:col>
      <xdr:colOff>438150</xdr:colOff>
      <xdr:row>21</xdr:row>
      <xdr:rowOff>44450</xdr:rowOff>
    </xdr:from>
    <xdr:to>
      <xdr:col>22</xdr:col>
      <xdr:colOff>241300</xdr:colOff>
      <xdr:row>24</xdr:row>
      <xdr:rowOff>98137</xdr:rowOff>
    </xdr:to>
    <xdr:sp macro="" textlink="">
      <xdr:nvSpPr>
        <xdr:cNvPr id="72" name="CaixaDeTexto 71">
          <a:extLst>
            <a:ext uri="{FF2B5EF4-FFF2-40B4-BE49-F238E27FC236}">
              <a16:creationId xmlns:a16="http://schemas.microsoft.com/office/drawing/2014/main" id="{00000000-0008-0000-0E00-000048000000}"/>
            </a:ext>
          </a:extLst>
        </xdr:cNvPr>
        <xdr:cNvSpPr txBox="1"/>
      </xdr:nvSpPr>
      <xdr:spPr>
        <a:xfrm>
          <a:off x="6343650" y="3937000"/>
          <a:ext cx="6978650" cy="606137"/>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2"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2013 - 2023</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S80/S20</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Em 2013, as remunerações dos 20% de TCO que mais ganhavam, era 4,5 vezes mais o valor das remunerações dos 20% que menos auferiam.     A desigualdade diminuiu, sendo o mesmo rácio 3,6 em 2023.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S90/S10</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Em 2013, as remunerações dos 10% de TCO que mais ganhavam, era 6,4 vezes mais o valor das remunerações dos 10% que menos auferiam. A         desigualdade diminuiu, sendo o mesmo rácio 5,0 em 2023.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0</xdr:col>
      <xdr:colOff>0</xdr:colOff>
      <xdr:row>26</xdr:row>
      <xdr:rowOff>134133</xdr:rowOff>
    </xdr:from>
    <xdr:to>
      <xdr:col>10</xdr:col>
      <xdr:colOff>245238</xdr:colOff>
      <xdr:row>40</xdr:row>
      <xdr:rowOff>2983</xdr:rowOff>
    </xdr:to>
    <xdr:grpSp>
      <xdr:nvGrpSpPr>
        <xdr:cNvPr id="12" name="Agrupar 11">
          <a:extLst>
            <a:ext uri="{FF2B5EF4-FFF2-40B4-BE49-F238E27FC236}">
              <a16:creationId xmlns:a16="http://schemas.microsoft.com/office/drawing/2014/main" id="{00000000-0008-0000-0E00-00000C000000}"/>
            </a:ext>
          </a:extLst>
        </xdr:cNvPr>
        <xdr:cNvGrpSpPr/>
      </xdr:nvGrpSpPr>
      <xdr:grpSpPr>
        <a:xfrm>
          <a:off x="0" y="5087133"/>
          <a:ext cx="5864988" cy="2535850"/>
          <a:chOff x="0" y="4970716"/>
          <a:chExt cx="6171905" cy="2461767"/>
        </a:xfrm>
      </xdr:grpSpPr>
      <xdr:grpSp>
        <xdr:nvGrpSpPr>
          <xdr:cNvPr id="37" name="Agrupar 36">
            <a:extLst>
              <a:ext uri="{FF2B5EF4-FFF2-40B4-BE49-F238E27FC236}">
                <a16:creationId xmlns:a16="http://schemas.microsoft.com/office/drawing/2014/main" id="{00000000-0008-0000-0E00-000025000000}"/>
              </a:ext>
            </a:extLst>
          </xdr:cNvPr>
          <xdr:cNvGrpSpPr/>
        </xdr:nvGrpSpPr>
        <xdr:grpSpPr>
          <a:xfrm>
            <a:off x="0" y="4970716"/>
            <a:ext cx="6171905" cy="2461767"/>
            <a:chOff x="82547" y="5042476"/>
            <a:chExt cx="4535398" cy="2473663"/>
          </a:xfrm>
        </xdr:grpSpPr>
        <xdr:sp macro="" textlink="">
          <xdr:nvSpPr>
            <xdr:cNvPr id="38" name="CaixaDeTexto 1">
              <a:extLst>
                <a:ext uri="{FF2B5EF4-FFF2-40B4-BE49-F238E27FC236}">
                  <a16:creationId xmlns:a16="http://schemas.microsoft.com/office/drawing/2014/main" id="{00000000-0008-0000-0E00-000026000000}"/>
                </a:ext>
              </a:extLst>
            </xdr:cNvPr>
            <xdr:cNvSpPr txBox="1"/>
          </xdr:nvSpPr>
          <xdr:spPr>
            <a:xfrm>
              <a:off x="445001" y="5071651"/>
              <a:ext cx="3752999" cy="200278"/>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rgbClr val="1F497D"/>
                  </a:solidFill>
                  <a:effectLst/>
                  <a:uLnTx/>
                  <a:uFillTx/>
                  <a:latin typeface="Calibri"/>
                </a:rPr>
                <a:t>Ganho mensal mediano, limiar de baixos salários*, retribuição mínima mensal garantida e Incidência de baixos salários</a:t>
              </a:r>
            </a:p>
          </xdr:txBody>
        </xdr:sp>
        <xdr:grpSp>
          <xdr:nvGrpSpPr>
            <xdr:cNvPr id="39" name="Agrupar 38">
              <a:extLst>
                <a:ext uri="{FF2B5EF4-FFF2-40B4-BE49-F238E27FC236}">
                  <a16:creationId xmlns:a16="http://schemas.microsoft.com/office/drawing/2014/main" id="{00000000-0008-0000-0E00-000027000000}"/>
                </a:ext>
              </a:extLst>
            </xdr:cNvPr>
            <xdr:cNvGrpSpPr/>
          </xdr:nvGrpSpPr>
          <xdr:grpSpPr>
            <a:xfrm>
              <a:off x="82547" y="5042476"/>
              <a:ext cx="4535398" cy="2473663"/>
              <a:chOff x="15468383" y="13077031"/>
              <a:chExt cx="4547872" cy="2466158"/>
            </a:xfrm>
          </xdr:grpSpPr>
          <xdr:graphicFrame macro="">
            <xdr:nvGraphicFramePr>
              <xdr:cNvPr id="40" name="Gráfico 39">
                <a:extLst>
                  <a:ext uri="{FF2B5EF4-FFF2-40B4-BE49-F238E27FC236}">
                    <a16:creationId xmlns:a16="http://schemas.microsoft.com/office/drawing/2014/main" id="{00000000-0008-0000-0E00-000028000000}"/>
                  </a:ext>
                </a:extLst>
              </xdr:cNvPr>
              <xdr:cNvGraphicFramePr>
                <a:graphicFrameLocks/>
              </xdr:cNvGraphicFramePr>
            </xdr:nvGraphicFramePr>
            <xdr:xfrm>
              <a:off x="15468383" y="13077031"/>
              <a:ext cx="4420041" cy="2466158"/>
            </xdr:xfrm>
            <a:graphic>
              <a:graphicData uri="http://schemas.openxmlformats.org/drawingml/2006/chart">
                <c:chart xmlns:c="http://schemas.openxmlformats.org/drawingml/2006/chart" xmlns:r="http://schemas.openxmlformats.org/officeDocument/2006/relationships" r:id="rId10"/>
              </a:graphicData>
            </a:graphic>
          </xdr:graphicFrame>
          <xdr:pic>
            <xdr:nvPicPr>
              <xdr:cNvPr id="41" name="Imagem 40">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11"/>
              <a:stretch>
                <a:fillRect/>
              </a:stretch>
            </xdr:blipFill>
            <xdr:spPr>
              <a:xfrm>
                <a:off x="15471858" y="15069524"/>
                <a:ext cx="2333729" cy="337980"/>
              </a:xfrm>
              <a:prstGeom prst="rect">
                <a:avLst/>
              </a:prstGeom>
            </xdr:spPr>
          </xdr:pic>
          <xdr:pic>
            <xdr:nvPicPr>
              <xdr:cNvPr id="42" name="Imagem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12"/>
              <a:stretch>
                <a:fillRect/>
              </a:stretch>
            </xdr:blipFill>
            <xdr:spPr>
              <a:xfrm>
                <a:off x="18381691" y="15081276"/>
                <a:ext cx="1634564" cy="317182"/>
              </a:xfrm>
              <a:prstGeom prst="rect">
                <a:avLst/>
              </a:prstGeom>
            </xdr:spPr>
          </xdr:pic>
        </xdr:grpSp>
      </xdr:grpSp>
      <xdr:sp macro="" textlink="">
        <xdr:nvSpPr>
          <xdr:cNvPr id="71" name="CaixaDeTexto 70">
            <a:extLst>
              <a:ext uri="{FF2B5EF4-FFF2-40B4-BE49-F238E27FC236}">
                <a16:creationId xmlns:a16="http://schemas.microsoft.com/office/drawing/2014/main" id="{00000000-0008-0000-0E00-000047000000}"/>
              </a:ext>
            </a:extLst>
          </xdr:cNvPr>
          <xdr:cNvSpPr txBox="1"/>
        </xdr:nvSpPr>
        <xdr:spPr>
          <a:xfrm>
            <a:off x="74083" y="7244292"/>
            <a:ext cx="3799417" cy="174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PT" sz="600"/>
              <a:t>*Limiar</a:t>
            </a:r>
            <a:r>
              <a:rPr lang="pt-PT" sz="600" baseline="0"/>
              <a:t> de baixos salários - </a:t>
            </a:r>
            <a:r>
              <a:rPr lang="pt-PT" sz="600"/>
              <a:t>considerado como sendo 2/3 da mediana do ganho mensal do Continente.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269203</xdr:colOff>
      <xdr:row>2</xdr:row>
      <xdr:rowOff>106136</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878803" cy="429986"/>
        </a:xfrm>
        <a:prstGeom prst="rect">
          <a:avLst/>
        </a:prstGeom>
      </xdr:spPr>
    </xdr:pic>
    <xdr:clientData/>
  </xdr:twoCellAnchor>
  <xdr:twoCellAnchor>
    <xdr:from>
      <xdr:col>1</xdr:col>
      <xdr:colOff>355535</xdr:colOff>
      <xdr:row>0</xdr:row>
      <xdr:rowOff>41276</xdr:rowOff>
    </xdr:from>
    <xdr:to>
      <xdr:col>21</xdr:col>
      <xdr:colOff>1</xdr:colOff>
      <xdr:row>3</xdr:row>
      <xdr:rowOff>28575</xdr:rowOff>
    </xdr:to>
    <xdr:sp macro="" textlink="">
      <xdr:nvSpPr>
        <xdr:cNvPr id="3" name="Rectangle 17">
          <a:extLst>
            <a:ext uri="{FF2B5EF4-FFF2-40B4-BE49-F238E27FC236}">
              <a16:creationId xmlns:a16="http://schemas.microsoft.com/office/drawing/2014/main" id="{00000000-0008-0000-0200-000003000000}"/>
            </a:ext>
          </a:extLst>
        </xdr:cNvPr>
        <xdr:cNvSpPr>
          <a:spLocks noChangeArrowheads="1"/>
        </xdr:cNvSpPr>
      </xdr:nvSpPr>
      <xdr:spPr bwMode="auto">
        <a:xfrm>
          <a:off x="965135" y="41276"/>
          <a:ext cx="11836466" cy="47307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baseline="0">
              <a:solidFill>
                <a:schemeClr val="bg1"/>
              </a:solidFill>
              <a:effectLst>
                <a:outerShdw blurRad="38100" dist="38100" dir="2700000" algn="tl">
                  <a:srgbClr val="000000"/>
                </a:outerShdw>
              </a:effectLst>
              <a:latin typeface="Arial" charset="0"/>
            </a:rPr>
            <a:t>Dashboard / </a:t>
          </a:r>
          <a:r>
            <a:rPr lang="pt-PT" sz="1600" b="1" i="0" baseline="0">
              <a:solidFill>
                <a:schemeClr val="bg1"/>
              </a:solidFill>
              <a:effectLst>
                <a:outerShdw blurRad="38100" dist="38100" dir="2700000" algn="tl">
                  <a:srgbClr val="000000"/>
                </a:outerShdw>
              </a:effectLst>
              <a:latin typeface="Arial" charset="0"/>
            </a:rPr>
            <a:t>Excel Interativo</a:t>
          </a:r>
          <a:endParaRPr lang="pt-PT" sz="1600" b="1" i="0">
            <a:solidFill>
              <a:schemeClr val="bg1"/>
            </a:solidFill>
            <a:effectLst>
              <a:outerShdw blurRad="38100" dist="38100" dir="2700000" algn="tl">
                <a:srgbClr val="000000"/>
              </a:outerShdw>
            </a:effectLst>
            <a:latin typeface="Arial" charset="0"/>
          </a:endParaRPr>
        </a:p>
        <a:p>
          <a:pPr defTabSz="988538">
            <a:defRPr/>
          </a:pPr>
          <a:r>
            <a:rPr lang="pt-PT" sz="1600" b="1" i="1">
              <a:solidFill>
                <a:srgbClr val="FFE600"/>
              </a:solidFill>
              <a:effectLst>
                <a:outerShdw blurRad="38100" dist="38100" dir="2700000" algn="tl">
                  <a:srgbClr val="000000"/>
                </a:outerShdw>
              </a:effectLst>
              <a:latin typeface="Arial" charset="0"/>
            </a:rPr>
            <a:t>Séries</a:t>
          </a:r>
          <a:r>
            <a:rPr lang="pt-PT" sz="1600" b="1" i="1" baseline="0">
              <a:solidFill>
                <a:srgbClr val="FFE600"/>
              </a:solidFill>
              <a:effectLst>
                <a:outerShdw blurRad="38100" dist="38100" dir="2700000" algn="tl">
                  <a:srgbClr val="000000"/>
                </a:outerShdw>
              </a:effectLst>
              <a:latin typeface="Arial" charset="0"/>
            </a:rPr>
            <a:t> Cronológicas: Quadros de Pessoal 2013-2023</a:t>
          </a:r>
          <a:endParaRPr lang="pt-PT" sz="1600" b="1" i="1">
            <a:solidFill>
              <a:srgbClr val="FFE600"/>
            </a:solidFill>
            <a:effectLst>
              <a:outerShdw blurRad="38100" dist="38100" dir="2700000" algn="tl">
                <a:srgbClr val="000000"/>
              </a:outerShdw>
            </a:effectLst>
            <a:latin typeface="Arial" charset="0"/>
          </a:endParaRPr>
        </a:p>
      </xdr:txBody>
    </xdr:sp>
    <xdr:clientData/>
  </xdr:twoCellAnchor>
  <xdr:twoCellAnchor>
    <xdr:from>
      <xdr:col>19</xdr:col>
      <xdr:colOff>50735</xdr:colOff>
      <xdr:row>0</xdr:row>
      <xdr:rowOff>146051</xdr:rowOff>
    </xdr:from>
    <xdr:to>
      <xdr:col>20</xdr:col>
      <xdr:colOff>474651</xdr:colOff>
      <xdr:row>2</xdr:row>
      <xdr:rowOff>59628</xdr:rowOff>
    </xdr:to>
    <xdr:sp macro="" textlink="">
      <xdr:nvSpPr>
        <xdr:cNvPr id="6" name="Text Box 10">
          <a:hlinkClick xmlns:r="http://schemas.openxmlformats.org/officeDocument/2006/relationships" r:id="rId2"/>
          <a:extLst>
            <a:ext uri="{FF2B5EF4-FFF2-40B4-BE49-F238E27FC236}">
              <a16:creationId xmlns:a16="http://schemas.microsoft.com/office/drawing/2014/main" id="{00000000-0008-0000-0200-000006000000}"/>
            </a:ext>
          </a:extLst>
        </xdr:cNvPr>
        <xdr:cNvSpPr txBox="1">
          <a:spLocks noChangeArrowheads="1"/>
        </xdr:cNvSpPr>
      </xdr:nvSpPr>
      <xdr:spPr bwMode="auto">
        <a:xfrm>
          <a:off x="11633135" y="14605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304800</xdr:colOff>
          <xdr:row>1</xdr:row>
          <xdr:rowOff>152400</xdr:rowOff>
        </xdr:from>
        <xdr:to>
          <xdr:col>17</xdr:col>
          <xdr:colOff>1552575</xdr:colOff>
          <xdr:row>3</xdr:row>
          <xdr:rowOff>19050</xdr:rowOff>
        </xdr:to>
        <xdr:sp macro="" textlink="">
          <xdr:nvSpPr>
            <xdr:cNvPr id="50178" name="Drop Down 2" hidden="1">
              <a:extLst>
                <a:ext uri="{63B3BB69-23CF-44E3-9099-C40C66FF867C}">
                  <a14:compatExt spid="_x0000_s50178"/>
                </a:ext>
                <a:ext uri="{FF2B5EF4-FFF2-40B4-BE49-F238E27FC236}">
                  <a16:creationId xmlns:a16="http://schemas.microsoft.com/office/drawing/2014/main" id="{00000000-0008-0000-0F00-000002C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29</xdr:col>
      <xdr:colOff>447675</xdr:colOff>
      <xdr:row>5</xdr:row>
      <xdr:rowOff>66675</xdr:rowOff>
    </xdr:from>
    <xdr:to>
      <xdr:col>35</xdr:col>
      <xdr:colOff>428625</xdr:colOff>
      <xdr:row>22</xdr:row>
      <xdr:rowOff>49950</xdr:rowOff>
    </xdr:to>
    <xdr:graphicFrame macro="">
      <xdr:nvGraphicFramePr>
        <xdr:cNvPr id="4" name="Gráfico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600075</xdr:colOff>
      <xdr:row>25</xdr:row>
      <xdr:rowOff>47626</xdr:rowOff>
    </xdr:from>
    <xdr:to>
      <xdr:col>34</xdr:col>
      <xdr:colOff>561975</xdr:colOff>
      <xdr:row>40</xdr:row>
      <xdr:rowOff>57151</xdr:rowOff>
    </xdr:to>
    <xdr:graphicFrame macro="">
      <xdr:nvGraphicFramePr>
        <xdr:cNvPr id="12" name="Gráfico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171450</xdr:colOff>
      <xdr:row>55</xdr:row>
      <xdr:rowOff>47626</xdr:rowOff>
    </xdr:from>
    <xdr:to>
      <xdr:col>16</xdr:col>
      <xdr:colOff>650876</xdr:colOff>
      <xdr:row>61</xdr:row>
      <xdr:rowOff>152400</xdr:rowOff>
    </xdr:to>
    <xdr:sp macro="" textlink="$R$62">
      <xdr:nvSpPr>
        <xdr:cNvPr id="7" name="CaixaDeTexto 6">
          <a:extLst>
            <a:ext uri="{FF2B5EF4-FFF2-40B4-BE49-F238E27FC236}">
              <a16:creationId xmlns:a16="http://schemas.microsoft.com/office/drawing/2014/main" id="{00000000-0008-0000-0F00-000007000000}"/>
            </a:ext>
          </a:extLst>
        </xdr:cNvPr>
        <xdr:cNvSpPr txBox="1"/>
      </xdr:nvSpPr>
      <xdr:spPr>
        <a:xfrm>
          <a:off x="6562725" y="8972551"/>
          <a:ext cx="5356226" cy="107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DB323B0-1B39-49DC-90EE-0A64740C439A}" type="TxLink">
            <a:rPr lang="en-US" sz="1000" b="0" i="0" u="none" strike="noStrike">
              <a:solidFill>
                <a:srgbClr val="000000"/>
              </a:solidFill>
              <a:latin typeface="Arial"/>
              <a:cs typeface="Arial"/>
            </a:rPr>
            <a:pPr/>
            <a:t>3 CAE com mais Estabelecimentos:
2013: G - Com. por grosso e ret. (…) (29,8%); C - Ind. transf. (11,5%); I - Alojamento, rest. e sim. (10,8%).
2023: G - Com. por grosso e ret. (…) (26,6%); I - Alojamento, rest. e sim. (11,9%); F - Construção (10,5%).</a:t>
          </a:fld>
          <a:endParaRPr lang="pt-PT" sz="1100"/>
        </a:p>
      </xdr:txBody>
    </xdr:sp>
    <xdr:clientData/>
  </xdr:twoCellAnchor>
  <xdr:twoCellAnchor>
    <xdr:from>
      <xdr:col>17</xdr:col>
      <xdr:colOff>377825</xdr:colOff>
      <xdr:row>111</xdr:row>
      <xdr:rowOff>104774</xdr:rowOff>
    </xdr:from>
    <xdr:to>
      <xdr:col>21</xdr:col>
      <xdr:colOff>377825</xdr:colOff>
      <xdr:row>119</xdr:row>
      <xdr:rowOff>38099</xdr:rowOff>
    </xdr:to>
    <xdr:sp macro="" textlink="$R$110">
      <xdr:nvSpPr>
        <xdr:cNvPr id="42" name="CaixaDeTexto 41">
          <a:extLst>
            <a:ext uri="{FF2B5EF4-FFF2-40B4-BE49-F238E27FC236}">
              <a16:creationId xmlns:a16="http://schemas.microsoft.com/office/drawing/2014/main" id="{00000000-0008-0000-0F00-00002A000000}"/>
            </a:ext>
          </a:extLst>
        </xdr:cNvPr>
        <xdr:cNvSpPr txBox="1"/>
      </xdr:nvSpPr>
      <xdr:spPr>
        <a:xfrm>
          <a:off x="12436475" y="18135599"/>
          <a:ext cx="380047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AA16B81-83A1-4D69-8BE8-8702F2EDF9AF}" type="TxLink">
            <a:rPr lang="en-US" sz="1000" b="0" i="0" u="none" strike="noStrike">
              <a:solidFill>
                <a:srgbClr val="000000"/>
              </a:solidFill>
              <a:latin typeface="Arial"/>
              <a:cs typeface="Arial"/>
            </a:rPr>
            <a:pPr/>
            <a:t>Entre 2013 e 2023:
Micro e Pequenos estabelecimentos representam cerca de 97% das estruturas;
Micro estabelecimentos (1-9 pessoas): entre 81,3% (2023) e 85,3% (2013) ;
Pequenos estabelecimentos (10 - 49 pessoas): entre 12,1% (2013) e 15,3% (2023).</a:t>
          </a:fld>
          <a:endParaRPr lang="pt-PT" sz="1100"/>
        </a:p>
      </xdr:txBody>
    </xdr:sp>
    <xdr:clientData/>
  </xdr:twoCellAnchor>
  <xdr:twoCellAnchor>
    <xdr:from>
      <xdr:col>46</xdr:col>
      <xdr:colOff>527050</xdr:colOff>
      <xdr:row>8</xdr:row>
      <xdr:rowOff>69850</xdr:rowOff>
    </xdr:from>
    <xdr:to>
      <xdr:col>54</xdr:col>
      <xdr:colOff>160482</xdr:colOff>
      <xdr:row>28</xdr:row>
      <xdr:rowOff>49068</xdr:rowOff>
    </xdr:to>
    <xdr:grpSp>
      <xdr:nvGrpSpPr>
        <xdr:cNvPr id="43" name="Agrupar 42">
          <a:extLst>
            <a:ext uri="{FF2B5EF4-FFF2-40B4-BE49-F238E27FC236}">
              <a16:creationId xmlns:a16="http://schemas.microsoft.com/office/drawing/2014/main" id="{00000000-0008-0000-0F00-00002B000000}"/>
            </a:ext>
          </a:extLst>
        </xdr:cNvPr>
        <xdr:cNvGrpSpPr/>
      </xdr:nvGrpSpPr>
      <xdr:grpSpPr>
        <a:xfrm>
          <a:off x="31689675" y="1371600"/>
          <a:ext cx="4832495" cy="3154218"/>
          <a:chOff x="36040924" y="8426450"/>
          <a:chExt cx="4819650" cy="2597244"/>
        </a:xfrm>
      </xdr:grpSpPr>
      <xdr:graphicFrame macro="">
        <xdr:nvGraphicFramePr>
          <xdr:cNvPr id="44" name="Gráfico 43">
            <a:extLst>
              <a:ext uri="{FF2B5EF4-FFF2-40B4-BE49-F238E27FC236}">
                <a16:creationId xmlns:a16="http://schemas.microsoft.com/office/drawing/2014/main" id="{00000000-0008-0000-0F00-00002C000000}"/>
              </a:ext>
            </a:extLst>
          </xdr:cNvPr>
          <xdr:cNvGraphicFramePr>
            <a:graphicFrameLocks/>
          </xdr:cNvGraphicFramePr>
        </xdr:nvGraphicFramePr>
        <xdr:xfrm>
          <a:off x="36040924"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5" name="CaixaDeTexto 44">
            <a:extLst>
              <a:ext uri="{FF2B5EF4-FFF2-40B4-BE49-F238E27FC236}">
                <a16:creationId xmlns:a16="http://schemas.microsoft.com/office/drawing/2014/main" id="{00000000-0008-0000-0F00-00002D000000}"/>
              </a:ext>
            </a:extLst>
          </xdr:cNvPr>
          <xdr:cNvSpPr txBox="1"/>
        </xdr:nvSpPr>
        <xdr:spPr>
          <a:xfrm>
            <a:off x="39425587" y="9090837"/>
            <a:ext cx="97637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Empresas</a:t>
            </a:r>
          </a:p>
        </xdr:txBody>
      </xdr:sp>
      <xdr:sp macro="" textlink="">
        <xdr:nvSpPr>
          <xdr:cNvPr id="46" name="CaixaDeTexto 45">
            <a:extLst>
              <a:ext uri="{FF2B5EF4-FFF2-40B4-BE49-F238E27FC236}">
                <a16:creationId xmlns:a16="http://schemas.microsoft.com/office/drawing/2014/main" id="{00000000-0008-0000-0F00-00002E000000}"/>
              </a:ext>
            </a:extLst>
          </xdr:cNvPr>
          <xdr:cNvSpPr txBox="1"/>
        </xdr:nvSpPr>
        <xdr:spPr>
          <a:xfrm>
            <a:off x="39437830" y="9814607"/>
            <a:ext cx="97454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Estabelecimentos</a:t>
            </a:r>
          </a:p>
        </xdr:txBody>
      </xdr:sp>
      <xdr:sp macro="" textlink="q1_q2_q5_q6_Fig!$BH$5">
        <xdr:nvSpPr>
          <xdr:cNvPr id="47" name="CaixaDeTexto 46">
            <a:extLst>
              <a:ext uri="{FF2B5EF4-FFF2-40B4-BE49-F238E27FC236}">
                <a16:creationId xmlns:a16="http://schemas.microsoft.com/office/drawing/2014/main" id="{00000000-0008-0000-0F00-00002F000000}"/>
              </a:ext>
            </a:extLst>
          </xdr:cNvPr>
          <xdr:cNvSpPr txBox="1"/>
        </xdr:nvSpPr>
        <xdr:spPr>
          <a:xfrm>
            <a:off x="39438920" y="10117573"/>
            <a:ext cx="976378" cy="2592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B3BF183-0A7B-4E9A-9519-4413FAA583EA}" type="TxLink">
              <a:rPr lang="en-US" sz="1000" b="1" i="0" u="none" strike="noStrike">
                <a:solidFill>
                  <a:schemeClr val="bg1"/>
                </a:solidFill>
                <a:latin typeface="Arial"/>
                <a:ea typeface="+mn-ea"/>
                <a:cs typeface="Arial"/>
              </a:rPr>
              <a:pPr marL="0" indent="0" algn="ctr"/>
              <a:t>8,0%</a:t>
            </a:fld>
            <a:endParaRPr lang="pt-PT" sz="1000" b="1" i="0" u="none" strike="noStrike">
              <a:solidFill>
                <a:schemeClr val="bg1"/>
              </a:solidFill>
              <a:latin typeface="+mn-lt"/>
              <a:ea typeface="+mn-ea"/>
              <a:cs typeface="Arial"/>
            </a:endParaRPr>
          </a:p>
        </xdr:txBody>
      </xdr:sp>
      <xdr:sp macro="" textlink="q1_q2_q5_q6_Fig!$BH$4">
        <xdr:nvSpPr>
          <xdr:cNvPr id="48" name="CaixaDeTexto 47">
            <a:extLst>
              <a:ext uri="{FF2B5EF4-FFF2-40B4-BE49-F238E27FC236}">
                <a16:creationId xmlns:a16="http://schemas.microsoft.com/office/drawing/2014/main" id="{00000000-0008-0000-0F00-000030000000}"/>
              </a:ext>
            </a:extLst>
          </xdr:cNvPr>
          <xdr:cNvSpPr txBox="1"/>
        </xdr:nvSpPr>
        <xdr:spPr>
          <a:xfrm>
            <a:off x="39428763" y="9383789"/>
            <a:ext cx="976378" cy="2592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9C7EAD2-6A40-48E9-B770-012A6C6E2AEE}" type="TxLink">
              <a:rPr lang="en-US" sz="1000" b="1" i="0" u="none" strike="noStrike">
                <a:solidFill>
                  <a:schemeClr val="bg1"/>
                </a:solidFill>
                <a:latin typeface="Arial"/>
                <a:cs typeface="Arial"/>
              </a:rPr>
              <a:pPr algn="ctr"/>
              <a:t>9,6%</a:t>
            </a:fld>
            <a:endParaRPr lang="pt-PT" sz="1000" b="1">
              <a:solidFill>
                <a:schemeClr val="bg1"/>
              </a:solidFill>
              <a:latin typeface="+mn-lt"/>
            </a:endParaRPr>
          </a:p>
        </xdr:txBody>
      </xdr:sp>
    </xdr:grpSp>
    <xdr:clientData/>
  </xdr:twoCellAnchor>
  <xdr:twoCellAnchor>
    <xdr:from>
      <xdr:col>55</xdr:col>
      <xdr:colOff>123825</xdr:colOff>
      <xdr:row>8</xdr:row>
      <xdr:rowOff>123825</xdr:rowOff>
    </xdr:from>
    <xdr:to>
      <xdr:col>59</xdr:col>
      <xdr:colOff>1071825</xdr:colOff>
      <xdr:row>13</xdr:row>
      <xdr:rowOff>70200</xdr:rowOff>
    </xdr:to>
    <xdr:sp macro="" textlink="">
      <xdr:nvSpPr>
        <xdr:cNvPr id="13" name="CaixaDeTexto 12">
          <a:extLst>
            <a:ext uri="{FF2B5EF4-FFF2-40B4-BE49-F238E27FC236}">
              <a16:creationId xmlns:a16="http://schemas.microsoft.com/office/drawing/2014/main" id="{00000000-0008-0000-0F00-00000D000000}"/>
            </a:ext>
          </a:extLst>
        </xdr:cNvPr>
        <xdr:cNvSpPr txBox="1"/>
      </xdr:nvSpPr>
      <xdr:spPr>
        <a:xfrm>
          <a:off x="37023675" y="1438275"/>
          <a:ext cx="3996000" cy="756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900" b="1" u="sng" baseline="0">
              <a:solidFill>
                <a:schemeClr val="dk1"/>
              </a:solidFill>
              <a:effectLst/>
              <a:latin typeface="+mn-lt"/>
              <a:ea typeface="+mn-ea"/>
              <a:cs typeface="+mn-cs"/>
            </a:rPr>
            <a:t>2023:</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2023 vs. 2022</a:t>
          </a:r>
          <a:r>
            <a:rPr lang="en-US" sz="900" b="1" baseline="0">
              <a:solidFill>
                <a:schemeClr val="dk1"/>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291.252 empresas                                         + 6.392 empresas (+2,2%)</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340.364 estabelecimentos                           + 7.681 stabelecimentos (+2,3%)</a:t>
          </a: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32.xml><?xml version="1.0" encoding="utf-8"?>
<c:userShapes xmlns:c="http://schemas.openxmlformats.org/drawingml/2006/chart">
  <cdr:relSizeAnchor xmlns:cdr="http://schemas.openxmlformats.org/drawingml/2006/chartDrawing">
    <cdr:from>
      <cdr:x>0.08648</cdr:x>
      <cdr:y>0.01534</cdr:y>
    </cdr:from>
    <cdr:to>
      <cdr:x>0.19105</cdr:x>
      <cdr:y>0.1325</cdr:y>
    </cdr:to>
    <cdr:sp macro="" textlink="q1_q2_q5_q6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508722" y="-57031"/>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DEA8732-2F74-4FCD-AD99-D92AD00210C4}"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0.52082</cdr:x>
      <cdr:y>0.0087</cdr:y>
    </cdr:from>
    <cdr:to>
      <cdr:x>0.62539</cdr:x>
      <cdr:y>0.12586</cdr:y>
    </cdr:to>
    <cdr:sp macro="" textlink="q1_q2_q5_q6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77282" y="-74277"/>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AA1C4EE-35A4-4000-BF47-321A1083B619}"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0.70592</cdr:x>
      <cdr:y>0.02061</cdr:y>
    </cdr:from>
    <cdr:to>
      <cdr:x>0.89226</cdr:x>
      <cdr:y>0.13617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829867" y="-208723"/>
          <a:ext cx="383567" cy="937812"/>
        </a:xfrm>
        <a:prstGeom xmlns:a="http://schemas.openxmlformats.org/drawingml/2006/main" prst="homePlate">
          <a:avLst>
            <a:gd name="adj" fmla="val 50000"/>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219075</xdr:colOff>
          <xdr:row>2</xdr:row>
          <xdr:rowOff>0</xdr:rowOff>
        </xdr:from>
        <xdr:to>
          <xdr:col>17</xdr:col>
          <xdr:colOff>1466850</xdr:colOff>
          <xdr:row>3</xdr:row>
          <xdr:rowOff>28575</xdr:rowOff>
        </xdr:to>
        <xdr:sp macro="" textlink="">
          <xdr:nvSpPr>
            <xdr:cNvPr id="94209" name="Drop Down 1" hidden="1">
              <a:extLst>
                <a:ext uri="{63B3BB69-23CF-44E3-9099-C40C66FF867C}">
                  <a14:compatExt spid="_x0000_s94209"/>
                </a:ext>
                <a:ext uri="{FF2B5EF4-FFF2-40B4-BE49-F238E27FC236}">
                  <a16:creationId xmlns:a16="http://schemas.microsoft.com/office/drawing/2014/main" id="{00000000-0008-0000-1000-000001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215900</xdr:colOff>
      <xdr:row>3</xdr:row>
      <xdr:rowOff>120650</xdr:rowOff>
    </xdr:from>
    <xdr:to>
      <xdr:col>37</xdr:col>
      <xdr:colOff>191152</xdr:colOff>
      <xdr:row>24</xdr:row>
      <xdr:rowOff>28159</xdr:rowOff>
    </xdr:to>
    <xdr:graphicFrame macro="">
      <xdr:nvGraphicFramePr>
        <xdr:cNvPr id="42" name="Gráfico 41">
          <a:extLst>
            <a:ext uri="{FF2B5EF4-FFF2-40B4-BE49-F238E27FC236}">
              <a16:creationId xmlns:a16="http://schemas.microsoft.com/office/drawing/2014/main" id="{00000000-0008-0000-1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228600</xdr:colOff>
      <xdr:row>26</xdr:row>
      <xdr:rowOff>127000</xdr:rowOff>
    </xdr:from>
    <xdr:to>
      <xdr:col>37</xdr:col>
      <xdr:colOff>74436</xdr:colOff>
      <xdr:row>46</xdr:row>
      <xdr:rowOff>12136</xdr:rowOff>
    </xdr:to>
    <xdr:graphicFrame macro="">
      <xdr:nvGraphicFramePr>
        <xdr:cNvPr id="43" name="Gráfico 42">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0</xdr:colOff>
      <xdr:row>7</xdr:row>
      <xdr:rowOff>0</xdr:rowOff>
    </xdr:from>
    <xdr:to>
      <xdr:col>53</xdr:col>
      <xdr:colOff>669955</xdr:colOff>
      <xdr:row>26</xdr:row>
      <xdr:rowOff>141936</xdr:rowOff>
    </xdr:to>
    <xdr:grpSp>
      <xdr:nvGrpSpPr>
        <xdr:cNvPr id="44" name="Agrupar 43">
          <a:extLst>
            <a:ext uri="{FF2B5EF4-FFF2-40B4-BE49-F238E27FC236}">
              <a16:creationId xmlns:a16="http://schemas.microsoft.com/office/drawing/2014/main" id="{00000000-0008-0000-1000-00002C000000}"/>
            </a:ext>
          </a:extLst>
        </xdr:cNvPr>
        <xdr:cNvGrpSpPr/>
      </xdr:nvGrpSpPr>
      <xdr:grpSpPr>
        <a:xfrm>
          <a:off x="30613350" y="1152525"/>
          <a:ext cx="4870480" cy="3218511"/>
          <a:chOff x="36182300" y="8426450"/>
          <a:chExt cx="4819650" cy="2597244"/>
        </a:xfrm>
      </xdr:grpSpPr>
      <xdr:graphicFrame macro="">
        <xdr:nvGraphicFramePr>
          <xdr:cNvPr id="45" name="Gráfico 44">
            <a:extLst>
              <a:ext uri="{FF2B5EF4-FFF2-40B4-BE49-F238E27FC236}">
                <a16:creationId xmlns:a16="http://schemas.microsoft.com/office/drawing/2014/main" id="{00000000-0008-0000-1000-00002D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6" name="CaixaDeTexto 45">
            <a:extLst>
              <a:ext uri="{FF2B5EF4-FFF2-40B4-BE49-F238E27FC236}">
                <a16:creationId xmlns:a16="http://schemas.microsoft.com/office/drawing/2014/main" id="{00000000-0008-0000-1000-00002E000000}"/>
              </a:ext>
            </a:extLst>
          </xdr:cNvPr>
          <xdr:cNvSpPr txBox="1"/>
        </xdr:nvSpPr>
        <xdr:spPr>
          <a:xfrm>
            <a:off x="39514016" y="908596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Pessoas ao serviço</a:t>
            </a:r>
          </a:p>
        </xdr:txBody>
      </xdr:sp>
      <xdr:sp macro="" textlink="">
        <xdr:nvSpPr>
          <xdr:cNvPr id="47" name="CaixaDeTexto 46">
            <a:extLst>
              <a:ext uri="{FF2B5EF4-FFF2-40B4-BE49-F238E27FC236}">
                <a16:creationId xmlns:a16="http://schemas.microsoft.com/office/drawing/2014/main" id="{00000000-0008-0000-1000-00002F000000}"/>
              </a:ext>
            </a:extLst>
          </xdr:cNvPr>
          <xdr:cNvSpPr txBox="1"/>
        </xdr:nvSpPr>
        <xdr:spPr>
          <a:xfrm>
            <a:off x="39530506" y="988677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TCO</a:t>
            </a:r>
          </a:p>
        </xdr:txBody>
      </xdr:sp>
      <xdr:sp macro="" textlink="q11_q13_q15_q17_Fig!$BH$5">
        <xdr:nvSpPr>
          <xdr:cNvPr id="48" name="CaixaDeTexto 47">
            <a:extLst>
              <a:ext uri="{FF2B5EF4-FFF2-40B4-BE49-F238E27FC236}">
                <a16:creationId xmlns:a16="http://schemas.microsoft.com/office/drawing/2014/main" id="{00000000-0008-0000-1000-000030000000}"/>
              </a:ext>
            </a:extLst>
          </xdr:cNvPr>
          <xdr:cNvSpPr txBox="1"/>
        </xdr:nvSpPr>
        <xdr:spPr>
          <a:xfrm>
            <a:off x="39525173" y="10159489"/>
            <a:ext cx="977045" cy="2576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CB4B404-2108-4C4D-A04B-A6D5F7F0544E}" type="TxLink">
              <a:rPr lang="en-US" sz="1000" b="1" i="0" u="none" strike="noStrike">
                <a:solidFill>
                  <a:schemeClr val="bg1"/>
                </a:solidFill>
                <a:latin typeface="Arial"/>
                <a:ea typeface="+mn-ea"/>
                <a:cs typeface="Arial"/>
              </a:rPr>
              <a:pPr marL="0" indent="0" algn="ctr"/>
              <a:t>38,3%</a:t>
            </a:fld>
            <a:endParaRPr lang="pt-PT" sz="1000" b="1" i="0" u="none" strike="noStrike">
              <a:solidFill>
                <a:schemeClr val="bg1"/>
              </a:solidFill>
              <a:latin typeface="+mn-lt"/>
              <a:ea typeface="+mn-ea"/>
              <a:cs typeface="Arial"/>
            </a:endParaRPr>
          </a:p>
        </xdr:txBody>
      </xdr:sp>
      <xdr:sp macro="" textlink="q11_q13_q15_q17_Fig!$BH$4">
        <xdr:nvSpPr>
          <xdr:cNvPr id="49" name="CaixaDeTexto 48">
            <a:extLst>
              <a:ext uri="{FF2B5EF4-FFF2-40B4-BE49-F238E27FC236}">
                <a16:creationId xmlns:a16="http://schemas.microsoft.com/office/drawing/2014/main" id="{00000000-0008-0000-1000-000031000000}"/>
              </a:ext>
            </a:extLst>
          </xdr:cNvPr>
          <xdr:cNvSpPr txBox="1"/>
        </xdr:nvSpPr>
        <xdr:spPr>
          <a:xfrm>
            <a:off x="39527026" y="9368566"/>
            <a:ext cx="977045" cy="2576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4234B1-07DF-4947-B48B-976B47D35BDC}" type="TxLink">
              <a:rPr lang="en-US" sz="1000" b="1" i="0" u="none" strike="noStrike">
                <a:solidFill>
                  <a:schemeClr val="bg1"/>
                </a:solidFill>
                <a:latin typeface="Arial"/>
                <a:cs typeface="Arial"/>
              </a:rPr>
              <a:pPr algn="ctr"/>
              <a:t>36,5%</a:t>
            </a:fld>
            <a:endParaRPr lang="pt-PT" sz="1000" b="1">
              <a:solidFill>
                <a:schemeClr val="bg1"/>
              </a:solidFill>
              <a:latin typeface="+mn-lt"/>
            </a:endParaRPr>
          </a:p>
        </xdr:txBody>
      </xdr:sp>
    </xdr:grpSp>
    <xdr:clientData/>
  </xdr:twoCellAnchor>
  <xdr:twoCellAnchor>
    <xdr:from>
      <xdr:col>7</xdr:col>
      <xdr:colOff>381000</xdr:colOff>
      <xdr:row>56</xdr:row>
      <xdr:rowOff>9525</xdr:rowOff>
    </xdr:from>
    <xdr:to>
      <xdr:col>16</xdr:col>
      <xdr:colOff>250826</xdr:colOff>
      <xdr:row>61</xdr:row>
      <xdr:rowOff>104775</xdr:rowOff>
    </xdr:to>
    <xdr:sp macro="" textlink="$R$62">
      <xdr:nvSpPr>
        <xdr:cNvPr id="11" name="CaixaDeTexto 10">
          <a:extLst>
            <a:ext uri="{FF2B5EF4-FFF2-40B4-BE49-F238E27FC236}">
              <a16:creationId xmlns:a16="http://schemas.microsoft.com/office/drawing/2014/main" id="{00000000-0008-0000-1000-00000B000000}"/>
            </a:ext>
          </a:extLst>
        </xdr:cNvPr>
        <xdr:cNvSpPr txBox="1"/>
      </xdr:nvSpPr>
      <xdr:spPr>
        <a:xfrm>
          <a:off x="6162675" y="9096375"/>
          <a:ext cx="5356226"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DB323B0-1B39-49DC-90EE-0A64740C439A}" type="TxLink">
            <a:rPr lang="en-US" sz="1000" b="0" i="0" u="none" strike="noStrike">
              <a:solidFill>
                <a:srgbClr val="000000"/>
              </a:solidFill>
              <a:latin typeface="Arial"/>
              <a:cs typeface="Arial"/>
            </a:rPr>
            <a:pPr/>
            <a:t>3 CAE com mais pessoas:
2013: C - Ind. transf. (22,2%); G - Com. por grosso e ret. (…) (19,6%); N - Ativ. Admin. e dos serv. apoio (9,0%).
2023: C - Ind. transf. (19,4%); G - Com. por grosso e ret. (…) (17,9%); N - Ativ. Admin. e dos serv. apoio (9,4%).</a:t>
          </a:fld>
          <a:endParaRPr lang="pt-PT" sz="1100"/>
        </a:p>
      </xdr:txBody>
    </xdr:sp>
    <xdr:clientData/>
  </xdr:twoCellAnchor>
  <xdr:twoCellAnchor>
    <xdr:from>
      <xdr:col>17</xdr:col>
      <xdr:colOff>76200</xdr:colOff>
      <xdr:row>112</xdr:row>
      <xdr:rowOff>38100</xdr:rowOff>
    </xdr:from>
    <xdr:to>
      <xdr:col>21</xdr:col>
      <xdr:colOff>381000</xdr:colOff>
      <xdr:row>119</xdr:row>
      <xdr:rowOff>133350</xdr:rowOff>
    </xdr:to>
    <xdr:sp macro="" textlink="$R$110">
      <xdr:nvSpPr>
        <xdr:cNvPr id="13" name="CaixaDeTexto 12">
          <a:extLst>
            <a:ext uri="{FF2B5EF4-FFF2-40B4-BE49-F238E27FC236}">
              <a16:creationId xmlns:a16="http://schemas.microsoft.com/office/drawing/2014/main" id="{00000000-0008-0000-1000-00000D000000}"/>
            </a:ext>
          </a:extLst>
        </xdr:cNvPr>
        <xdr:cNvSpPr txBox="1"/>
      </xdr:nvSpPr>
      <xdr:spPr>
        <a:xfrm>
          <a:off x="11953875" y="18230850"/>
          <a:ext cx="380047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AA16B81-83A1-4D69-8BE8-8702F2EDF9AF}" type="TxLink">
            <a:rPr lang="en-US" sz="1000" b="0" i="0" u="none" strike="noStrike">
              <a:solidFill>
                <a:srgbClr val="000000"/>
              </a:solidFill>
              <a:latin typeface="Arial"/>
              <a:cs typeface="Arial"/>
            </a:rPr>
            <a:pPr/>
            <a:t>Entre 2013 e 2023:
Micro e Pequenos estabelecimentos têm ao serviço mais de 55% das pessoas (entre 55,9% em 2023, e 61,1% em 2013)
Micro estabelecimentos: entre 25,6% (2023) e 31,6% (2013).
Pequenos estabelecimentos: entre 29,5% (2013) e 30,3% (2023).</a:t>
          </a:fld>
          <a:endParaRPr lang="pt-PT" sz="1100"/>
        </a:p>
      </xdr:txBody>
    </xdr:sp>
    <xdr:clientData/>
  </xdr:twoCellAnchor>
  <xdr:twoCellAnchor>
    <xdr:from>
      <xdr:col>55</xdr:col>
      <xdr:colOff>171450</xdr:colOff>
      <xdr:row>8</xdr:row>
      <xdr:rowOff>114300</xdr:rowOff>
    </xdr:from>
    <xdr:to>
      <xdr:col>59</xdr:col>
      <xdr:colOff>1119450</xdr:colOff>
      <xdr:row>13</xdr:row>
      <xdr:rowOff>60675</xdr:rowOff>
    </xdr:to>
    <xdr:sp macro="" textlink="">
      <xdr:nvSpPr>
        <xdr:cNvPr id="14" name="CaixaDeTexto 13">
          <a:extLst>
            <a:ext uri="{FF2B5EF4-FFF2-40B4-BE49-F238E27FC236}">
              <a16:creationId xmlns:a16="http://schemas.microsoft.com/office/drawing/2014/main" id="{00000000-0008-0000-1000-00000E000000}"/>
            </a:ext>
          </a:extLst>
        </xdr:cNvPr>
        <xdr:cNvSpPr txBox="1"/>
      </xdr:nvSpPr>
      <xdr:spPr>
        <a:xfrm>
          <a:off x="36661725" y="1428750"/>
          <a:ext cx="3996000" cy="756000"/>
        </a:xfrm>
        <a:prstGeom prst="rect">
          <a:avLst/>
        </a:prstGeom>
        <a:noFill/>
        <a:ln w="28575" cmpd="sng">
          <a:solidFill>
            <a:srgbClr val="4F81BD"/>
          </a:solidFill>
        </a:ln>
        <a:effectLst/>
      </xdr:spPr>
      <xdr:txBody>
        <a:bodyPr vertOverflow="clip" horzOverflow="clip" wrap="square" rtlCol="0" anchor="ctr"/>
        <a:lstStyle/>
        <a:p>
          <a:pPr eaLnBrk="1" fontAlgn="auto" latinLnBrk="0" hangingPunct="1"/>
          <a:r>
            <a:rPr lang="en-US" sz="900" b="1" u="sng" baseline="0">
              <a:effectLst/>
              <a:latin typeface="+mn-lt"/>
              <a:ea typeface="+mn-ea"/>
              <a:cs typeface="+mn-cs"/>
            </a:rPr>
            <a:t>2023:</a:t>
          </a:r>
          <a:r>
            <a:rPr lang="en-US" sz="900" b="1" baseline="0">
              <a:effectLst/>
              <a:latin typeface="+mn-lt"/>
              <a:ea typeface="+mn-ea"/>
              <a:cs typeface="+mn-cs"/>
            </a:rPr>
            <a:t>                                                           </a:t>
          </a:r>
          <a:r>
            <a:rPr lang="en-US" sz="900" b="1" u="sng" baseline="0">
              <a:effectLst/>
              <a:latin typeface="+mn-lt"/>
              <a:ea typeface="+mn-ea"/>
              <a:cs typeface="+mn-cs"/>
            </a:rPr>
            <a:t>2023 vs. 2022</a:t>
          </a:r>
          <a:r>
            <a:rPr lang="en-US" sz="900" b="1" baseline="0">
              <a:effectLst/>
              <a:latin typeface="+mn-lt"/>
              <a:ea typeface="+mn-ea"/>
              <a:cs typeface="+mn-cs"/>
            </a:rPr>
            <a:t>: </a:t>
          </a:r>
        </a:p>
        <a:p>
          <a:pPr eaLnBrk="1" fontAlgn="auto" latinLnBrk="0" hangingPunct="1"/>
          <a:r>
            <a:rPr lang="en-US" sz="900" b="0" baseline="0">
              <a:effectLst/>
              <a:latin typeface="+mn-lt"/>
              <a:ea typeface="+mn-ea"/>
              <a:cs typeface="+mn-cs"/>
            </a:rPr>
            <a:t>3.489.583 pessoas ao serviço               + 152.501 pessoas ao serviço (+ 4,6%)</a:t>
          </a:r>
        </a:p>
        <a:p>
          <a:pPr eaLnBrk="1" fontAlgn="auto" latinLnBrk="0" hangingPunct="1"/>
          <a:r>
            <a:rPr lang="en-US" sz="900" b="0" baseline="0">
              <a:effectLst/>
              <a:latin typeface="+mn-lt"/>
              <a:ea typeface="+mn-ea"/>
              <a:cs typeface="+mn-cs"/>
            </a:rPr>
            <a:t>3.296.134 TCO                                         + 147.987 TCO (+ 4,7%)</a:t>
          </a: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35.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11_q13_q15_q17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487530D-C469-42D2-99C8-D867D33B0AA9}"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11_q13_q15_q17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6A548F-78B3-4D72-ADF3-CECE132ACC1D}"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0.69647</cdr:x>
      <cdr:y>0.01779</cdr:y>
    </cdr:from>
    <cdr:to>
      <cdr:x>0.89688</cdr:x>
      <cdr:y>0.1661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478637" y="-167683"/>
          <a:ext cx="484400" cy="9360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64</xdr:col>
          <xdr:colOff>47625</xdr:colOff>
          <xdr:row>14</xdr:row>
          <xdr:rowOff>133350</xdr:rowOff>
        </xdr:from>
        <xdr:to>
          <xdr:col>65</xdr:col>
          <xdr:colOff>85725</xdr:colOff>
          <xdr:row>16</xdr:row>
          <xdr:rowOff>9525</xdr:rowOff>
        </xdr:to>
        <xdr:sp macro="" textlink="">
          <xdr:nvSpPr>
            <xdr:cNvPr id="95234" name="Drop Down 2" hidden="1">
              <a:extLst>
                <a:ext uri="{63B3BB69-23CF-44E3-9099-C40C66FF867C}">
                  <a14:compatExt spid="_x0000_s95234"/>
                </a:ext>
                <a:ext uri="{FF2B5EF4-FFF2-40B4-BE49-F238E27FC236}">
                  <a16:creationId xmlns:a16="http://schemas.microsoft.com/office/drawing/2014/main" id="{00000000-0008-0000-1100-000002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63</xdr:col>
      <xdr:colOff>438149</xdr:colOff>
      <xdr:row>31</xdr:row>
      <xdr:rowOff>38100</xdr:rowOff>
    </xdr:from>
    <xdr:to>
      <xdr:col>68</xdr:col>
      <xdr:colOff>570555</xdr:colOff>
      <xdr:row>55</xdr:row>
      <xdr:rowOff>57150</xdr:rowOff>
    </xdr:to>
    <xdr:grpSp>
      <xdr:nvGrpSpPr>
        <xdr:cNvPr id="23" name="Agrupar 22">
          <a:extLst>
            <a:ext uri="{FF2B5EF4-FFF2-40B4-BE49-F238E27FC236}">
              <a16:creationId xmlns:a16="http://schemas.microsoft.com/office/drawing/2014/main" id="{00000000-0008-0000-1100-000017000000}"/>
            </a:ext>
          </a:extLst>
        </xdr:cNvPr>
        <xdr:cNvGrpSpPr/>
      </xdr:nvGrpSpPr>
      <xdr:grpSpPr>
        <a:xfrm>
          <a:off x="45324712" y="5185263"/>
          <a:ext cx="3200555" cy="3975589"/>
          <a:chOff x="45205649" y="5095875"/>
          <a:chExt cx="3180406" cy="3905250"/>
        </a:xfrm>
      </xdr:grpSpPr>
      <xdr:graphicFrame macro="">
        <xdr:nvGraphicFramePr>
          <xdr:cNvPr id="52" name="Gráfico 51">
            <a:extLst>
              <a:ext uri="{FF2B5EF4-FFF2-40B4-BE49-F238E27FC236}">
                <a16:creationId xmlns:a16="http://schemas.microsoft.com/office/drawing/2014/main" id="{00000000-0008-0000-1100-000034000000}"/>
              </a:ext>
            </a:extLst>
          </xdr:cNvPr>
          <xdr:cNvGraphicFramePr>
            <a:graphicFrameLocks/>
          </xdr:cNvGraphicFramePr>
        </xdr:nvGraphicFramePr>
        <xdr:xfrm>
          <a:off x="45205649" y="5095875"/>
          <a:ext cx="3000375" cy="3905250"/>
        </xdr:xfrm>
        <a:graphic>
          <a:graphicData uri="http://schemas.openxmlformats.org/drawingml/2006/chart">
            <c:chart xmlns:c="http://schemas.openxmlformats.org/drawingml/2006/chart" xmlns:r="http://schemas.openxmlformats.org/officeDocument/2006/relationships" r:id="rId1"/>
          </a:graphicData>
        </a:graphic>
      </xdr:graphicFrame>
      <xdr:sp macro="" textlink="q22_q23_q33_q34_Fig!$BM$26">
        <xdr:nvSpPr>
          <xdr:cNvPr id="44" name="CaixaDeTexto 43">
            <a:extLst>
              <a:ext uri="{FF2B5EF4-FFF2-40B4-BE49-F238E27FC236}">
                <a16:creationId xmlns:a16="http://schemas.microsoft.com/office/drawing/2014/main" id="{00000000-0008-0000-1100-00002C000000}"/>
              </a:ext>
            </a:extLst>
          </xdr:cNvPr>
          <xdr:cNvSpPr txBox="1"/>
        </xdr:nvSpPr>
        <xdr:spPr>
          <a:xfrm>
            <a:off x="46221036" y="5549537"/>
            <a:ext cx="739364" cy="152383"/>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3A07DF7-A319-4AD1-8FA7-89FB3A2E76C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1.294,03 €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3_q34_Fig!$BN$26">
        <xdr:nvSpPr>
          <xdr:cNvPr id="45" name="CaixaDeTexto 44">
            <a:extLst>
              <a:ext uri="{FF2B5EF4-FFF2-40B4-BE49-F238E27FC236}">
                <a16:creationId xmlns:a16="http://schemas.microsoft.com/office/drawing/2014/main" id="{00000000-0008-0000-1100-00002D000000}"/>
              </a:ext>
            </a:extLst>
          </xdr:cNvPr>
          <xdr:cNvSpPr txBox="1"/>
        </xdr:nvSpPr>
        <xdr:spPr>
          <a:xfrm>
            <a:off x="46221036" y="5742952"/>
            <a:ext cx="739364" cy="152383"/>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4CFA93-6BFE-4609-8D66-884C4CF692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3_q34_Fig!$BO$25">
        <xdr:nvSpPr>
          <xdr:cNvPr id="46" name="CaixaDeTexto 45">
            <a:extLst>
              <a:ext uri="{FF2B5EF4-FFF2-40B4-BE49-F238E27FC236}">
                <a16:creationId xmlns:a16="http://schemas.microsoft.com/office/drawing/2014/main" id="{00000000-0008-0000-1100-00002E000000}"/>
              </a:ext>
            </a:extLst>
          </xdr:cNvPr>
          <xdr:cNvSpPr txBox="1"/>
        </xdr:nvSpPr>
        <xdr:spPr>
          <a:xfrm>
            <a:off x="47646691" y="5534412"/>
            <a:ext cx="739364" cy="152383"/>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76025AA-CC5A-4A5C-B7FE-866B0947C87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1.129,64 €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3_q34_Fig!$BP$25">
        <xdr:nvSpPr>
          <xdr:cNvPr id="47" name="CaixaDeTexto 46">
            <a:extLst>
              <a:ext uri="{FF2B5EF4-FFF2-40B4-BE49-F238E27FC236}">
                <a16:creationId xmlns:a16="http://schemas.microsoft.com/office/drawing/2014/main" id="{00000000-0008-0000-1100-00002F000000}"/>
              </a:ext>
            </a:extLst>
          </xdr:cNvPr>
          <xdr:cNvSpPr txBox="1"/>
        </xdr:nvSpPr>
        <xdr:spPr>
          <a:xfrm>
            <a:off x="47646691" y="5727827"/>
            <a:ext cx="739364" cy="152383"/>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D5C8ABA-A640-4197-8539-34E9824DD12E}"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1.332,02 €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clientData/>
  </xdr:twoCellAnchor>
  <xdr:twoCellAnchor>
    <xdr:from>
      <xdr:col>46</xdr:col>
      <xdr:colOff>450850</xdr:colOff>
      <xdr:row>8</xdr:row>
      <xdr:rowOff>25400</xdr:rowOff>
    </xdr:from>
    <xdr:to>
      <xdr:col>52</xdr:col>
      <xdr:colOff>300567</xdr:colOff>
      <xdr:row>22</xdr:row>
      <xdr:rowOff>2211</xdr:rowOff>
    </xdr:to>
    <xdr:grpSp>
      <xdr:nvGrpSpPr>
        <xdr:cNvPr id="43" name="Agrupar 42">
          <a:extLst>
            <a:ext uri="{FF2B5EF4-FFF2-40B4-BE49-F238E27FC236}">
              <a16:creationId xmlns:a16="http://schemas.microsoft.com/office/drawing/2014/main" id="{00000000-0008-0000-1100-00002B000000}"/>
            </a:ext>
          </a:extLst>
        </xdr:cNvPr>
        <xdr:cNvGrpSpPr/>
      </xdr:nvGrpSpPr>
      <xdr:grpSpPr>
        <a:xfrm>
          <a:off x="32405393" y="1371722"/>
          <a:ext cx="4190919" cy="2293951"/>
          <a:chOff x="36182300" y="8426450"/>
          <a:chExt cx="4819650" cy="2597244"/>
        </a:xfrm>
      </xdr:grpSpPr>
      <xdr:graphicFrame macro="">
        <xdr:nvGraphicFramePr>
          <xdr:cNvPr id="48" name="Gráfico 47">
            <a:extLst>
              <a:ext uri="{FF2B5EF4-FFF2-40B4-BE49-F238E27FC236}">
                <a16:creationId xmlns:a16="http://schemas.microsoft.com/office/drawing/2014/main" id="{00000000-0008-0000-1100-000030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9" name="CaixaDeTexto 48">
            <a:extLst>
              <a:ext uri="{FF2B5EF4-FFF2-40B4-BE49-F238E27FC236}">
                <a16:creationId xmlns:a16="http://schemas.microsoft.com/office/drawing/2014/main" id="{00000000-0008-0000-1100-000031000000}"/>
              </a:ext>
            </a:extLst>
          </xdr:cNvPr>
          <xdr:cNvSpPr txBox="1"/>
        </xdr:nvSpPr>
        <xdr:spPr>
          <a:xfrm>
            <a:off x="39577074" y="911225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Base</a:t>
            </a:r>
          </a:p>
        </xdr:txBody>
      </xdr:sp>
      <xdr:sp macro="" textlink="">
        <xdr:nvSpPr>
          <xdr:cNvPr id="50" name="CaixaDeTexto 49">
            <a:extLst>
              <a:ext uri="{FF2B5EF4-FFF2-40B4-BE49-F238E27FC236}">
                <a16:creationId xmlns:a16="http://schemas.microsoft.com/office/drawing/2014/main" id="{00000000-0008-0000-1100-000032000000}"/>
              </a:ext>
            </a:extLst>
          </xdr:cNvPr>
          <xdr:cNvSpPr txBox="1"/>
        </xdr:nvSpPr>
        <xdr:spPr>
          <a:xfrm>
            <a:off x="39567950" y="995680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Ganho</a:t>
            </a:r>
          </a:p>
        </xdr:txBody>
      </xdr:sp>
      <xdr:sp macro="" textlink="q22_q23_q33_q34_Fig!$BH$5">
        <xdr:nvSpPr>
          <xdr:cNvPr id="51" name="CaixaDeTexto 50">
            <a:extLst>
              <a:ext uri="{FF2B5EF4-FFF2-40B4-BE49-F238E27FC236}">
                <a16:creationId xmlns:a16="http://schemas.microsoft.com/office/drawing/2014/main" id="{00000000-0008-0000-1100-000033000000}"/>
              </a:ext>
            </a:extLst>
          </xdr:cNvPr>
          <xdr:cNvSpPr txBox="1"/>
        </xdr:nvSpPr>
        <xdr:spPr>
          <a:xfrm>
            <a:off x="39561342" y="10299700"/>
            <a:ext cx="1013632" cy="3168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6E12D4-8965-44E4-A4D0-F1B6393578C1}" type="TxLink">
              <a:rPr lang="en-US" sz="1000" b="1" i="0" u="none" strike="noStrike">
                <a:solidFill>
                  <a:schemeClr val="bg1"/>
                </a:solidFill>
                <a:latin typeface="Arial"/>
                <a:ea typeface="+mn-ea"/>
                <a:cs typeface="Arial"/>
              </a:rPr>
              <a:pPr marL="0" indent="0" algn="ctr"/>
              <a:t>34,1%</a:t>
            </a:fld>
            <a:endParaRPr lang="pt-PT" sz="1000" b="1" i="0" u="none" strike="noStrike">
              <a:solidFill>
                <a:schemeClr val="bg1"/>
              </a:solidFill>
              <a:latin typeface="+mn-lt"/>
              <a:ea typeface="+mn-ea"/>
              <a:cs typeface="Arial"/>
            </a:endParaRPr>
          </a:p>
        </xdr:txBody>
      </xdr:sp>
      <xdr:sp macro="" textlink="q22_q23_q33_q34_Fig!$BH$4">
        <xdr:nvSpPr>
          <xdr:cNvPr id="53" name="CaixaDeTexto 52">
            <a:extLst>
              <a:ext uri="{FF2B5EF4-FFF2-40B4-BE49-F238E27FC236}">
                <a16:creationId xmlns:a16="http://schemas.microsoft.com/office/drawing/2014/main" id="{00000000-0008-0000-1100-000035000000}"/>
              </a:ext>
            </a:extLst>
          </xdr:cNvPr>
          <xdr:cNvSpPr txBox="1"/>
        </xdr:nvSpPr>
        <xdr:spPr>
          <a:xfrm>
            <a:off x="39574300" y="9455149"/>
            <a:ext cx="1013632" cy="3168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5434AC-5A8C-43C8-A5D7-B506D11131D2}" type="TxLink">
              <a:rPr lang="en-US" sz="1000" b="1" i="0" u="none" strike="noStrike">
                <a:solidFill>
                  <a:schemeClr val="bg1"/>
                </a:solidFill>
                <a:latin typeface="Arial"/>
                <a:cs typeface="Arial"/>
              </a:rPr>
              <a:pPr algn="ctr"/>
              <a:t>33,7%</a:t>
            </a:fld>
            <a:endParaRPr lang="pt-PT" sz="1000" b="1">
              <a:solidFill>
                <a:schemeClr val="bg1"/>
              </a:solidFill>
              <a:latin typeface="+mn-lt"/>
            </a:endParaRPr>
          </a:p>
        </xdr:txBody>
      </xdr:sp>
    </xdr:grpSp>
    <xdr:clientData/>
  </xdr:twoCellAnchor>
  <xdr:twoCellAnchor>
    <xdr:from>
      <xdr:col>53</xdr:col>
      <xdr:colOff>942975</xdr:colOff>
      <xdr:row>9</xdr:row>
      <xdr:rowOff>142875</xdr:rowOff>
    </xdr:from>
    <xdr:to>
      <xdr:col>58</xdr:col>
      <xdr:colOff>1123461</xdr:colOff>
      <xdr:row>13</xdr:row>
      <xdr:rowOff>104774</xdr:rowOff>
    </xdr:to>
    <xdr:sp macro="" textlink="">
      <xdr:nvSpPr>
        <xdr:cNvPr id="19" name="CaixaDeTexto 18">
          <a:extLst>
            <a:ext uri="{FF2B5EF4-FFF2-40B4-BE49-F238E27FC236}">
              <a16:creationId xmlns:a16="http://schemas.microsoft.com/office/drawing/2014/main" id="{00000000-0008-0000-1100-000013000000}"/>
            </a:ext>
          </a:extLst>
        </xdr:cNvPr>
        <xdr:cNvSpPr txBox="1"/>
      </xdr:nvSpPr>
      <xdr:spPr>
        <a:xfrm>
          <a:off x="37680900" y="1638300"/>
          <a:ext cx="3942861" cy="609599"/>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en-US" sz="900" b="1" u="sng" baseline="0">
              <a:solidFill>
                <a:schemeClr val="dk1"/>
              </a:solidFill>
              <a:effectLst/>
              <a:latin typeface="+mn-lt"/>
              <a:ea typeface="+mn-ea"/>
              <a:cs typeface="+mn-cs"/>
            </a:rPr>
            <a:t>2023:</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2023 vs. 2022: </a:t>
          </a:r>
          <a:endParaRPr lang="pt-PT" sz="900">
            <a:effectLst/>
          </a:endParaRPr>
        </a:p>
        <a:p>
          <a:pPr eaLnBrk="1" fontAlgn="auto" latinLnBrk="0" hangingPunct="1"/>
          <a:r>
            <a:rPr lang="en-US" sz="900" b="0" baseline="0">
              <a:solidFill>
                <a:schemeClr val="dk1"/>
              </a:solidFill>
              <a:effectLst/>
              <a:latin typeface="+mn-lt"/>
              <a:ea typeface="+mn-ea"/>
              <a:cs typeface="+mn-cs"/>
            </a:rPr>
            <a:t>1.220 € de remuneração base                    + 76 € de remuneração base  (+6,7%)</a:t>
          </a:r>
          <a:endParaRPr lang="pt-PT" sz="900">
            <a:effectLst/>
          </a:endParaRPr>
        </a:p>
        <a:p>
          <a:pPr eaLnBrk="1" fontAlgn="auto" latinLnBrk="0" hangingPunct="1"/>
          <a:r>
            <a:rPr lang="en-US" sz="900" b="0" baseline="0">
              <a:solidFill>
                <a:schemeClr val="dk1"/>
              </a:solidFill>
              <a:effectLst/>
              <a:latin typeface="+mn-lt"/>
              <a:ea typeface="+mn-ea"/>
              <a:cs typeface="+mn-cs"/>
            </a:rPr>
            <a:t>1.467 € de remuneração ganho                 + 99 € de remuneração ganho (+7,2%)</a:t>
          </a:r>
          <a:endParaRPr lang="en-US" sz="900" b="1" baseline="0">
            <a:solidFill>
              <a:schemeClr val="dk1"/>
            </a:solidFill>
            <a:effectLst/>
            <a:latin typeface="+mn-lt"/>
            <a:ea typeface="+mn-ea"/>
            <a:cs typeface="+mn-cs"/>
          </a:endParaRPr>
        </a:p>
      </xdr:txBody>
    </xdr:sp>
    <xdr:clientData/>
  </xdr:twoCellAnchor>
  <xdr:twoCellAnchor>
    <xdr:from>
      <xdr:col>2</xdr:col>
      <xdr:colOff>47625</xdr:colOff>
      <xdr:row>63</xdr:row>
      <xdr:rowOff>66675</xdr:rowOff>
    </xdr:from>
    <xdr:to>
      <xdr:col>6</xdr:col>
      <xdr:colOff>451338</xdr:colOff>
      <xdr:row>67</xdr:row>
      <xdr:rowOff>57150</xdr:rowOff>
    </xdr:to>
    <xdr:sp macro="" textlink="">
      <xdr:nvSpPr>
        <xdr:cNvPr id="20" name="CaixaDeTexto 19">
          <a:extLst>
            <a:ext uri="{FF2B5EF4-FFF2-40B4-BE49-F238E27FC236}">
              <a16:creationId xmlns:a16="http://schemas.microsoft.com/office/drawing/2014/main" id="{00000000-0008-0000-1100-000014000000}"/>
            </a:ext>
          </a:extLst>
        </xdr:cNvPr>
        <xdr:cNvSpPr txBox="1"/>
      </xdr:nvSpPr>
      <xdr:spPr>
        <a:xfrm>
          <a:off x="2295525" y="10306050"/>
          <a:ext cx="3489813" cy="638175"/>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2023</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1.010 € (Micro - 1 a 9 pessoas) e 1.457 €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2023 vs 2013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27% (Médios - 50 a 249 pessoas) e 36% (Micro - 1 a 9 pessoas)</a:t>
          </a:r>
        </a:p>
      </xdr:txBody>
    </xdr:sp>
    <xdr:clientData/>
  </xdr:twoCellAnchor>
  <xdr:twoCellAnchor>
    <xdr:from>
      <xdr:col>7</xdr:col>
      <xdr:colOff>152644</xdr:colOff>
      <xdr:row>63</xdr:row>
      <xdr:rowOff>114300</xdr:rowOff>
    </xdr:from>
    <xdr:to>
      <xdr:col>12</xdr:col>
      <xdr:colOff>398094</xdr:colOff>
      <xdr:row>68</xdr:row>
      <xdr:rowOff>42741</xdr:rowOff>
    </xdr:to>
    <xdr:sp macro="" textlink="">
      <xdr:nvSpPr>
        <xdr:cNvPr id="21" name="CaixaDeTexto 20">
          <a:extLst>
            <a:ext uri="{FF2B5EF4-FFF2-40B4-BE49-F238E27FC236}">
              <a16:creationId xmlns:a16="http://schemas.microsoft.com/office/drawing/2014/main" id="{00000000-0008-0000-1100-000015000000}"/>
            </a:ext>
          </a:extLst>
        </xdr:cNvPr>
        <xdr:cNvSpPr txBox="1"/>
      </xdr:nvSpPr>
      <xdr:spPr>
        <a:xfrm>
          <a:off x="6539279" y="10231560"/>
          <a:ext cx="4073767" cy="728296"/>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2023</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1.172 € (Micro - 1 a 9 pessoas) e 1.815 €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2023 vs 2013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28% (Médios - 50 a 249 pessoas) e 35% </a:t>
          </a:r>
          <a:r>
            <a:rPr lang="pt-PT" sz="800" b="0" i="0" baseline="0">
              <a:effectLst/>
              <a:latin typeface="+mn-lt"/>
              <a:ea typeface="+mn-ea"/>
              <a:cs typeface="+mn-cs"/>
            </a:rPr>
            <a:t>(Grandes - 250 e + pessoas) e </a:t>
          </a:r>
          <a:r>
            <a:rPr kumimoji="0" lang="pt-PT" sz="800" b="0" i="0" u="none" strike="noStrike" kern="0" cap="none" spc="0" normalizeH="0" baseline="0" noProof="0">
              <a:ln>
                <a:noFill/>
              </a:ln>
              <a:solidFill>
                <a:prstClr val="black"/>
              </a:solidFill>
              <a:effectLst/>
              <a:uLnTx/>
              <a:uFillTx/>
              <a:latin typeface="+mn-lt"/>
              <a:ea typeface="+mn-ea"/>
              <a:cs typeface="+mn-cs"/>
            </a:rPr>
            <a:t> (Micro - 1 a 9 pessoas)</a:t>
          </a:r>
        </a:p>
      </xdr:txBody>
    </xdr:sp>
    <xdr:clientData/>
  </xdr:twoCellAnchor>
  <xdr:twoCellAnchor>
    <xdr:from>
      <xdr:col>2</xdr:col>
      <xdr:colOff>28576</xdr:colOff>
      <xdr:row>85</xdr:row>
      <xdr:rowOff>47625</xdr:rowOff>
    </xdr:from>
    <xdr:to>
      <xdr:col>6</xdr:col>
      <xdr:colOff>409575</xdr:colOff>
      <xdr:row>90</xdr:row>
      <xdr:rowOff>76200</xdr:rowOff>
    </xdr:to>
    <xdr:sp macro="" textlink="$D$84">
      <xdr:nvSpPr>
        <xdr:cNvPr id="24" name="CaixaDeTexto 23">
          <a:extLst>
            <a:ext uri="{FF2B5EF4-FFF2-40B4-BE49-F238E27FC236}">
              <a16:creationId xmlns:a16="http://schemas.microsoft.com/office/drawing/2014/main" id="{00000000-0008-0000-1100-000018000000}"/>
            </a:ext>
          </a:extLst>
        </xdr:cNvPr>
        <xdr:cNvSpPr txBox="1"/>
      </xdr:nvSpPr>
      <xdr:spPr>
        <a:xfrm>
          <a:off x="2276476" y="13849350"/>
          <a:ext cx="3467099" cy="83820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760BEDE4-34B2-45D7-B4CD-2FBD9778F919}"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2023:
Entre 1.010 € Micro (1-9 pessoas) e 1.457 € Grandes (250 ou + pessoas)
2023 vs 2013:
Variações entre 27% Médios (50 - 249 pessoas) e 36% Micro (1-9 pessoas).</a:t>
          </a:fld>
          <a:endParaRPr kumimoji="0" lang="pt-PT"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2</xdr:col>
      <xdr:colOff>0</xdr:colOff>
      <xdr:row>95</xdr:row>
      <xdr:rowOff>57150</xdr:rowOff>
    </xdr:from>
    <xdr:to>
      <xdr:col>7</xdr:col>
      <xdr:colOff>152400</xdr:colOff>
      <xdr:row>100</xdr:row>
      <xdr:rowOff>57150</xdr:rowOff>
    </xdr:to>
    <xdr:sp macro="" textlink="$D$94">
      <xdr:nvSpPr>
        <xdr:cNvPr id="25" name="CaixaDeTexto 24">
          <a:extLst>
            <a:ext uri="{FF2B5EF4-FFF2-40B4-BE49-F238E27FC236}">
              <a16:creationId xmlns:a16="http://schemas.microsoft.com/office/drawing/2014/main" id="{00000000-0008-0000-1100-000019000000}"/>
            </a:ext>
          </a:extLst>
        </xdr:cNvPr>
        <xdr:cNvSpPr txBox="1"/>
      </xdr:nvSpPr>
      <xdr:spPr>
        <a:xfrm>
          <a:off x="2247900" y="15478125"/>
          <a:ext cx="4010025" cy="809625"/>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4320C582-956B-40CF-BCA5-2C5CADD67E2C}"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2023:
Entre 1.172 € Micro (1-9 pessoas) e 1.815 € Grandes (250 ou + pessoas)
2023 vs 2013:
Variações entre 28% Médios (50 - 249 pessoas) e 35% Grandes (250 ou + pessoas) e Micro (1-9 pessoas).</a:t>
          </a:fld>
          <a:endParaRPr kumimoji="0" lang="pt-PT"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76</xdr:col>
      <xdr:colOff>533400</xdr:colOff>
      <xdr:row>38</xdr:row>
      <xdr:rowOff>114300</xdr:rowOff>
    </xdr:from>
    <xdr:to>
      <xdr:col>84</xdr:col>
      <xdr:colOff>175113</xdr:colOff>
      <xdr:row>42</xdr:row>
      <xdr:rowOff>103800</xdr:rowOff>
    </xdr:to>
    <xdr:sp macro="" textlink="q22_q23_q33_q34_Fig!$BZ$37">
      <xdr:nvSpPr>
        <xdr:cNvPr id="26" name="CaixaDeTexto 25">
          <a:extLst>
            <a:ext uri="{FF2B5EF4-FFF2-40B4-BE49-F238E27FC236}">
              <a16:creationId xmlns:a16="http://schemas.microsoft.com/office/drawing/2014/main" id="{00000000-0008-0000-1100-00001A000000}"/>
            </a:ext>
          </a:extLst>
        </xdr:cNvPr>
        <xdr:cNvSpPr txBox="1"/>
      </xdr:nvSpPr>
      <xdr:spPr>
        <a:xfrm>
          <a:off x="55092600" y="6305550"/>
          <a:ext cx="4518513" cy="63720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AA5EC0D-310F-45B7-8569-D357C6298D02}"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Remunerações - 2023:
Base Mulheres = 87,3% da dos Homens (H), entre 85,3% da dos H (Médios) e 92,2% da dos H (Micro).
Ganho Mulheres = 84,4% da dos H, entre 81,8% da dos H (Médios) e 91,6% da dos H (Micro).</a:t>
          </a:fld>
          <a:endParaRPr kumimoji="0" lang="pt-PT" sz="8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17</xdr:col>
      <xdr:colOff>0</xdr:colOff>
      <xdr:row>66</xdr:row>
      <xdr:rowOff>121226</xdr:rowOff>
    </xdr:from>
    <xdr:to>
      <xdr:col>27</xdr:col>
      <xdr:colOff>334619</xdr:colOff>
      <xdr:row>78</xdr:row>
      <xdr:rowOff>135968</xdr:rowOff>
    </xdr:to>
    <xdr:grpSp>
      <xdr:nvGrpSpPr>
        <xdr:cNvPr id="27" name="Agrupar 26">
          <a:extLst>
            <a:ext uri="{FF2B5EF4-FFF2-40B4-BE49-F238E27FC236}">
              <a16:creationId xmlns:a16="http://schemas.microsoft.com/office/drawing/2014/main" id="{00000000-0008-0000-1100-00001B000000}"/>
            </a:ext>
          </a:extLst>
        </xdr:cNvPr>
        <xdr:cNvGrpSpPr/>
      </xdr:nvGrpSpPr>
      <xdr:grpSpPr>
        <a:xfrm>
          <a:off x="12996130" y="11038341"/>
          <a:ext cx="7524162" cy="1993012"/>
          <a:chOff x="20056474" y="10299703"/>
          <a:chExt cx="8510403" cy="2749548"/>
        </a:xfrm>
      </xdr:grpSpPr>
      <xdr:graphicFrame macro="">
        <xdr:nvGraphicFramePr>
          <xdr:cNvPr id="28" name="Gráfico 27">
            <a:extLst>
              <a:ext uri="{FF2B5EF4-FFF2-40B4-BE49-F238E27FC236}">
                <a16:creationId xmlns:a16="http://schemas.microsoft.com/office/drawing/2014/main" id="{00000000-0008-0000-1100-00001C000000}"/>
              </a:ext>
            </a:extLst>
          </xdr:cNvPr>
          <xdr:cNvGraphicFramePr/>
        </xdr:nvGraphicFramePr>
        <xdr:xfrm>
          <a:off x="20056474" y="10299703"/>
          <a:ext cx="4571998" cy="27432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9" name="Gráfico 28">
            <a:extLst>
              <a:ext uri="{FF2B5EF4-FFF2-40B4-BE49-F238E27FC236}">
                <a16:creationId xmlns:a16="http://schemas.microsoft.com/office/drawing/2014/main" id="{00000000-0008-0000-1100-00001D000000}"/>
              </a:ext>
            </a:extLst>
          </xdr:cNvPr>
          <xdr:cNvGraphicFramePr>
            <a:graphicFrameLocks/>
          </xdr:cNvGraphicFramePr>
        </xdr:nvGraphicFramePr>
        <xdr:xfrm>
          <a:off x="24428449" y="10306051"/>
          <a:ext cx="4138428" cy="27432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7.xml><?xml version="1.0" encoding="utf-8"?>
<c:userShapes xmlns:c="http://schemas.openxmlformats.org/drawingml/2006/chart">
  <cdr:relSizeAnchor xmlns:cdr="http://schemas.openxmlformats.org/drawingml/2006/chartDrawing">
    <cdr:from>
      <cdr:x>0.65479</cdr:x>
      <cdr:y>0.10298</cdr:y>
    </cdr:from>
    <cdr:to>
      <cdr:x>0.76733</cdr:x>
      <cdr:y>0.19501</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977062" y="409406"/>
          <a:ext cx="339801" cy="365874"/>
          <a:chOff x="1958149" y="369817"/>
          <a:chExt cx="473434" cy="291245"/>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4"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58149" y="374649"/>
            <a:ext cx="180567" cy="27132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38.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22_q23_q33_q34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F7CCA3A-425A-4F86-9688-6ECD51BCD00F}"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22_q23_q33_q34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5DD7DBC-48E3-40B1-8F9D-AE2F27FD0074}"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0.71539</cdr:x>
      <cdr:y>0.03293</cdr:y>
    </cdr:from>
    <cdr:to>
      <cdr:x>0.90894</cdr:x>
      <cdr:y>0.17431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653375" y="-188062"/>
          <a:ext cx="367200" cy="9144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349251</xdr:colOff>
      <xdr:row>100</xdr:row>
      <xdr:rowOff>95251</xdr:rowOff>
    </xdr:from>
    <xdr:to>
      <xdr:col>7</xdr:col>
      <xdr:colOff>309563</xdr:colOff>
      <xdr:row>119</xdr:row>
      <xdr:rowOff>95251</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96</xdr:row>
      <xdr:rowOff>85726</xdr:rowOff>
    </xdr:from>
    <xdr:to>
      <xdr:col>9</xdr:col>
      <xdr:colOff>206375</xdr:colOff>
      <xdr:row>101</xdr:row>
      <xdr:rowOff>130175</xdr:rowOff>
    </xdr:to>
    <mc:AlternateContent xmlns:mc="http://schemas.openxmlformats.org/markup-compatibility/2006" xmlns:a14="http://schemas.microsoft.com/office/drawing/2010/main">
      <mc:Choice Requires="a14">
        <xdr:graphicFrame macro="">
          <xdr:nvGraphicFramePr>
            <xdr:cNvPr id="3" name="Tipo de remuneração">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microsoft.com/office/drawing/2010/slicer">
              <sle:slicer xmlns:sle="http://schemas.microsoft.com/office/drawing/2010/slicer" name="Tipo de remuneração"/>
            </a:graphicData>
          </a:graphic>
        </xdr:graphicFrame>
      </mc:Choice>
      <mc:Fallback xmlns="">
        <xdr:sp macro="" textlink="">
          <xdr:nvSpPr>
            <xdr:cNvPr id="0" name=""/>
            <xdr:cNvSpPr>
              <a:spLocks noTextEdit="1"/>
            </xdr:cNvSpPr>
          </xdr:nvSpPr>
          <xdr:spPr>
            <a:xfrm>
              <a:off x="8420100" y="12068176"/>
              <a:ext cx="1800225" cy="847724"/>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twoCellAnchor editAs="oneCell">
    <xdr:from>
      <xdr:col>8</xdr:col>
      <xdr:colOff>104775</xdr:colOff>
      <xdr:row>101</xdr:row>
      <xdr:rowOff>123825</xdr:rowOff>
    </xdr:from>
    <xdr:to>
      <xdr:col>9</xdr:col>
      <xdr:colOff>225425</xdr:colOff>
      <xdr:row>108</xdr:row>
      <xdr:rowOff>130176</xdr:rowOff>
    </xdr:to>
    <mc:AlternateContent xmlns:mc="http://schemas.openxmlformats.org/markup-compatibility/2006" xmlns:a14="http://schemas.microsoft.com/office/drawing/2010/main">
      <mc:Choice Requires="a14">
        <xdr:graphicFrame macro="">
          <xdr:nvGraphicFramePr>
            <xdr:cNvPr id="5" name="Sexo">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microsoft.com/office/drawing/2010/slicer">
              <sle:slicer xmlns:sle="http://schemas.microsoft.com/office/drawing/2010/slicer" name="Sexo"/>
            </a:graphicData>
          </a:graphic>
        </xdr:graphicFrame>
      </mc:Choice>
      <mc:Fallback xmlns="">
        <xdr:sp macro="" textlink="">
          <xdr:nvSpPr>
            <xdr:cNvPr id="0" name=""/>
            <xdr:cNvSpPr>
              <a:spLocks noTextEdit="1"/>
            </xdr:cNvSpPr>
          </xdr:nvSpPr>
          <xdr:spPr>
            <a:xfrm>
              <a:off x="7467600" y="16478250"/>
              <a:ext cx="1828800" cy="1133476"/>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33</xdr:row>
      <xdr:rowOff>104775</xdr:rowOff>
    </xdr:from>
    <xdr:to>
      <xdr:col>8</xdr:col>
      <xdr:colOff>600075</xdr:colOff>
      <xdr:row>55</xdr:row>
      <xdr:rowOff>28575</xdr:rowOff>
    </xdr:to>
    <xdr:sp macro="" textlink="">
      <xdr:nvSpPr>
        <xdr:cNvPr id="2" name="Rectangle 80">
          <a:extLst>
            <a:ext uri="{FF2B5EF4-FFF2-40B4-BE49-F238E27FC236}">
              <a16:creationId xmlns:a16="http://schemas.microsoft.com/office/drawing/2014/main" id="{00000000-0008-0000-0300-000002000000}"/>
            </a:ext>
          </a:extLst>
        </xdr:cNvPr>
        <xdr:cNvSpPr>
          <a:spLocks noChangeArrowheads="1"/>
        </xdr:cNvSpPr>
      </xdr:nvSpPr>
      <xdr:spPr bwMode="auto">
        <a:xfrm>
          <a:off x="0" y="5448300"/>
          <a:ext cx="5476875" cy="3486150"/>
        </a:xfrm>
        <a:prstGeom prst="rect">
          <a:avLst/>
        </a:prstGeom>
        <a:solidFill>
          <a:srgbClr val="E1EAE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234000" rIns="234000"/>
        <a:lstStyle>
          <a:defPPr>
            <a:defRPr lang="en-US"/>
          </a:defPPr>
          <a:lvl1pPr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1pPr>
          <a:lvl2pPr marL="496888" indent="-39688"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2pPr>
          <a:lvl3pPr marL="995363" indent="-80963"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3pPr>
          <a:lvl4pPr marL="1492250" indent="-120650"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4pPr>
          <a:lvl5pPr marL="1990725" indent="-161925"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5pPr>
          <a:lvl6pPr marL="2286000" algn="l" defTabSz="914400" rtl="0" eaLnBrk="1" latinLnBrk="0" hangingPunct="1">
            <a:defRPr sz="900" kern="1200">
              <a:solidFill>
                <a:schemeClr val="tx1"/>
              </a:solidFill>
              <a:latin typeface="Times New Roman" panose="02020603050405020304" pitchFamily="18" charset="0"/>
              <a:ea typeface="+mn-ea"/>
              <a:cs typeface="+mn-cs"/>
            </a:defRPr>
          </a:lvl6pPr>
          <a:lvl7pPr marL="2743200" algn="l" defTabSz="914400" rtl="0" eaLnBrk="1" latinLnBrk="0" hangingPunct="1">
            <a:defRPr sz="900" kern="1200">
              <a:solidFill>
                <a:schemeClr val="tx1"/>
              </a:solidFill>
              <a:latin typeface="Times New Roman" panose="02020603050405020304" pitchFamily="18" charset="0"/>
              <a:ea typeface="+mn-ea"/>
              <a:cs typeface="+mn-cs"/>
            </a:defRPr>
          </a:lvl7pPr>
          <a:lvl8pPr marL="3200400" algn="l" defTabSz="914400" rtl="0" eaLnBrk="1" latinLnBrk="0" hangingPunct="1">
            <a:defRPr sz="900" kern="1200">
              <a:solidFill>
                <a:schemeClr val="tx1"/>
              </a:solidFill>
              <a:latin typeface="Times New Roman" panose="02020603050405020304" pitchFamily="18" charset="0"/>
              <a:ea typeface="+mn-ea"/>
              <a:cs typeface="+mn-cs"/>
            </a:defRPr>
          </a:lvl8pPr>
          <a:lvl9pPr marL="3657600" algn="l" defTabSz="914400" rtl="0" eaLnBrk="1" latinLnBrk="0" hangingPunct="1">
            <a:defRPr sz="900" kern="1200">
              <a:solidFill>
                <a:schemeClr val="tx1"/>
              </a:solidFill>
              <a:latin typeface="Times New Roman" panose="02020603050405020304" pitchFamily="18" charset="0"/>
              <a:ea typeface="+mn-ea"/>
              <a:cs typeface="+mn-cs"/>
            </a:defRPr>
          </a:lvl9pPr>
        </a:lstStyle>
        <a:p>
          <a:pPr algn="just">
            <a:lnSpc>
              <a:spcPct val="130000"/>
            </a:lnSpc>
            <a:spcAft>
              <a:spcPts val="1000"/>
            </a:spcAft>
          </a:pPr>
          <a:r>
            <a:rPr lang="pt-PT" altLang="pt-PT" b="1">
              <a:solidFill>
                <a:srgbClr val="415263"/>
              </a:solidFill>
              <a:latin typeface="Arial" panose="020B0604020202020204" pitchFamily="34" charset="0"/>
            </a:rPr>
            <a:t>MINISTÉRIO DO TRABALHO, SOLIDARIEDADE E SEGURANÇA SOCIAL</a:t>
          </a:r>
        </a:p>
        <a:p>
          <a:pPr algn="just">
            <a:lnSpc>
              <a:spcPct val="130000"/>
            </a:lnSpc>
            <a:spcAft>
              <a:spcPts val="1000"/>
            </a:spcAft>
          </a:pPr>
          <a:r>
            <a:rPr lang="pt-PT" altLang="pt-PT" b="1">
              <a:solidFill>
                <a:srgbClr val="415263"/>
              </a:solidFill>
              <a:latin typeface="Arial" panose="020B0604020202020204" pitchFamily="34" charset="0"/>
            </a:rPr>
            <a:t>Título:</a:t>
          </a:r>
          <a:r>
            <a:rPr lang="pt-PT" altLang="pt-PT">
              <a:solidFill>
                <a:srgbClr val="415263"/>
              </a:solidFill>
              <a:latin typeface="Arial" panose="020B0604020202020204" pitchFamily="34" charset="0"/>
            </a:rPr>
            <a:t> Séries Cronológicas QUADROS DE PESSOAL 2013 - 2023</a:t>
          </a:r>
        </a:p>
        <a:p>
          <a:pPr algn="just">
            <a:lnSpc>
              <a:spcPct val="130000"/>
            </a:lnSpc>
            <a:spcAft>
              <a:spcPct val="20000"/>
            </a:spcAft>
          </a:pPr>
          <a:r>
            <a:rPr lang="pt-PT" altLang="pt-PT" b="1">
              <a:solidFill>
                <a:srgbClr val="415263"/>
              </a:solidFill>
              <a:latin typeface="Arial" panose="020B0604020202020204" pitchFamily="34" charset="0"/>
            </a:rPr>
            <a:t>Autor:</a:t>
          </a:r>
          <a:r>
            <a:rPr lang="pt-PT" altLang="pt-PT">
              <a:solidFill>
                <a:srgbClr val="415263"/>
              </a:solidFill>
              <a:latin typeface="Arial" panose="020B0604020202020204" pitchFamily="34" charset="0"/>
            </a:rPr>
            <a:t> Gabinete de Estratégia e Planeamento (GEP)</a:t>
          </a:r>
        </a:p>
        <a:p>
          <a:pPr algn="ctr"/>
          <a:r>
            <a:rPr lang="pt-PT" altLang="pt-PT"/>
            <a:t> </a:t>
          </a:r>
        </a:p>
        <a:p>
          <a:pPr algn="just">
            <a:spcAft>
              <a:spcPct val="40000"/>
            </a:spcAft>
          </a:pPr>
          <a:r>
            <a:rPr lang="pt-PT" altLang="pt-PT">
              <a:solidFill>
                <a:srgbClr val="415263"/>
              </a:solidFill>
              <a:latin typeface="Arial" panose="020B0604020202020204" pitchFamily="34" charset="0"/>
            </a:rPr>
            <a:t>Praça de Londres n.º 2 - 5.º andar</a:t>
          </a:r>
        </a:p>
        <a:p>
          <a:r>
            <a:rPr lang="pt-PT" altLang="pt-PT">
              <a:solidFill>
                <a:srgbClr val="415263"/>
              </a:solidFill>
              <a:latin typeface="Arial" panose="020B0604020202020204" pitchFamily="34" charset="0"/>
            </a:rPr>
            <a:t>1049-056 LISBOA </a:t>
          </a:r>
        </a:p>
        <a:p>
          <a:r>
            <a:rPr lang="pt-PT" altLang="pt-PT">
              <a:solidFill>
                <a:srgbClr val="415263"/>
              </a:solidFill>
              <a:latin typeface="Arial" panose="020B0604020202020204" pitchFamily="34" charset="0"/>
              <a:sym typeface="Wingdings" panose="05000000000000000000" pitchFamily="2" charset="2"/>
            </a:rPr>
            <a:t></a:t>
          </a:r>
          <a:r>
            <a:rPr lang="pt-PT" altLang="pt-PT">
              <a:solidFill>
                <a:srgbClr val="415263"/>
              </a:solidFill>
              <a:latin typeface="Arial" panose="020B0604020202020204" pitchFamily="34" charset="0"/>
            </a:rPr>
            <a:t> 21 115 50 00</a:t>
          </a:r>
        </a:p>
        <a:p>
          <a:pPr algn="just">
            <a:lnSpc>
              <a:spcPct val="130000"/>
            </a:lnSpc>
            <a:spcBef>
              <a:spcPts val="600"/>
            </a:spcBef>
            <a:spcAft>
              <a:spcPts val="1000"/>
            </a:spcAft>
          </a:pPr>
          <a:r>
            <a:rPr lang="pt-PT" altLang="pt-PT" i="1">
              <a:solidFill>
                <a:srgbClr val="415263"/>
              </a:solidFill>
              <a:latin typeface="Arial" panose="020B0604020202020204" pitchFamily="34" charset="0"/>
            </a:rPr>
            <a:t>e-mail</a:t>
          </a:r>
          <a:r>
            <a:rPr lang="pt-PT" altLang="pt-PT" b="1" i="1">
              <a:solidFill>
                <a:srgbClr val="415263"/>
              </a:solidFill>
              <a:latin typeface="Arial" panose="020B0604020202020204" pitchFamily="34" charset="0"/>
            </a:rPr>
            <a:t>:</a:t>
          </a:r>
          <a:r>
            <a:rPr lang="pt-PT" altLang="pt-PT">
              <a:solidFill>
                <a:srgbClr val="415263"/>
              </a:solidFill>
              <a:latin typeface="Arial" panose="020B0604020202020204" pitchFamily="34" charset="0"/>
            </a:rPr>
            <a:t> gep.</a:t>
          </a:r>
          <a:r>
            <a:rPr lang="pt-PT" altLang="pt-PT" i="1">
              <a:solidFill>
                <a:srgbClr val="415263"/>
              </a:solidFill>
              <a:latin typeface="Arial" panose="020B0604020202020204" pitchFamily="34" charset="0"/>
            </a:rPr>
            <a:t>dados@gep.mtsss.pt </a:t>
          </a:r>
        </a:p>
        <a:p>
          <a:pPr algn="just">
            <a:lnSpc>
              <a:spcPct val="130000"/>
            </a:lnSpc>
            <a:spcAft>
              <a:spcPts val="1000"/>
            </a:spcAft>
          </a:pPr>
          <a:r>
            <a:rPr lang="pt-PT" altLang="pt-PT" i="1">
              <a:solidFill>
                <a:srgbClr val="415263"/>
              </a:solidFill>
              <a:latin typeface="Arial" panose="020B0604020202020204" pitchFamily="34" charset="0"/>
            </a:rPr>
            <a:t>Internet</a:t>
          </a:r>
          <a:r>
            <a:rPr lang="pt-PT" altLang="pt-PT" b="1" i="1">
              <a:solidFill>
                <a:srgbClr val="415263"/>
              </a:solidFill>
              <a:latin typeface="Arial" panose="020B0604020202020204" pitchFamily="34" charset="0"/>
            </a:rPr>
            <a:t>:</a:t>
          </a:r>
          <a:r>
            <a:rPr lang="pt-PT" altLang="pt-PT">
              <a:solidFill>
                <a:srgbClr val="415263"/>
              </a:solidFill>
              <a:latin typeface="Arial" panose="020B0604020202020204" pitchFamily="34" charset="0"/>
            </a:rPr>
            <a:t> </a:t>
          </a:r>
          <a:r>
            <a:rPr lang="pt-PT" altLang="pt-PT" i="1">
              <a:solidFill>
                <a:srgbClr val="415263"/>
              </a:solidFill>
              <a:latin typeface="Arial" panose="020B0604020202020204" pitchFamily="34" charset="0"/>
            </a:rPr>
            <a:t>http://www.gep.mtsss.gov.pt</a:t>
          </a:r>
        </a:p>
        <a:p>
          <a:pPr algn="just">
            <a:lnSpc>
              <a:spcPct val="130000"/>
            </a:lnSpc>
            <a:spcAft>
              <a:spcPts val="1000"/>
            </a:spcAft>
          </a:pPr>
          <a:r>
            <a:rPr lang="pt-PT" altLang="pt-PT" b="1">
              <a:solidFill>
                <a:srgbClr val="415263"/>
              </a:solidFill>
              <a:latin typeface="Arial" panose="020B0604020202020204" pitchFamily="34" charset="0"/>
            </a:rPr>
            <a:t>Formato:</a:t>
          </a:r>
          <a:r>
            <a:rPr lang="pt-PT" altLang="pt-PT">
              <a:solidFill>
                <a:srgbClr val="415263"/>
              </a:solidFill>
              <a:latin typeface="Arial" panose="020B0604020202020204" pitchFamily="34" charset="0"/>
            </a:rPr>
            <a:t> publicação em formato eletrónico, preparada para impressão frente e verso.</a:t>
          </a:r>
        </a:p>
        <a:p>
          <a:pPr algn="just">
            <a:lnSpc>
              <a:spcPct val="130000"/>
            </a:lnSpc>
            <a:spcAft>
              <a:spcPts val="1000"/>
            </a:spcAft>
          </a:pPr>
          <a:r>
            <a:rPr lang="pt-PT" altLang="pt-PT" b="1">
              <a:solidFill>
                <a:srgbClr val="415263"/>
              </a:solidFill>
              <a:latin typeface="Arial" panose="020B0604020202020204" pitchFamily="34" charset="0"/>
            </a:rPr>
            <a:t>Periodicidade:</a:t>
          </a:r>
          <a:r>
            <a:rPr lang="pt-PT" altLang="pt-PT">
              <a:solidFill>
                <a:srgbClr val="415263"/>
              </a:solidFill>
              <a:latin typeface="Arial" panose="020B0604020202020204" pitchFamily="34" charset="0"/>
            </a:rPr>
            <a:t> Pontual</a:t>
          </a:r>
        </a:p>
        <a:p>
          <a:pPr algn="just">
            <a:lnSpc>
              <a:spcPct val="130000"/>
            </a:lnSpc>
            <a:spcAft>
              <a:spcPts val="1000"/>
            </a:spcAft>
          </a:pPr>
          <a:r>
            <a:rPr lang="pt-PT" altLang="pt-PT" b="1">
              <a:solidFill>
                <a:srgbClr val="415263"/>
              </a:solidFill>
              <a:latin typeface="Arial" panose="020B0604020202020204" pitchFamily="34" charset="0"/>
            </a:rPr>
            <a:t>Data de disponibilização: </a:t>
          </a:r>
          <a:r>
            <a:rPr lang="pt-PT" altLang="pt-PT" b="0">
              <a:solidFill>
                <a:srgbClr val="415263"/>
              </a:solidFill>
              <a:latin typeface="Arial" panose="020B0604020202020204" pitchFamily="34" charset="0"/>
            </a:rPr>
            <a:t>16</a:t>
          </a:r>
          <a:r>
            <a:rPr lang="pt-PT" altLang="pt-PT">
              <a:solidFill>
                <a:srgbClr val="415263"/>
              </a:solidFill>
              <a:latin typeface="Arial" panose="020B0604020202020204" pitchFamily="34" charset="0"/>
            </a:rPr>
            <a:t> de maio de 2025</a:t>
          </a:r>
        </a:p>
      </xdr:txBody>
    </xdr:sp>
    <xdr:clientData/>
  </xdr:twoCellAnchor>
  <xdr:twoCellAnchor>
    <xdr:from>
      <xdr:col>0</xdr:col>
      <xdr:colOff>0</xdr:colOff>
      <xdr:row>31</xdr:row>
      <xdr:rowOff>0</xdr:rowOff>
    </xdr:from>
    <xdr:to>
      <xdr:col>6</xdr:col>
      <xdr:colOff>566738</xdr:colOff>
      <xdr:row>32</xdr:row>
      <xdr:rowOff>150812</xdr:rowOff>
    </xdr:to>
    <xdr:sp macro="" textlink="">
      <xdr:nvSpPr>
        <xdr:cNvPr id="3" name="Rectangle 2">
          <a:extLst>
            <a:ext uri="{FF2B5EF4-FFF2-40B4-BE49-F238E27FC236}">
              <a16:creationId xmlns:a16="http://schemas.microsoft.com/office/drawing/2014/main" id="{00000000-0008-0000-0300-000003000000}"/>
            </a:ext>
          </a:extLst>
        </xdr:cNvPr>
        <xdr:cNvSpPr>
          <a:spLocks noChangeArrowheads="1"/>
        </xdr:cNvSpPr>
      </xdr:nvSpPr>
      <xdr:spPr bwMode="auto">
        <a:xfrm>
          <a:off x="0" y="5019675"/>
          <a:ext cx="4224338" cy="312737"/>
        </a:xfrm>
        <a:prstGeom prst="rect">
          <a:avLst/>
        </a:prstGeom>
        <a:solidFill>
          <a:srgbClr val="00467A"/>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lstStyle>
          <a:defPPr>
            <a:defRPr lang="en-US"/>
          </a:defPPr>
          <a:lvl1pPr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1pPr>
          <a:lvl2pPr marL="496888" indent="-39688"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2pPr>
          <a:lvl3pPr marL="995363" indent="-80963"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3pPr>
          <a:lvl4pPr marL="1492250" indent="-120650"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4pPr>
          <a:lvl5pPr marL="1990725" indent="-161925"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5pPr>
          <a:lvl6pPr marL="2286000" algn="l" defTabSz="914400" rtl="0" eaLnBrk="1" latinLnBrk="0" hangingPunct="1">
            <a:defRPr sz="900" kern="1200">
              <a:solidFill>
                <a:schemeClr val="tx1"/>
              </a:solidFill>
              <a:latin typeface="Times New Roman" panose="02020603050405020304" pitchFamily="18" charset="0"/>
              <a:ea typeface="+mn-ea"/>
              <a:cs typeface="+mn-cs"/>
            </a:defRPr>
          </a:lvl6pPr>
          <a:lvl7pPr marL="2743200" algn="l" defTabSz="914400" rtl="0" eaLnBrk="1" latinLnBrk="0" hangingPunct="1">
            <a:defRPr sz="900" kern="1200">
              <a:solidFill>
                <a:schemeClr val="tx1"/>
              </a:solidFill>
              <a:latin typeface="Times New Roman" panose="02020603050405020304" pitchFamily="18" charset="0"/>
              <a:ea typeface="+mn-ea"/>
              <a:cs typeface="+mn-cs"/>
            </a:defRPr>
          </a:lvl7pPr>
          <a:lvl8pPr marL="3200400" algn="l" defTabSz="914400" rtl="0" eaLnBrk="1" latinLnBrk="0" hangingPunct="1">
            <a:defRPr sz="900" kern="1200">
              <a:solidFill>
                <a:schemeClr val="tx1"/>
              </a:solidFill>
              <a:latin typeface="Times New Roman" panose="02020603050405020304" pitchFamily="18" charset="0"/>
              <a:ea typeface="+mn-ea"/>
              <a:cs typeface="+mn-cs"/>
            </a:defRPr>
          </a:lvl8pPr>
          <a:lvl9pPr marL="3657600" algn="l" defTabSz="914400" rtl="0" eaLnBrk="1" latinLnBrk="0" hangingPunct="1">
            <a:defRPr sz="900" kern="1200">
              <a:solidFill>
                <a:schemeClr val="tx1"/>
              </a:solidFill>
              <a:latin typeface="Times New Roman" panose="02020603050405020304" pitchFamily="18" charset="0"/>
              <a:ea typeface="+mn-ea"/>
              <a:cs typeface="+mn-cs"/>
            </a:defRPr>
          </a:lvl9pPr>
        </a:lstStyle>
        <a:p>
          <a:r>
            <a:rPr lang="pt-PT" altLang="pt-PT" b="1">
              <a:solidFill>
                <a:schemeClr val="bg1"/>
              </a:solidFill>
              <a:latin typeface="Arial" panose="020B0604020202020204" pitchFamily="34" charset="0"/>
            </a:rPr>
            <a:t>Ficha Técnica</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371475</xdr:colOff>
      <xdr:row>55</xdr:row>
      <xdr:rowOff>66675</xdr:rowOff>
    </xdr:from>
    <xdr:to>
      <xdr:col>9</xdr:col>
      <xdr:colOff>82550</xdr:colOff>
      <xdr:row>60</xdr:row>
      <xdr:rowOff>85725</xdr:rowOff>
    </xdr:to>
    <mc:AlternateContent xmlns:mc="http://schemas.openxmlformats.org/markup-compatibility/2006" xmlns:a14="http://schemas.microsoft.com/office/drawing/2010/main">
      <mc:Choice Requires="a14">
        <xdr:graphicFrame macro="">
          <xdr:nvGraphicFramePr>
            <xdr:cNvPr id="2" name="Tipo Remuneração">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microsoft.com/office/drawing/2010/slicer">
              <sle:slicer xmlns:sle="http://schemas.microsoft.com/office/drawing/2010/slicer" name="Tipo Remuneração"/>
            </a:graphicData>
          </a:graphic>
        </xdr:graphicFrame>
      </mc:Choice>
      <mc:Fallback xmlns="">
        <xdr:sp macro="" textlink="">
          <xdr:nvSpPr>
            <xdr:cNvPr id="0" name=""/>
            <xdr:cNvSpPr>
              <a:spLocks noTextEdit="1"/>
            </xdr:cNvSpPr>
          </xdr:nvSpPr>
          <xdr:spPr>
            <a:xfrm>
              <a:off x="4933950" y="8972550"/>
              <a:ext cx="1568450" cy="82867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twoCellAnchor>
    <xdr:from>
      <xdr:col>9</xdr:col>
      <xdr:colOff>104775</xdr:colOff>
      <xdr:row>56</xdr:row>
      <xdr:rowOff>9525</xdr:rowOff>
    </xdr:from>
    <xdr:to>
      <xdr:col>11</xdr:col>
      <xdr:colOff>122765</xdr:colOff>
      <xdr:row>67</xdr:row>
      <xdr:rowOff>76199</xdr:rowOff>
    </xdr:to>
    <mc:AlternateContent xmlns:mc="http://schemas.openxmlformats.org/markup-compatibility/2006" xmlns:a14="http://schemas.microsoft.com/office/drawing/2010/main">
      <mc:Choice Requires="a14">
        <xdr:graphicFrame macro="">
          <xdr:nvGraphicFramePr>
            <xdr:cNvPr id="3" name="Selecionar CAE">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microsoft.com/office/drawing/2010/slicer">
              <sle:slicer xmlns:sle="http://schemas.microsoft.com/office/drawing/2010/slicer" name="Selecionar CAE"/>
            </a:graphicData>
          </a:graphic>
        </xdr:graphicFrame>
      </mc:Choice>
      <mc:Fallback xmlns="">
        <xdr:sp macro="" textlink="">
          <xdr:nvSpPr>
            <xdr:cNvPr id="0" name=""/>
            <xdr:cNvSpPr>
              <a:spLocks noTextEdit="1"/>
            </xdr:cNvSpPr>
          </xdr:nvSpPr>
          <xdr:spPr>
            <a:xfrm>
              <a:off x="6457950" y="9077325"/>
              <a:ext cx="3837515" cy="1847849"/>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twoCellAnchor>
    <xdr:from>
      <xdr:col>11</xdr:col>
      <xdr:colOff>647700</xdr:colOff>
      <xdr:row>54</xdr:row>
      <xdr:rowOff>149226</xdr:rowOff>
    </xdr:from>
    <xdr:to>
      <xdr:col>22</xdr:col>
      <xdr:colOff>54265</xdr:colOff>
      <xdr:row>75</xdr:row>
      <xdr:rowOff>9525</xdr:rowOff>
    </xdr:to>
    <xdr:graphicFrame macro="">
      <xdr:nvGraphicFramePr>
        <xdr:cNvPr id="9" name="Gráfico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11</xdr:col>
      <xdr:colOff>171450</xdr:colOff>
      <xdr:row>0</xdr:row>
      <xdr:rowOff>276225</xdr:rowOff>
    </xdr:from>
    <xdr:to>
      <xdr:col>12</xdr:col>
      <xdr:colOff>466725</xdr:colOff>
      <xdr:row>0</xdr:row>
      <xdr:rowOff>590550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115050" y="276225"/>
          <a:ext cx="822325" cy="314325"/>
        </a:xfrm>
        <a:prstGeom prst="rect">
          <a:avLst/>
        </a:prstGeom>
        <a:noFill/>
        <a:ln w="1">
          <a:noFill/>
          <a:miter lim="800000"/>
          <a:headEnd/>
          <a:tailEnd type="none" w="med" len="med"/>
        </a:ln>
        <a:effectLst/>
      </xdr:spPr>
    </xdr:pic>
    <xdr:clientData fPrintsWithSheet="0"/>
  </xdr:twoCellAnchor>
</xdr:wsDr>
</file>

<file path=xl/drawings/drawing42.xml><?xml version="1.0" encoding="utf-8"?>
<xdr:wsDr xmlns:xdr="http://schemas.openxmlformats.org/drawingml/2006/spreadsheetDrawing" xmlns:a="http://schemas.openxmlformats.org/drawingml/2006/main">
  <xdr:twoCellAnchor editAs="absolute">
    <xdr:from>
      <xdr:col>11</xdr:col>
      <xdr:colOff>19050</xdr:colOff>
      <xdr:row>0</xdr:row>
      <xdr:rowOff>238125</xdr:rowOff>
    </xdr:from>
    <xdr:to>
      <xdr:col>12</xdr:col>
      <xdr:colOff>371377</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38125"/>
          <a:ext cx="780952" cy="304762"/>
        </a:xfrm>
        <a:prstGeom prst="rect">
          <a:avLst/>
        </a:prstGeom>
        <a:noFill/>
        <a:ln w="1">
          <a:noFill/>
          <a:miter lim="800000"/>
          <a:headEnd/>
          <a:tailEnd type="none" w="med" len="med"/>
        </a:ln>
        <a:effectLst/>
      </xdr:spPr>
    </xdr:pic>
    <xdr:clientData fPrintsWithSheet="0"/>
  </xdr:twoCellAnchor>
</xdr:wsDr>
</file>

<file path=xl/drawings/drawing43.xml><?xml version="1.0" encoding="utf-8"?>
<xdr:wsDr xmlns:xdr="http://schemas.openxmlformats.org/drawingml/2006/spreadsheetDrawing" xmlns:a="http://schemas.openxmlformats.org/drawingml/2006/main">
  <xdr:twoCellAnchor editAs="absolute">
    <xdr:from>
      <xdr:col>10</xdr:col>
      <xdr:colOff>419100</xdr:colOff>
      <xdr:row>0</xdr:row>
      <xdr:rowOff>228599</xdr:rowOff>
    </xdr:from>
    <xdr:to>
      <xdr:col>12</xdr:col>
      <xdr:colOff>380898</xdr:colOff>
      <xdr:row>1</xdr:row>
      <xdr:rowOff>171411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991100" y="228599"/>
          <a:ext cx="819048" cy="304762"/>
        </a:xfrm>
        <a:prstGeom prst="rect">
          <a:avLst/>
        </a:prstGeom>
        <a:noFill/>
        <a:ln w="1">
          <a:noFill/>
          <a:miter lim="800000"/>
          <a:headEnd/>
          <a:tailEnd type="none" w="med" len="med"/>
        </a:ln>
        <a:effectLst/>
      </xdr:spPr>
    </xdr:pic>
    <xdr:clientData fPrintsWithSheet="0"/>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0</xdr:row>
          <xdr:rowOff>152400</xdr:rowOff>
        </xdr:from>
        <xdr:to>
          <xdr:col>19</xdr:col>
          <xdr:colOff>495300</xdr:colOff>
          <xdr:row>2</xdr:row>
          <xdr:rowOff>19050</xdr:rowOff>
        </xdr:to>
        <xdr:sp macro="" textlink="">
          <xdr:nvSpPr>
            <xdr:cNvPr id="133121" name="Drop Down 1" hidden="1">
              <a:extLst>
                <a:ext uri="{63B3BB69-23CF-44E3-9099-C40C66FF867C}">
                  <a14:compatExt spid="_x0000_s133121"/>
                </a:ext>
                <a:ext uri="{FF2B5EF4-FFF2-40B4-BE49-F238E27FC236}">
                  <a16:creationId xmlns:a16="http://schemas.microsoft.com/office/drawing/2014/main" id="{00000000-0008-0000-1700-000001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19</xdr:col>
      <xdr:colOff>0</xdr:colOff>
      <xdr:row>28</xdr:row>
      <xdr:rowOff>0</xdr:rowOff>
    </xdr:from>
    <xdr:to>
      <xdr:col>25</xdr:col>
      <xdr:colOff>361950</xdr:colOff>
      <xdr:row>44</xdr:row>
      <xdr:rowOff>47719</xdr:rowOff>
    </xdr:to>
    <xdr:grpSp>
      <xdr:nvGrpSpPr>
        <xdr:cNvPr id="3" name="Agrupar 2">
          <a:extLst>
            <a:ext uri="{FF2B5EF4-FFF2-40B4-BE49-F238E27FC236}">
              <a16:creationId xmlns:a16="http://schemas.microsoft.com/office/drawing/2014/main" id="{00000000-0008-0000-1700-000003000000}"/>
            </a:ext>
          </a:extLst>
        </xdr:cNvPr>
        <xdr:cNvGrpSpPr/>
      </xdr:nvGrpSpPr>
      <xdr:grpSpPr>
        <a:xfrm>
          <a:off x="12152313" y="4746625"/>
          <a:ext cx="4695825" cy="2587719"/>
          <a:chOff x="36182300" y="8426450"/>
          <a:chExt cx="4819650" cy="2597244"/>
        </a:xfrm>
      </xdr:grpSpPr>
      <xdr:graphicFrame macro="">
        <xdr:nvGraphicFramePr>
          <xdr:cNvPr id="4" name="Gráfico 3">
            <a:extLst>
              <a:ext uri="{FF2B5EF4-FFF2-40B4-BE49-F238E27FC236}">
                <a16:creationId xmlns:a16="http://schemas.microsoft.com/office/drawing/2014/main" id="{00000000-0008-0000-1700-00000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aixaDeTexto 4">
            <a:extLst>
              <a:ext uri="{FF2B5EF4-FFF2-40B4-BE49-F238E27FC236}">
                <a16:creationId xmlns:a16="http://schemas.microsoft.com/office/drawing/2014/main" id="{00000000-0008-0000-1700-000005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6" name="CaixaDeTexto 5">
            <a:extLst>
              <a:ext uri="{FF2B5EF4-FFF2-40B4-BE49-F238E27FC236}">
                <a16:creationId xmlns:a16="http://schemas.microsoft.com/office/drawing/2014/main" id="{00000000-0008-0000-1700-000006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3_q7_q11_q15_q24_q35_Fig!$AG$23">
        <xdr:nvSpPr>
          <xdr:cNvPr id="7" name="CaixaDeTexto 6">
            <a:extLst>
              <a:ext uri="{FF2B5EF4-FFF2-40B4-BE49-F238E27FC236}">
                <a16:creationId xmlns:a16="http://schemas.microsoft.com/office/drawing/2014/main" id="{00000000-0008-0000-1700-000007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32E978C-36E4-4EF9-9691-B755701A40E7}" type="TxLink">
              <a:rPr lang="en-US" sz="1000" b="1" i="0" u="none" strike="noStrike">
                <a:solidFill>
                  <a:schemeClr val="bg1"/>
                </a:solidFill>
                <a:latin typeface="Arial"/>
                <a:ea typeface="+mn-ea"/>
                <a:cs typeface="Arial"/>
              </a:rPr>
              <a:pPr marL="0" indent="0" algn="ctr"/>
              <a:t>8,9%</a:t>
            </a:fld>
            <a:endParaRPr lang="pt-PT" sz="1000" b="1" i="0" u="none" strike="noStrike">
              <a:solidFill>
                <a:schemeClr val="bg1"/>
              </a:solidFill>
              <a:latin typeface="+mn-lt"/>
              <a:ea typeface="+mn-ea"/>
              <a:cs typeface="Arial"/>
            </a:endParaRPr>
          </a:p>
        </xdr:txBody>
      </xdr:sp>
      <xdr:sp macro="" textlink="q3_q7_q11_q15_q24_q35_Fig!$AG$22">
        <xdr:nvSpPr>
          <xdr:cNvPr id="8" name="CaixaDeTexto 7">
            <a:extLst>
              <a:ext uri="{FF2B5EF4-FFF2-40B4-BE49-F238E27FC236}">
                <a16:creationId xmlns:a16="http://schemas.microsoft.com/office/drawing/2014/main" id="{00000000-0008-0000-1700-000008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7446CB2-B6D2-404F-B931-3C95308C5530}" type="TxLink">
              <a:rPr lang="en-US" sz="1000" b="1" i="0" u="none" strike="noStrike">
                <a:solidFill>
                  <a:schemeClr val="bg1"/>
                </a:solidFill>
                <a:latin typeface="Arial"/>
                <a:cs typeface="Arial"/>
              </a:rPr>
              <a:pPr algn="ctr"/>
              <a:t>11,2%</a:t>
            </a:fld>
            <a:endParaRPr lang="pt-PT" sz="1000" b="1">
              <a:solidFill>
                <a:schemeClr val="bg1"/>
              </a:solidFill>
              <a:latin typeface="+mn-lt"/>
            </a:endParaRPr>
          </a:p>
        </xdr:txBody>
      </xdr:sp>
    </xdr:grpSp>
    <xdr:clientData/>
  </xdr:twoCellAnchor>
  <xdr:twoCellAnchor>
    <xdr:from>
      <xdr:col>19</xdr:col>
      <xdr:colOff>0</xdr:colOff>
      <xdr:row>67</xdr:row>
      <xdr:rowOff>0</xdr:rowOff>
    </xdr:from>
    <xdr:to>
      <xdr:col>25</xdr:col>
      <xdr:colOff>361950</xdr:colOff>
      <xdr:row>83</xdr:row>
      <xdr:rowOff>47719</xdr:rowOff>
    </xdr:to>
    <xdr:grpSp>
      <xdr:nvGrpSpPr>
        <xdr:cNvPr id="9" name="Agrupar 8">
          <a:extLst>
            <a:ext uri="{FF2B5EF4-FFF2-40B4-BE49-F238E27FC236}">
              <a16:creationId xmlns:a16="http://schemas.microsoft.com/office/drawing/2014/main" id="{00000000-0008-0000-1700-000009000000}"/>
            </a:ext>
          </a:extLst>
        </xdr:cNvPr>
        <xdr:cNvGrpSpPr/>
      </xdr:nvGrpSpPr>
      <xdr:grpSpPr>
        <a:xfrm>
          <a:off x="12152313" y="10969625"/>
          <a:ext cx="4695825" cy="2587719"/>
          <a:chOff x="36182300" y="8426450"/>
          <a:chExt cx="4819650" cy="2597244"/>
        </a:xfrm>
      </xdr:grpSpPr>
      <xdr:graphicFrame macro="">
        <xdr:nvGraphicFramePr>
          <xdr:cNvPr id="10" name="Gráfico 9">
            <a:extLst>
              <a:ext uri="{FF2B5EF4-FFF2-40B4-BE49-F238E27FC236}">
                <a16:creationId xmlns:a16="http://schemas.microsoft.com/office/drawing/2014/main" id="{00000000-0008-0000-1700-00000A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CaixaDeTexto 10">
            <a:extLst>
              <a:ext uri="{FF2B5EF4-FFF2-40B4-BE49-F238E27FC236}">
                <a16:creationId xmlns:a16="http://schemas.microsoft.com/office/drawing/2014/main" id="{00000000-0008-0000-1700-00000B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12" name="CaixaDeTexto 11">
            <a:extLst>
              <a:ext uri="{FF2B5EF4-FFF2-40B4-BE49-F238E27FC236}">
                <a16:creationId xmlns:a16="http://schemas.microsoft.com/office/drawing/2014/main" id="{00000000-0008-0000-1700-00000C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3_q7_q11_q15_q24_q35_Fig!$AG$63">
        <xdr:nvSpPr>
          <xdr:cNvPr id="13" name="CaixaDeTexto 12">
            <a:extLst>
              <a:ext uri="{FF2B5EF4-FFF2-40B4-BE49-F238E27FC236}">
                <a16:creationId xmlns:a16="http://schemas.microsoft.com/office/drawing/2014/main" id="{00000000-0008-0000-1700-00000D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2D5924-8C9A-41C8-91E0-F846F9A251E2}" type="TxLink">
              <a:rPr lang="en-US" sz="1000" b="1" i="0" u="none" strike="noStrike">
                <a:solidFill>
                  <a:schemeClr val="bg1"/>
                </a:solidFill>
                <a:latin typeface="Arial"/>
                <a:ea typeface="+mn-ea"/>
                <a:cs typeface="Arial"/>
              </a:rPr>
              <a:pPr marL="0" indent="0" algn="ctr"/>
              <a:t>42,2%</a:t>
            </a:fld>
            <a:endParaRPr lang="pt-PT" sz="1000" b="1" i="0" u="none" strike="noStrike">
              <a:solidFill>
                <a:schemeClr val="bg1"/>
              </a:solidFill>
              <a:latin typeface="+mn-lt"/>
              <a:ea typeface="+mn-ea"/>
              <a:cs typeface="Arial"/>
            </a:endParaRPr>
          </a:p>
        </xdr:txBody>
      </xdr:sp>
      <xdr:sp macro="" textlink="q3_q7_q11_q15_q24_q35_Fig!$AG$62">
        <xdr:nvSpPr>
          <xdr:cNvPr id="14" name="CaixaDeTexto 13">
            <a:extLst>
              <a:ext uri="{FF2B5EF4-FFF2-40B4-BE49-F238E27FC236}">
                <a16:creationId xmlns:a16="http://schemas.microsoft.com/office/drawing/2014/main" id="{00000000-0008-0000-1700-00000E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6DB01A9-3583-4425-97F6-0D959BD0A5C1}" type="TxLink">
              <a:rPr lang="en-US" sz="1000" b="1" i="0" u="none" strike="noStrike">
                <a:solidFill>
                  <a:schemeClr val="bg1"/>
                </a:solidFill>
                <a:latin typeface="Arial"/>
                <a:cs typeface="Arial"/>
              </a:rPr>
              <a:pPr algn="ctr"/>
              <a:t>40,6%</a:t>
            </a:fld>
            <a:endParaRPr lang="pt-PT" sz="1000" b="1">
              <a:solidFill>
                <a:schemeClr val="bg1"/>
              </a:solidFill>
              <a:latin typeface="+mn-lt"/>
            </a:endParaRPr>
          </a:p>
        </xdr:txBody>
      </xdr:sp>
    </xdr:grpSp>
    <xdr:clientData/>
  </xdr:twoCellAnchor>
  <xdr:twoCellAnchor>
    <xdr:from>
      <xdr:col>19</xdr:col>
      <xdr:colOff>0</xdr:colOff>
      <xdr:row>107</xdr:row>
      <xdr:rowOff>0</xdr:rowOff>
    </xdr:from>
    <xdr:to>
      <xdr:col>25</xdr:col>
      <xdr:colOff>361950</xdr:colOff>
      <xdr:row>123</xdr:row>
      <xdr:rowOff>47719</xdr:rowOff>
    </xdr:to>
    <xdr:grpSp>
      <xdr:nvGrpSpPr>
        <xdr:cNvPr id="15" name="Agrupar 14">
          <a:extLst>
            <a:ext uri="{FF2B5EF4-FFF2-40B4-BE49-F238E27FC236}">
              <a16:creationId xmlns:a16="http://schemas.microsoft.com/office/drawing/2014/main" id="{00000000-0008-0000-1700-00000F000000}"/>
            </a:ext>
          </a:extLst>
        </xdr:cNvPr>
        <xdr:cNvGrpSpPr/>
      </xdr:nvGrpSpPr>
      <xdr:grpSpPr>
        <a:xfrm>
          <a:off x="12152313" y="17351375"/>
          <a:ext cx="4695825" cy="2587719"/>
          <a:chOff x="36182300" y="8426450"/>
          <a:chExt cx="4819650" cy="2597244"/>
        </a:xfrm>
      </xdr:grpSpPr>
      <xdr:graphicFrame macro="">
        <xdr:nvGraphicFramePr>
          <xdr:cNvPr id="16" name="Gráfico 15">
            <a:extLst>
              <a:ext uri="{FF2B5EF4-FFF2-40B4-BE49-F238E27FC236}">
                <a16:creationId xmlns:a16="http://schemas.microsoft.com/office/drawing/2014/main" id="{00000000-0008-0000-1700-000010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7" name="CaixaDeTexto 16">
            <a:extLst>
              <a:ext uri="{FF2B5EF4-FFF2-40B4-BE49-F238E27FC236}">
                <a16:creationId xmlns:a16="http://schemas.microsoft.com/office/drawing/2014/main" id="{00000000-0008-0000-1700-000011000000}"/>
              </a:ext>
            </a:extLst>
          </xdr:cNvPr>
          <xdr:cNvSpPr txBox="1"/>
        </xdr:nvSpPr>
        <xdr:spPr>
          <a:xfrm>
            <a:off x="39836724" y="8902700"/>
            <a:ext cx="79640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18" name="CaixaDeTexto 17">
            <a:extLst>
              <a:ext uri="{FF2B5EF4-FFF2-40B4-BE49-F238E27FC236}">
                <a16:creationId xmlns:a16="http://schemas.microsoft.com/office/drawing/2014/main" id="{00000000-0008-0000-1700-000012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3_q7_q11_q15_q24_q35_Fig!$AG$103">
        <xdr:nvSpPr>
          <xdr:cNvPr id="19" name="CaixaDeTexto 18">
            <a:extLst>
              <a:ext uri="{FF2B5EF4-FFF2-40B4-BE49-F238E27FC236}">
                <a16:creationId xmlns:a16="http://schemas.microsoft.com/office/drawing/2014/main" id="{00000000-0008-0000-1700-000013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BEB6391-2DA1-4399-8E59-5272F0F21967}" type="TxLink">
              <a:rPr lang="en-US" sz="1000" b="1" i="0" u="none" strike="noStrike">
                <a:solidFill>
                  <a:schemeClr val="bg1"/>
                </a:solidFill>
                <a:latin typeface="Arial"/>
                <a:ea typeface="+mn-ea"/>
                <a:cs typeface="Arial"/>
              </a:rPr>
              <a:pPr marL="0" indent="0" algn="ctr"/>
              <a:t>27,2%</a:t>
            </a:fld>
            <a:endParaRPr lang="pt-PT" sz="1000" b="1" i="0" u="none" strike="noStrike">
              <a:solidFill>
                <a:schemeClr val="bg1"/>
              </a:solidFill>
              <a:latin typeface="+mn-lt"/>
              <a:ea typeface="+mn-ea"/>
              <a:cs typeface="Arial"/>
            </a:endParaRPr>
          </a:p>
        </xdr:txBody>
      </xdr:sp>
      <xdr:sp macro="" textlink="q3_q7_q11_q15_q24_q35_Fig!$AG$102">
        <xdr:nvSpPr>
          <xdr:cNvPr id="20" name="CaixaDeTexto 19">
            <a:extLst>
              <a:ext uri="{FF2B5EF4-FFF2-40B4-BE49-F238E27FC236}">
                <a16:creationId xmlns:a16="http://schemas.microsoft.com/office/drawing/2014/main" id="{00000000-0008-0000-1700-000014000000}"/>
              </a:ext>
            </a:extLst>
          </xdr:cNvPr>
          <xdr:cNvSpPr txBox="1"/>
        </xdr:nvSpPr>
        <xdr:spPr>
          <a:xfrm>
            <a:off x="39839901" y="9201150"/>
            <a:ext cx="797393" cy="26075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28287C6-FD56-4FDB-A45D-6AFD0E0E070A}" type="TxLink">
              <a:rPr lang="en-US" sz="1000" b="1" i="0" u="none" strike="noStrike">
                <a:solidFill>
                  <a:schemeClr val="bg1"/>
                </a:solidFill>
                <a:latin typeface="Arial"/>
                <a:cs typeface="Arial"/>
              </a:rPr>
              <a:pPr algn="ctr"/>
              <a:t>27,0%</a:t>
            </a:fld>
            <a:endParaRPr lang="pt-PT" sz="1000" b="1">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38</xdr:col>
          <xdr:colOff>9525</xdr:colOff>
          <xdr:row>15</xdr:row>
          <xdr:rowOff>0</xdr:rowOff>
        </xdr:from>
        <xdr:to>
          <xdr:col>39</xdr:col>
          <xdr:colOff>38100</xdr:colOff>
          <xdr:row>16</xdr:row>
          <xdr:rowOff>0</xdr:rowOff>
        </xdr:to>
        <xdr:sp macro="" textlink="">
          <xdr:nvSpPr>
            <xdr:cNvPr id="133122" name="Drop Down 2" hidden="1">
              <a:extLst>
                <a:ext uri="{63B3BB69-23CF-44E3-9099-C40C66FF867C}">
                  <a14:compatExt spid="_x0000_s133122"/>
                </a:ext>
                <a:ext uri="{FF2B5EF4-FFF2-40B4-BE49-F238E27FC236}">
                  <a16:creationId xmlns:a16="http://schemas.microsoft.com/office/drawing/2014/main" id="{00000000-0008-0000-1700-000002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15</xdr:row>
          <xdr:rowOff>0</xdr:rowOff>
        </xdr:from>
        <xdr:to>
          <xdr:col>46</xdr:col>
          <xdr:colOff>38100</xdr:colOff>
          <xdr:row>16</xdr:row>
          <xdr:rowOff>0</xdr:rowOff>
        </xdr:to>
        <xdr:sp macro="" textlink="">
          <xdr:nvSpPr>
            <xdr:cNvPr id="133123" name="Drop Down 3" hidden="1">
              <a:extLst>
                <a:ext uri="{63B3BB69-23CF-44E3-9099-C40C66FF867C}">
                  <a14:compatExt spid="_x0000_s133123"/>
                </a:ext>
                <a:ext uri="{FF2B5EF4-FFF2-40B4-BE49-F238E27FC236}">
                  <a16:creationId xmlns:a16="http://schemas.microsoft.com/office/drawing/2014/main" id="{00000000-0008-0000-1700-000003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15</xdr:row>
          <xdr:rowOff>0</xdr:rowOff>
        </xdr:from>
        <xdr:to>
          <xdr:col>53</xdr:col>
          <xdr:colOff>19050</xdr:colOff>
          <xdr:row>16</xdr:row>
          <xdr:rowOff>0</xdr:rowOff>
        </xdr:to>
        <xdr:sp macro="" textlink="">
          <xdr:nvSpPr>
            <xdr:cNvPr id="133124" name="Drop Down 4" hidden="1">
              <a:extLst>
                <a:ext uri="{63B3BB69-23CF-44E3-9099-C40C66FF867C}">
                  <a14:compatExt spid="_x0000_s133124"/>
                </a:ext>
                <a:ext uri="{FF2B5EF4-FFF2-40B4-BE49-F238E27FC236}">
                  <a16:creationId xmlns:a16="http://schemas.microsoft.com/office/drawing/2014/main" id="{00000000-0008-0000-1700-000004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37</xdr:col>
      <xdr:colOff>60614</xdr:colOff>
      <xdr:row>43</xdr:row>
      <xdr:rowOff>37523</xdr:rowOff>
    </xdr:from>
    <xdr:to>
      <xdr:col>43</xdr:col>
      <xdr:colOff>224108</xdr:colOff>
      <xdr:row>67</xdr:row>
      <xdr:rowOff>131932</xdr:rowOff>
    </xdr:to>
    <xdr:grpSp>
      <xdr:nvGrpSpPr>
        <xdr:cNvPr id="2" name="Agrupar 1">
          <a:extLst>
            <a:ext uri="{FF2B5EF4-FFF2-40B4-BE49-F238E27FC236}">
              <a16:creationId xmlns:a16="http://schemas.microsoft.com/office/drawing/2014/main" id="{00000000-0008-0000-1700-000002000000}"/>
            </a:ext>
          </a:extLst>
        </xdr:cNvPr>
        <xdr:cNvGrpSpPr/>
      </xdr:nvGrpSpPr>
      <xdr:grpSpPr>
        <a:xfrm>
          <a:off x="25968614" y="7165398"/>
          <a:ext cx="3830619" cy="3936159"/>
          <a:chOff x="27198205" y="7478568"/>
          <a:chExt cx="4008130" cy="4123773"/>
        </a:xfrm>
      </xdr:grpSpPr>
      <xdr:graphicFrame macro="">
        <xdr:nvGraphicFramePr>
          <xdr:cNvPr id="45" name="Gráfico 44">
            <a:extLst>
              <a:ext uri="{FF2B5EF4-FFF2-40B4-BE49-F238E27FC236}">
                <a16:creationId xmlns:a16="http://schemas.microsoft.com/office/drawing/2014/main" id="{00000000-0008-0000-1700-00002D000000}"/>
              </a:ext>
            </a:extLst>
          </xdr:cNvPr>
          <xdr:cNvGraphicFramePr/>
        </xdr:nvGraphicFramePr>
        <xdr:xfrm>
          <a:off x="27198205" y="7478568"/>
          <a:ext cx="2710018" cy="412377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48" name="Agrupar 47">
            <a:extLst>
              <a:ext uri="{FF2B5EF4-FFF2-40B4-BE49-F238E27FC236}">
                <a16:creationId xmlns:a16="http://schemas.microsoft.com/office/drawing/2014/main" id="{00000000-0008-0000-1700-000030000000}"/>
              </a:ext>
            </a:extLst>
          </xdr:cNvPr>
          <xdr:cNvGrpSpPr/>
        </xdr:nvGrpSpPr>
        <xdr:grpSpPr>
          <a:xfrm>
            <a:off x="29186733" y="7567120"/>
            <a:ext cx="2019602" cy="3870968"/>
            <a:chOff x="25929945" y="6707910"/>
            <a:chExt cx="2164306" cy="3088635"/>
          </a:xfrm>
        </xdr:grpSpPr>
        <mc:AlternateContent xmlns:mc="http://schemas.openxmlformats.org/markup-compatibility/2006">
          <mc:Choice xmlns:cx4="http://schemas.microsoft.com/office/drawing/2016/5/10/chartex" Requires="cx4">
            <xdr:graphicFrame macro="">
              <xdr:nvGraphicFramePr>
                <xdr:cNvPr id="49" name="Gráfico 48">
                  <a:extLst>
                    <a:ext uri="{FF2B5EF4-FFF2-40B4-BE49-F238E27FC236}">
                      <a16:creationId xmlns:a16="http://schemas.microsoft.com/office/drawing/2014/main" id="{00000000-0008-0000-1700-000031000000}"/>
                    </a:ext>
                  </a:extLst>
                </xdr:cNvPr>
                <xdr:cNvGraphicFramePr/>
              </xdr:nvGraphicFramePr>
              <xdr:xfrm>
                <a:off x="25929945" y="6707910"/>
                <a:ext cx="2075527" cy="1529773"/>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5929945" y="6707910"/>
                  <a:ext cx="2075527" cy="1529773"/>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50" name="Gráfico 49">
                  <a:extLst>
                    <a:ext uri="{FF2B5EF4-FFF2-40B4-BE49-F238E27FC236}">
                      <a16:creationId xmlns:a16="http://schemas.microsoft.com/office/drawing/2014/main" id="{00000000-0008-0000-1700-000032000000}"/>
                    </a:ext>
                  </a:extLst>
                </xdr:cNvPr>
                <xdr:cNvGraphicFramePr/>
              </xdr:nvGraphicFramePr>
              <xdr:xfrm>
                <a:off x="26018728" y="8266545"/>
                <a:ext cx="2075523" cy="153000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26018728" y="8266545"/>
                  <a:ext cx="2075523" cy="1530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45</xdr:col>
      <xdr:colOff>239568</xdr:colOff>
      <xdr:row>42</xdr:row>
      <xdr:rowOff>89477</xdr:rowOff>
    </xdr:from>
    <xdr:to>
      <xdr:col>51</xdr:col>
      <xdr:colOff>408547</xdr:colOff>
      <xdr:row>67</xdr:row>
      <xdr:rowOff>16477</xdr:rowOff>
    </xdr:to>
    <xdr:grpSp>
      <xdr:nvGrpSpPr>
        <xdr:cNvPr id="55" name="Agrupar 54">
          <a:extLst>
            <a:ext uri="{FF2B5EF4-FFF2-40B4-BE49-F238E27FC236}">
              <a16:creationId xmlns:a16="http://schemas.microsoft.com/office/drawing/2014/main" id="{00000000-0008-0000-1700-000037000000}"/>
            </a:ext>
          </a:extLst>
        </xdr:cNvPr>
        <xdr:cNvGrpSpPr/>
      </xdr:nvGrpSpPr>
      <xdr:grpSpPr>
        <a:xfrm>
          <a:off x="31037068" y="7058602"/>
          <a:ext cx="3836104" cy="3927500"/>
          <a:chOff x="4686304" y="5695948"/>
          <a:chExt cx="4047546" cy="4140000"/>
        </a:xfrm>
      </xdr:grpSpPr>
      <xdr:graphicFrame macro="">
        <xdr:nvGraphicFramePr>
          <xdr:cNvPr id="56" name="Gráfico 55">
            <a:extLst>
              <a:ext uri="{FF2B5EF4-FFF2-40B4-BE49-F238E27FC236}">
                <a16:creationId xmlns:a16="http://schemas.microsoft.com/office/drawing/2014/main" id="{00000000-0008-0000-1700-000038000000}"/>
              </a:ext>
            </a:extLst>
          </xdr:cNvPr>
          <xdr:cNvGraphicFramePr/>
        </xdr:nvGraphicFramePr>
        <xdr:xfrm>
          <a:off x="4686304" y="5695948"/>
          <a:ext cx="2700000" cy="4140000"/>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57" name="Agrupar 56">
            <a:extLst>
              <a:ext uri="{FF2B5EF4-FFF2-40B4-BE49-F238E27FC236}">
                <a16:creationId xmlns:a16="http://schemas.microsoft.com/office/drawing/2014/main" id="{00000000-0008-0000-1700-000039000000}"/>
              </a:ext>
            </a:extLst>
          </xdr:cNvPr>
          <xdr:cNvGrpSpPr/>
        </xdr:nvGrpSpPr>
        <xdr:grpSpPr>
          <a:xfrm>
            <a:off x="6775450" y="5772150"/>
            <a:ext cx="1958400" cy="3888000"/>
            <a:chOff x="30699366" y="10194636"/>
            <a:chExt cx="1935370" cy="3790590"/>
          </a:xfrm>
        </xdr:grpSpPr>
        <mc:AlternateContent xmlns:mc="http://schemas.openxmlformats.org/markup-compatibility/2006">
          <mc:Choice xmlns:cx4="http://schemas.microsoft.com/office/drawing/2016/5/10/chartex" Requires="cx4">
            <xdr:graphicFrame macro="">
              <xdr:nvGraphicFramePr>
                <xdr:cNvPr id="58" name="Gráfico 57">
                  <a:extLst>
                    <a:ext uri="{FF2B5EF4-FFF2-40B4-BE49-F238E27FC236}">
                      <a16:creationId xmlns:a16="http://schemas.microsoft.com/office/drawing/2014/main" id="{00000000-0008-0000-1700-00003A000000}"/>
                    </a:ext>
                  </a:extLst>
                </xdr:cNvPr>
                <xdr:cNvGraphicFramePr/>
              </xdr:nvGraphicFramePr>
              <xdr:xfrm>
                <a:off x="30705136" y="10194636"/>
                <a:ext cx="1929600" cy="1925999"/>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30705136" y="10194636"/>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59" name="Gráfico 58">
                  <a:extLst>
                    <a:ext uri="{FF2B5EF4-FFF2-40B4-BE49-F238E27FC236}">
                      <a16:creationId xmlns:a16="http://schemas.microsoft.com/office/drawing/2014/main" id="{00000000-0008-0000-1700-00003B000000}"/>
                    </a:ext>
                  </a:extLst>
                </xdr:cNvPr>
                <xdr:cNvGraphicFramePr/>
              </xdr:nvGraphicFramePr>
              <xdr:xfrm>
                <a:off x="30699366" y="12059227"/>
                <a:ext cx="1929600" cy="1925999"/>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0699366" y="12059227"/>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54</xdr:col>
      <xdr:colOff>196272</xdr:colOff>
      <xdr:row>42</xdr:row>
      <xdr:rowOff>144318</xdr:rowOff>
    </xdr:from>
    <xdr:to>
      <xdr:col>60</xdr:col>
      <xdr:colOff>240122</xdr:colOff>
      <xdr:row>67</xdr:row>
      <xdr:rowOff>74204</xdr:rowOff>
    </xdr:to>
    <xdr:grpSp>
      <xdr:nvGrpSpPr>
        <xdr:cNvPr id="68" name="Agrupar 67">
          <a:extLst>
            <a:ext uri="{FF2B5EF4-FFF2-40B4-BE49-F238E27FC236}">
              <a16:creationId xmlns:a16="http://schemas.microsoft.com/office/drawing/2014/main" id="{00000000-0008-0000-1700-000044000000}"/>
            </a:ext>
          </a:extLst>
        </xdr:cNvPr>
        <xdr:cNvGrpSpPr/>
      </xdr:nvGrpSpPr>
      <xdr:grpSpPr>
        <a:xfrm>
          <a:off x="36526210" y="7113443"/>
          <a:ext cx="3742725" cy="3930386"/>
          <a:chOff x="9321800" y="5695949"/>
          <a:chExt cx="3925560" cy="4140000"/>
        </a:xfrm>
      </xdr:grpSpPr>
      <xdr:grpSp>
        <xdr:nvGrpSpPr>
          <xdr:cNvPr id="69" name="Agrupar 68">
            <a:extLst>
              <a:ext uri="{FF2B5EF4-FFF2-40B4-BE49-F238E27FC236}">
                <a16:creationId xmlns:a16="http://schemas.microsoft.com/office/drawing/2014/main" id="{00000000-0008-0000-1700-000045000000}"/>
              </a:ext>
            </a:extLst>
          </xdr:cNvPr>
          <xdr:cNvGrpSpPr/>
        </xdr:nvGrpSpPr>
        <xdr:grpSpPr>
          <a:xfrm>
            <a:off x="11288960" y="5768938"/>
            <a:ext cx="1958400" cy="3888000"/>
            <a:chOff x="10933360" y="5102189"/>
            <a:chExt cx="1937290" cy="3770711"/>
          </a:xfrm>
        </xdr:grpSpPr>
        <mc:AlternateContent xmlns:mc="http://schemas.openxmlformats.org/markup-compatibility/2006">
          <mc:Choice xmlns:cx4="http://schemas.microsoft.com/office/drawing/2016/5/10/chartex" Requires="cx4">
            <xdr:graphicFrame macro="">
              <xdr:nvGraphicFramePr>
                <xdr:cNvPr id="71" name="Gráfico 70">
                  <a:extLst>
                    <a:ext uri="{FF2B5EF4-FFF2-40B4-BE49-F238E27FC236}">
                      <a16:creationId xmlns:a16="http://schemas.microsoft.com/office/drawing/2014/main" id="{00000000-0008-0000-1700-000047000000}"/>
                    </a:ext>
                  </a:extLst>
                </xdr:cNvPr>
                <xdr:cNvGraphicFramePr/>
              </xdr:nvGraphicFramePr>
              <xdr:xfrm>
                <a:off x="10933360" y="5102189"/>
                <a:ext cx="1929600" cy="1916778"/>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10933360" y="5102189"/>
                  <a:ext cx="1929600" cy="1916778"/>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72" name="Gráfico 71">
                  <a:extLst>
                    <a:ext uri="{FF2B5EF4-FFF2-40B4-BE49-F238E27FC236}">
                      <a16:creationId xmlns:a16="http://schemas.microsoft.com/office/drawing/2014/main" id="{00000000-0008-0000-1700-000048000000}"/>
                    </a:ext>
                  </a:extLst>
                </xdr:cNvPr>
                <xdr:cNvGraphicFramePr/>
              </xdr:nvGraphicFramePr>
              <xdr:xfrm>
                <a:off x="10941050" y="6946900"/>
                <a:ext cx="1929600" cy="192600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0941050" y="6946900"/>
                  <a:ext cx="1929600" cy="1926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aphicFrame macro="">
        <xdr:nvGraphicFramePr>
          <xdr:cNvPr id="70" name="Gráfico 69">
            <a:extLst>
              <a:ext uri="{FF2B5EF4-FFF2-40B4-BE49-F238E27FC236}">
                <a16:creationId xmlns:a16="http://schemas.microsoft.com/office/drawing/2014/main" id="{00000000-0008-0000-1700-000046000000}"/>
              </a:ext>
            </a:extLst>
          </xdr:cNvPr>
          <xdr:cNvGraphicFramePr>
            <a:graphicFrameLocks/>
          </xdr:cNvGraphicFramePr>
        </xdr:nvGraphicFramePr>
        <xdr:xfrm>
          <a:off x="9321800" y="5695949"/>
          <a:ext cx="2700000" cy="414000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oneCellAnchor>
    <xdr:from>
      <xdr:col>38</xdr:col>
      <xdr:colOff>80818</xdr:colOff>
      <xdr:row>9</xdr:row>
      <xdr:rowOff>55561</xdr:rowOff>
    </xdr:from>
    <xdr:ext cx="4305600" cy="805296"/>
    <xdr:sp macro="" textlink="q3_q7_q11_q15_q24_q35_Fig!$AL$4">
      <xdr:nvSpPr>
        <xdr:cNvPr id="74" name="CaixaDeTexto 73">
          <a:extLst>
            <a:ext uri="{FF2B5EF4-FFF2-40B4-BE49-F238E27FC236}">
              <a16:creationId xmlns:a16="http://schemas.microsoft.com/office/drawing/2014/main" id="{00000000-0008-0000-1700-00004A000000}"/>
            </a:ext>
          </a:extLst>
        </xdr:cNvPr>
        <xdr:cNvSpPr txBox="1"/>
      </xdr:nvSpPr>
      <xdr:spPr>
        <a:xfrm>
          <a:off x="26600006" y="1484311"/>
          <a:ext cx="4305600" cy="805296"/>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fld id="{05EE6538-8254-4769-9B41-D130758B06B6}" type="TxLink">
            <a:rPr lang="en-US" sz="900" b="1" i="0" u="none" strike="noStrike">
              <a:solidFill>
                <a:srgbClr val="19375E"/>
              </a:solidFill>
              <a:latin typeface="Calibri"/>
              <a:cs typeface="Calibri"/>
            </a:rPr>
            <a:pPr algn="l"/>
            <a:t>2023:
O distrito de Lisboa era a sede de 65.753 empresas (equivalendo a 22,6% do Continente, sendo o 1º de 18 distritos);
Era também a localização de 77.253 estabelecimentos (constituindo 22,7% do Continente, sendo o 1º de 18 distritos).</a:t>
          </a:fld>
          <a:endParaRPr lang="en-US" sz="900" b="1">
            <a:solidFill>
              <a:srgbClr val="19375E"/>
            </a:solidFill>
          </a:endParaRPr>
        </a:p>
      </xdr:txBody>
    </xdr:sp>
    <xdr:clientData/>
  </xdr:oneCellAnchor>
  <xdr:twoCellAnchor>
    <xdr:from>
      <xdr:col>30</xdr:col>
      <xdr:colOff>0</xdr:colOff>
      <xdr:row>77</xdr:row>
      <xdr:rowOff>0</xdr:rowOff>
    </xdr:from>
    <xdr:to>
      <xdr:col>35</xdr:col>
      <xdr:colOff>22560</xdr:colOff>
      <xdr:row>83</xdr:row>
      <xdr:rowOff>39688</xdr:rowOff>
    </xdr:to>
    <xdr:sp macro="" textlink="q3_q7_q11_q15_q24_q35_Fig!$AE$69">
      <xdr:nvSpPr>
        <xdr:cNvPr id="75" name="CaixaDeTexto 74">
          <a:extLst>
            <a:ext uri="{FF2B5EF4-FFF2-40B4-BE49-F238E27FC236}">
              <a16:creationId xmlns:a16="http://schemas.microsoft.com/office/drawing/2014/main" id="{00000000-0008-0000-1700-00004B000000}"/>
            </a:ext>
          </a:extLst>
        </xdr:cNvPr>
        <xdr:cNvSpPr txBox="1"/>
      </xdr:nvSpPr>
      <xdr:spPr>
        <a:xfrm>
          <a:off x="20407313" y="12557125"/>
          <a:ext cx="4300872" cy="992188"/>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B68D530-8978-42BF-A477-72FE6EFAFB1D}" type="TxLink">
            <a:rPr lang="en-US" sz="1000" b="1" i="0" u="none" strike="noStrike">
              <a:solidFill>
                <a:srgbClr val="17375E"/>
              </a:solidFill>
              <a:latin typeface="Calibri"/>
              <a:cs typeface="Calibri"/>
            </a:rPr>
            <a:pPr algn="l"/>
            <a:t>2023:
As empresas do distrito de Lisboa tinham ao seu serviço 1.039.751 pessoas (variação de 40,6% face a 2013, ou seja, mais 300.460) e tinham 994.831 TCO (variação de 42,2% face a 2013, ou seja, mais 295.398).</a:t>
          </a:fld>
          <a:endParaRPr lang="pt-PT" sz="1000" b="1">
            <a:solidFill>
              <a:srgbClr val="17375E"/>
            </a:solidFill>
            <a:latin typeface="+mn-lt"/>
          </a:endParaRPr>
        </a:p>
      </xdr:txBody>
    </xdr:sp>
    <xdr:clientData/>
  </xdr:twoCellAnchor>
  <xdr:twoCellAnchor>
    <xdr:from>
      <xdr:col>50</xdr:col>
      <xdr:colOff>60614</xdr:colOff>
      <xdr:row>8</xdr:row>
      <xdr:rowOff>103910</xdr:rowOff>
    </xdr:from>
    <xdr:to>
      <xdr:col>57</xdr:col>
      <xdr:colOff>17233</xdr:colOff>
      <xdr:row>14</xdr:row>
      <xdr:rowOff>77974</xdr:rowOff>
    </xdr:to>
    <xdr:sp macro="" textlink="q3_q7_q11_q15_q24_q35_Fig!$AY$2">
      <xdr:nvSpPr>
        <xdr:cNvPr id="76" name="CaixaDeTexto 75">
          <a:extLst>
            <a:ext uri="{FF2B5EF4-FFF2-40B4-BE49-F238E27FC236}">
              <a16:creationId xmlns:a16="http://schemas.microsoft.com/office/drawing/2014/main" id="{00000000-0008-0000-1700-00004C000000}"/>
            </a:ext>
          </a:extLst>
        </xdr:cNvPr>
        <xdr:cNvSpPr txBox="1"/>
      </xdr:nvSpPr>
      <xdr:spPr>
        <a:xfrm>
          <a:off x="33779114" y="1420092"/>
          <a:ext cx="4303483" cy="9612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1F28934-1925-4A62-87C6-4367C739C557}" type="TxLink">
            <a:rPr lang="en-US" sz="1000" b="1" i="0" u="none" strike="noStrike">
              <a:solidFill>
                <a:srgbClr val="19375E"/>
              </a:solidFill>
              <a:latin typeface="Calibri"/>
              <a:cs typeface="Calibri"/>
            </a:rPr>
            <a:pPr algn="l"/>
            <a:t>2023:
As empresas do distrito de Lisboa tinham ao seu serviço 1.039.751 pessoas (29,8% do Continente, ocupando a 1º posição entre 18 distritos) e  994.831 TCO ( 30,2% do Continente, sendo o 1º de 18 distritos).</a:t>
          </a:fld>
          <a:endParaRPr lang="pt-PT" sz="1000" b="1">
            <a:solidFill>
              <a:srgbClr val="19375E"/>
            </a:solidFill>
            <a:latin typeface="+mn-lt"/>
          </a:endParaRPr>
        </a:p>
      </xdr:txBody>
    </xdr:sp>
    <xdr:clientData/>
  </xdr:twoCellAnchor>
  <xdr:twoCellAnchor>
    <xdr:from>
      <xdr:col>30</xdr:col>
      <xdr:colOff>8659</xdr:colOff>
      <xdr:row>116</xdr:row>
      <xdr:rowOff>95249</xdr:rowOff>
    </xdr:from>
    <xdr:to>
      <xdr:col>35</xdr:col>
      <xdr:colOff>64269</xdr:colOff>
      <xdr:row>122</xdr:row>
      <xdr:rowOff>150813</xdr:rowOff>
    </xdr:to>
    <xdr:sp macro="" textlink="q3_q7_q11_q15_q24_q35_Fig!$AE$109">
      <xdr:nvSpPr>
        <xdr:cNvPr id="77" name="CaixaDeTexto 76">
          <a:extLst>
            <a:ext uri="{FF2B5EF4-FFF2-40B4-BE49-F238E27FC236}">
              <a16:creationId xmlns:a16="http://schemas.microsoft.com/office/drawing/2014/main" id="{00000000-0008-0000-1700-00004D000000}"/>
            </a:ext>
          </a:extLst>
        </xdr:cNvPr>
        <xdr:cNvSpPr txBox="1"/>
      </xdr:nvSpPr>
      <xdr:spPr>
        <a:xfrm>
          <a:off x="20415972" y="18875374"/>
          <a:ext cx="4333922" cy="1008064"/>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677BE54-6F28-4EC0-8FA0-7616C2A8B54A}" type="TxLink">
            <a:rPr lang="en-US" sz="1000" b="1" i="0" u="none" strike="noStrike">
              <a:solidFill>
                <a:srgbClr val="17375E"/>
              </a:solidFill>
              <a:latin typeface="Calibri"/>
              <a:cs typeface="Calibri"/>
            </a:rPr>
            <a:pPr algn="l"/>
            <a:t>2023:
No distrito de Lisboa a remuneração média mensal base era de 1.474,8 euros (variação de 27% face a 2013, ou seja, + 314,0 euros) e de 1.779,4 euros a remuneração média mensal ganho (variação de 27,2% face a 2013, ou seja, + 380,3 euros).</a:t>
          </a:fld>
          <a:endParaRPr lang="pt-PT" sz="1000" b="1">
            <a:solidFill>
              <a:srgbClr val="17375E"/>
            </a:solidFill>
            <a:latin typeface="+mn-lt"/>
          </a:endParaRPr>
        </a:p>
      </xdr:txBody>
    </xdr:sp>
    <xdr:clientData/>
  </xdr:twoCellAnchor>
  <xdr:twoCellAnchor>
    <xdr:from>
      <xdr:col>63</xdr:col>
      <xdr:colOff>60614</xdr:colOff>
      <xdr:row>8</xdr:row>
      <xdr:rowOff>155863</xdr:rowOff>
    </xdr:from>
    <xdr:to>
      <xdr:col>69</xdr:col>
      <xdr:colOff>565055</xdr:colOff>
      <xdr:row>14</xdr:row>
      <xdr:rowOff>129927</xdr:rowOff>
    </xdr:to>
    <xdr:sp macro="" textlink="q3_q7_q11_q15_q24_q35_Fig!$BL$2">
      <xdr:nvSpPr>
        <xdr:cNvPr id="78" name="CaixaDeTexto 77">
          <a:extLst>
            <a:ext uri="{FF2B5EF4-FFF2-40B4-BE49-F238E27FC236}">
              <a16:creationId xmlns:a16="http://schemas.microsoft.com/office/drawing/2014/main" id="{00000000-0008-0000-1700-00004E000000}"/>
            </a:ext>
          </a:extLst>
        </xdr:cNvPr>
        <xdr:cNvSpPr txBox="1"/>
      </xdr:nvSpPr>
      <xdr:spPr>
        <a:xfrm>
          <a:off x="41762796" y="1472045"/>
          <a:ext cx="4141259" cy="9612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53C62BF-CF50-48B8-9FE7-1F22836FC988}" type="TxLink">
            <a:rPr lang="en-US" sz="1000" b="1" i="0" u="none" strike="noStrike">
              <a:solidFill>
                <a:srgbClr val="19375E"/>
              </a:solidFill>
              <a:latin typeface="Calibri"/>
              <a:cs typeface="Calibri"/>
            </a:rPr>
            <a:pPr algn="l"/>
            <a:t>2023:
No distrito de Lisboa a remuneração média mensal base era de 1.474,8 euros (+20,9% que no Continente, sendo o 1º de 18 distritos) e  1.779,4 euros a remuneração média mensal ganho (+21,3% que no Continente, sendo o 1º de 18 distritos).</a:t>
          </a:fld>
          <a:endParaRPr lang="pt-PT" sz="1000" b="1">
            <a:solidFill>
              <a:srgbClr val="19375E"/>
            </a:solidFill>
            <a:latin typeface="+mn-lt"/>
          </a:endParaRPr>
        </a:p>
      </xdr:txBody>
    </xdr:sp>
    <xdr:clientData/>
  </xdr:twoCellAnchor>
  <xdr:twoCellAnchor>
    <xdr:from>
      <xdr:col>39</xdr:col>
      <xdr:colOff>229466</xdr:colOff>
      <xdr:row>40</xdr:row>
      <xdr:rowOff>32231</xdr:rowOff>
    </xdr:from>
    <xdr:to>
      <xdr:col>45</xdr:col>
      <xdr:colOff>457486</xdr:colOff>
      <xdr:row>43</xdr:row>
      <xdr:rowOff>116137</xdr:rowOff>
    </xdr:to>
    <xdr:grpSp>
      <xdr:nvGrpSpPr>
        <xdr:cNvPr id="21" name="Agrupar 20">
          <a:extLst>
            <a:ext uri="{FF2B5EF4-FFF2-40B4-BE49-F238E27FC236}">
              <a16:creationId xmlns:a16="http://schemas.microsoft.com/office/drawing/2014/main" id="{00000000-0008-0000-1700-000015000000}"/>
            </a:ext>
          </a:extLst>
        </xdr:cNvPr>
        <xdr:cNvGrpSpPr/>
      </xdr:nvGrpSpPr>
      <xdr:grpSpPr>
        <a:xfrm>
          <a:off x="27359841" y="6683856"/>
          <a:ext cx="3895145" cy="560156"/>
          <a:chOff x="27137591" y="6707909"/>
          <a:chExt cx="3833088" cy="561600"/>
        </a:xfrm>
      </xdr:grpSpPr>
      <xdr:grpSp>
        <xdr:nvGrpSpPr>
          <xdr:cNvPr id="52" name="Agrupar 51">
            <a:extLst>
              <a:ext uri="{FF2B5EF4-FFF2-40B4-BE49-F238E27FC236}">
                <a16:creationId xmlns:a16="http://schemas.microsoft.com/office/drawing/2014/main" id="{00000000-0008-0000-1700-000034000000}"/>
              </a:ext>
            </a:extLst>
          </xdr:cNvPr>
          <xdr:cNvGrpSpPr/>
        </xdr:nvGrpSpPr>
        <xdr:grpSpPr>
          <a:xfrm>
            <a:off x="27137591" y="6875717"/>
            <a:ext cx="2083589" cy="246645"/>
            <a:chOff x="120650" y="4292600"/>
            <a:chExt cx="2076467" cy="247573"/>
          </a:xfrm>
        </xdr:grpSpPr>
        <mc:AlternateContent xmlns:mc="http://schemas.openxmlformats.org/markup-compatibility/2006">
          <mc:Choice xmlns:a14="http://schemas.microsoft.com/office/drawing/2010/main" Requires="a14">
            <xdr:sp macro="" textlink="">
              <xdr:nvSpPr>
                <xdr:cNvPr id="133125" name="Drop Down 5" hidden="1">
                  <a:extLst>
                    <a:ext uri="{63B3BB69-23CF-44E3-9099-C40C66FF867C}">
                      <a14:compatExt spid="_x0000_s133125"/>
                    </a:ext>
                    <a:ext uri="{FF2B5EF4-FFF2-40B4-BE49-F238E27FC236}">
                      <a16:creationId xmlns:a16="http://schemas.microsoft.com/office/drawing/2014/main" id="{00000000-0008-0000-1700-000005080200}"/>
                    </a:ext>
                  </a:extLst>
                </xdr:cNvPr>
                <xdr:cNvSpPr/>
              </xdr:nvSpPr>
              <xdr:spPr bwMode="auto">
                <a:xfrm>
                  <a:off x="1524017" y="4298872"/>
                  <a:ext cx="673100" cy="241301"/>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4" name="Text Box 10">
              <a:extLst>
                <a:ext uri="{FF2B5EF4-FFF2-40B4-BE49-F238E27FC236}">
                  <a16:creationId xmlns:a16="http://schemas.microsoft.com/office/drawing/2014/main" id="{00000000-0008-0000-1700-000036000000}"/>
                </a:ext>
              </a:extLst>
            </xdr:cNvPr>
            <xdr:cNvSpPr txBox="1">
              <a:spLocks noChangeArrowheads="1"/>
            </xdr:cNvSpPr>
          </xdr:nvSpPr>
          <xdr:spPr bwMode="auto">
            <a:xfrm>
              <a:off x="120650" y="429260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79" name="Gráfico 78">
            <a:extLst>
              <a:ext uri="{FF2B5EF4-FFF2-40B4-BE49-F238E27FC236}">
                <a16:creationId xmlns:a16="http://schemas.microsoft.com/office/drawing/2014/main" id="{00000000-0008-0000-1700-00004F000000}"/>
              </a:ext>
            </a:extLst>
          </xdr:cNvPr>
          <xdr:cNvGraphicFramePr>
            <a:graphicFrameLocks/>
          </xdr:cNvGraphicFramePr>
        </xdr:nvGraphicFramePr>
        <xdr:xfrm>
          <a:off x="29394725" y="6707909"/>
          <a:ext cx="1575954" cy="561600"/>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twoCellAnchor>
    <xdr:from>
      <xdr:col>47</xdr:col>
      <xdr:colOff>105593</xdr:colOff>
      <xdr:row>40</xdr:row>
      <xdr:rowOff>32231</xdr:rowOff>
    </xdr:from>
    <xdr:to>
      <xdr:col>53</xdr:col>
      <xdr:colOff>237643</xdr:colOff>
      <xdr:row>43</xdr:row>
      <xdr:rowOff>116137</xdr:rowOff>
    </xdr:to>
    <xdr:grpSp>
      <xdr:nvGrpSpPr>
        <xdr:cNvPr id="22" name="Agrupar 21">
          <a:extLst>
            <a:ext uri="{FF2B5EF4-FFF2-40B4-BE49-F238E27FC236}">
              <a16:creationId xmlns:a16="http://schemas.microsoft.com/office/drawing/2014/main" id="{00000000-0008-0000-1700-000016000000}"/>
            </a:ext>
          </a:extLst>
        </xdr:cNvPr>
        <xdr:cNvGrpSpPr/>
      </xdr:nvGrpSpPr>
      <xdr:grpSpPr>
        <a:xfrm>
          <a:off x="32125468" y="6683856"/>
          <a:ext cx="3815050" cy="560156"/>
          <a:chOff x="31830818" y="6707909"/>
          <a:chExt cx="3758044" cy="561600"/>
        </a:xfrm>
      </xdr:grpSpPr>
      <xdr:grpSp>
        <xdr:nvGrpSpPr>
          <xdr:cNvPr id="61" name="Agrupar 60">
            <a:extLst>
              <a:ext uri="{FF2B5EF4-FFF2-40B4-BE49-F238E27FC236}">
                <a16:creationId xmlns:a16="http://schemas.microsoft.com/office/drawing/2014/main" id="{00000000-0008-0000-1700-00003D000000}"/>
              </a:ext>
            </a:extLst>
          </xdr:cNvPr>
          <xdr:cNvGrpSpPr/>
        </xdr:nvGrpSpPr>
        <xdr:grpSpPr>
          <a:xfrm>
            <a:off x="31830818" y="6875776"/>
            <a:ext cx="2050206" cy="240396"/>
            <a:chOff x="5127622" y="4549776"/>
            <a:chExt cx="2050994" cy="241304"/>
          </a:xfrm>
        </xdr:grpSpPr>
        <xdr:sp macro="" textlink="">
          <xdr:nvSpPr>
            <xdr:cNvPr id="63" name="Text Box 10">
              <a:extLst>
                <a:ext uri="{FF2B5EF4-FFF2-40B4-BE49-F238E27FC236}">
                  <a16:creationId xmlns:a16="http://schemas.microsoft.com/office/drawing/2014/main" id="{00000000-0008-0000-1700-00003F000000}"/>
                </a:ext>
              </a:extLst>
            </xdr:cNvPr>
            <xdr:cNvSpPr txBox="1">
              <a:spLocks noChangeArrowheads="1"/>
            </xdr:cNvSpPr>
          </xdr:nvSpPr>
          <xdr:spPr bwMode="auto">
            <a:xfrm>
              <a:off x="5127622" y="454978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3126" name="Drop Down 6" hidden="1">
                  <a:extLst>
                    <a:ext uri="{63B3BB69-23CF-44E3-9099-C40C66FF867C}">
                      <a14:compatExt spid="_x0000_s133126"/>
                    </a:ext>
                    <a:ext uri="{FF2B5EF4-FFF2-40B4-BE49-F238E27FC236}">
                      <a16:creationId xmlns:a16="http://schemas.microsoft.com/office/drawing/2014/main" id="{00000000-0008-0000-1700-000006080200}"/>
                    </a:ext>
                  </a:extLst>
                </xdr:cNvPr>
                <xdr:cNvSpPr/>
              </xdr:nvSpPr>
              <xdr:spPr bwMode="auto">
                <a:xfrm>
                  <a:off x="6505546" y="4549776"/>
                  <a:ext cx="673070" cy="241203"/>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0" name="Gráfico 79">
            <a:extLst>
              <a:ext uri="{FF2B5EF4-FFF2-40B4-BE49-F238E27FC236}">
                <a16:creationId xmlns:a16="http://schemas.microsoft.com/office/drawing/2014/main" id="{00000000-0008-0000-1700-000050000000}"/>
              </a:ext>
            </a:extLst>
          </xdr:cNvPr>
          <xdr:cNvGraphicFramePr>
            <a:graphicFrameLocks/>
          </xdr:cNvGraphicFramePr>
        </xdr:nvGraphicFramePr>
        <xdr:xfrm>
          <a:off x="34012908" y="6707909"/>
          <a:ext cx="1575954" cy="561600"/>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55</xdr:col>
      <xdr:colOff>15151</xdr:colOff>
      <xdr:row>40</xdr:row>
      <xdr:rowOff>84186</xdr:rowOff>
    </xdr:from>
    <xdr:to>
      <xdr:col>61</xdr:col>
      <xdr:colOff>25737</xdr:colOff>
      <xdr:row>44</xdr:row>
      <xdr:rowOff>9342</xdr:rowOff>
    </xdr:to>
    <xdr:grpSp>
      <xdr:nvGrpSpPr>
        <xdr:cNvPr id="23" name="Agrupar 22">
          <a:extLst>
            <a:ext uri="{FF2B5EF4-FFF2-40B4-BE49-F238E27FC236}">
              <a16:creationId xmlns:a16="http://schemas.microsoft.com/office/drawing/2014/main" id="{00000000-0008-0000-1700-000017000000}"/>
            </a:ext>
          </a:extLst>
        </xdr:cNvPr>
        <xdr:cNvGrpSpPr/>
      </xdr:nvGrpSpPr>
      <xdr:grpSpPr>
        <a:xfrm>
          <a:off x="36956276" y="6735811"/>
          <a:ext cx="3709461" cy="560156"/>
          <a:chOff x="36599088" y="6759864"/>
          <a:chExt cx="3688776" cy="561600"/>
        </a:xfrm>
      </xdr:grpSpPr>
      <xdr:grpSp>
        <xdr:nvGrpSpPr>
          <xdr:cNvPr id="65" name="Agrupar 64">
            <a:extLst>
              <a:ext uri="{FF2B5EF4-FFF2-40B4-BE49-F238E27FC236}">
                <a16:creationId xmlns:a16="http://schemas.microsoft.com/office/drawing/2014/main" id="{00000000-0008-0000-1700-000041000000}"/>
              </a:ext>
            </a:extLst>
          </xdr:cNvPr>
          <xdr:cNvGrpSpPr/>
        </xdr:nvGrpSpPr>
        <xdr:grpSpPr>
          <a:xfrm>
            <a:off x="36599088" y="6916360"/>
            <a:ext cx="2054316" cy="246644"/>
            <a:chOff x="9423400" y="4330700"/>
            <a:chExt cx="2063820" cy="247571"/>
          </a:xfrm>
        </xdr:grpSpPr>
        <xdr:sp macro="" textlink="">
          <xdr:nvSpPr>
            <xdr:cNvPr id="67" name="Text Box 10">
              <a:extLst>
                <a:ext uri="{FF2B5EF4-FFF2-40B4-BE49-F238E27FC236}">
                  <a16:creationId xmlns:a16="http://schemas.microsoft.com/office/drawing/2014/main" id="{00000000-0008-0000-1700-000043000000}"/>
                </a:ext>
              </a:extLst>
            </xdr:cNvPr>
            <xdr:cNvSpPr txBox="1">
              <a:spLocks noChangeArrowheads="1"/>
            </xdr:cNvSpPr>
          </xdr:nvSpPr>
          <xdr:spPr bwMode="auto">
            <a:xfrm>
              <a:off x="9423400" y="433070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3127" name="Drop Down 7" hidden="1">
                  <a:extLst>
                    <a:ext uri="{63B3BB69-23CF-44E3-9099-C40C66FF867C}">
                      <a14:compatExt spid="_x0000_s133127"/>
                    </a:ext>
                    <a:ext uri="{FF2B5EF4-FFF2-40B4-BE49-F238E27FC236}">
                      <a16:creationId xmlns:a16="http://schemas.microsoft.com/office/drawing/2014/main" id="{00000000-0008-0000-1700-000007080200}"/>
                    </a:ext>
                  </a:extLst>
                </xdr:cNvPr>
                <xdr:cNvSpPr/>
              </xdr:nvSpPr>
              <xdr:spPr bwMode="auto">
                <a:xfrm>
                  <a:off x="10814099" y="4337063"/>
                  <a:ext cx="673121" cy="241208"/>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1" name="Gráfico 80">
            <a:extLst>
              <a:ext uri="{FF2B5EF4-FFF2-40B4-BE49-F238E27FC236}">
                <a16:creationId xmlns:a16="http://schemas.microsoft.com/office/drawing/2014/main" id="{00000000-0008-0000-1700-000051000000}"/>
              </a:ext>
            </a:extLst>
          </xdr:cNvPr>
          <xdr:cNvGraphicFramePr>
            <a:graphicFrameLocks/>
          </xdr:cNvGraphicFramePr>
        </xdr:nvGraphicFramePr>
        <xdr:xfrm>
          <a:off x="38711910" y="6759864"/>
          <a:ext cx="1575954" cy="561600"/>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30</xdr:col>
      <xdr:colOff>0</xdr:colOff>
      <xdr:row>48</xdr:row>
      <xdr:rowOff>0</xdr:rowOff>
    </xdr:from>
    <xdr:to>
      <xdr:col>35</xdr:col>
      <xdr:colOff>39494</xdr:colOff>
      <xdr:row>53</xdr:row>
      <xdr:rowOff>7938</xdr:rowOff>
    </xdr:to>
    <xdr:sp macro="" textlink="q3_q7_q11_q15_q24_q35_Fig!$AE$46">
      <xdr:nvSpPr>
        <xdr:cNvPr id="60" name="CaixaDeTexto 59">
          <a:extLst>
            <a:ext uri="{FF2B5EF4-FFF2-40B4-BE49-F238E27FC236}">
              <a16:creationId xmlns:a16="http://schemas.microsoft.com/office/drawing/2014/main" id="{00000000-0008-0000-1700-00003C000000}"/>
            </a:ext>
          </a:extLst>
        </xdr:cNvPr>
        <xdr:cNvSpPr txBox="1"/>
      </xdr:nvSpPr>
      <xdr:spPr>
        <a:xfrm>
          <a:off x="20407313" y="7921625"/>
          <a:ext cx="4317806" cy="801688"/>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D5D32B2-A2B3-4A0C-81AE-CEAE5435D886}" type="TxLink">
            <a:rPr lang="en-US" sz="1000" b="1" i="0" u="none" strike="noStrike">
              <a:solidFill>
                <a:srgbClr val="19375E"/>
              </a:solidFill>
              <a:latin typeface="Calibri"/>
              <a:cs typeface="Calibri"/>
            </a:rPr>
            <a:pPr algn="l"/>
            <a:t>2023:
O distrito de Lisboa era a sede de 65.753 empresas (variação de 11,2% face a 2013, ou seja, mais 6.644) e era a localização de 77.253 estabelecimentos (variação de 8,9% face a 2013, ou seja, mais 6.292).</a:t>
          </a:fld>
          <a:endParaRPr lang="pt-PT" sz="1000" b="1">
            <a:solidFill>
              <a:srgbClr val="19375E"/>
            </a:solidFill>
            <a:latin typeface="+mn-lt"/>
          </a:endParaRP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5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46.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1562BE-B5C4-4463-8A69-D7384DB4EAF1}"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5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74D2AA2-194D-463F-A90B-879DF062E9BC}"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47.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2363ABA-4DF2-4BB4-B35C-BE4C0AECD3C3}"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5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EBFF525-C5AC-4332-81AA-4A61089D2C43}"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266700</xdr:colOff>
          <xdr:row>0</xdr:row>
          <xdr:rowOff>142875</xdr:rowOff>
        </xdr:from>
        <xdr:to>
          <xdr:col>17</xdr:col>
          <xdr:colOff>942975</xdr:colOff>
          <xdr:row>2</xdr:row>
          <xdr:rowOff>19050</xdr:rowOff>
        </xdr:to>
        <xdr:sp macro="" textlink="">
          <xdr:nvSpPr>
            <xdr:cNvPr id="286721" name="Drop Down 1" hidden="1">
              <a:extLst>
                <a:ext uri="{63B3BB69-23CF-44E3-9099-C40C66FF867C}">
                  <a14:compatExt spid="_x0000_s286721"/>
                </a:ext>
                <a:ext uri="{FF2B5EF4-FFF2-40B4-BE49-F238E27FC236}">
                  <a16:creationId xmlns:a16="http://schemas.microsoft.com/office/drawing/2014/main" id="{00000000-0008-0000-1800-000001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314325</xdr:colOff>
      <xdr:row>10</xdr:row>
      <xdr:rowOff>95250</xdr:rowOff>
    </xdr:from>
    <xdr:to>
      <xdr:col>24</xdr:col>
      <xdr:colOff>314325</xdr:colOff>
      <xdr:row>26</xdr:row>
      <xdr:rowOff>92169</xdr:rowOff>
    </xdr:to>
    <xdr:grpSp>
      <xdr:nvGrpSpPr>
        <xdr:cNvPr id="3" name="Agrupar 2">
          <a:extLst>
            <a:ext uri="{FF2B5EF4-FFF2-40B4-BE49-F238E27FC236}">
              <a16:creationId xmlns:a16="http://schemas.microsoft.com/office/drawing/2014/main" id="{00000000-0008-0000-1800-000003000000}"/>
            </a:ext>
          </a:extLst>
        </xdr:cNvPr>
        <xdr:cNvGrpSpPr/>
      </xdr:nvGrpSpPr>
      <xdr:grpSpPr>
        <a:xfrm>
          <a:off x="11903075" y="1682750"/>
          <a:ext cx="4706938" cy="3029044"/>
          <a:chOff x="36182300" y="8426450"/>
          <a:chExt cx="4819650" cy="2597244"/>
        </a:xfrm>
      </xdr:grpSpPr>
      <xdr:graphicFrame macro="">
        <xdr:nvGraphicFramePr>
          <xdr:cNvPr id="4" name="Gráfico 3">
            <a:extLst>
              <a:ext uri="{FF2B5EF4-FFF2-40B4-BE49-F238E27FC236}">
                <a16:creationId xmlns:a16="http://schemas.microsoft.com/office/drawing/2014/main" id="{00000000-0008-0000-1800-00000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aixaDeTexto 4">
            <a:extLst>
              <a:ext uri="{FF2B5EF4-FFF2-40B4-BE49-F238E27FC236}">
                <a16:creationId xmlns:a16="http://schemas.microsoft.com/office/drawing/2014/main" id="{00000000-0008-0000-1800-000005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6" name="CaixaDeTexto 5">
            <a:extLst>
              <a:ext uri="{FF2B5EF4-FFF2-40B4-BE49-F238E27FC236}">
                <a16:creationId xmlns:a16="http://schemas.microsoft.com/office/drawing/2014/main" id="{00000000-0008-0000-1800-000006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4_8_12_16_25_36_Fig!$AF$7">
        <xdr:nvSpPr>
          <xdr:cNvPr id="7" name="CaixaDeTexto 6">
            <a:extLst>
              <a:ext uri="{FF2B5EF4-FFF2-40B4-BE49-F238E27FC236}">
                <a16:creationId xmlns:a16="http://schemas.microsoft.com/office/drawing/2014/main" id="{00000000-0008-0000-1800-000007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2404EAA-843D-404C-97A7-A7D9C1759CE7}" type="TxLink">
              <a:rPr lang="en-US" sz="1000" b="1" i="0" u="none" strike="noStrike">
                <a:solidFill>
                  <a:schemeClr val="bg1"/>
                </a:solidFill>
                <a:latin typeface="Arial"/>
                <a:ea typeface="+mn-ea"/>
                <a:cs typeface="Arial"/>
              </a:rPr>
              <a:pPr marL="0" indent="0" algn="ctr"/>
              <a:t>8,5%</a:t>
            </a:fld>
            <a:endParaRPr lang="pt-PT" sz="1000" b="1" i="0" u="none" strike="noStrike">
              <a:solidFill>
                <a:schemeClr val="bg1"/>
              </a:solidFill>
              <a:latin typeface="+mn-lt"/>
              <a:ea typeface="+mn-ea"/>
              <a:cs typeface="Arial"/>
            </a:endParaRPr>
          </a:p>
        </xdr:txBody>
      </xdr:sp>
      <xdr:sp macro="" textlink="q4_8_12_16_25_36_Fig!$AF$6">
        <xdr:nvSpPr>
          <xdr:cNvPr id="8" name="CaixaDeTexto 7">
            <a:extLst>
              <a:ext uri="{FF2B5EF4-FFF2-40B4-BE49-F238E27FC236}">
                <a16:creationId xmlns:a16="http://schemas.microsoft.com/office/drawing/2014/main" id="{00000000-0008-0000-1800-000008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703C2B1-8626-42A2-AC00-65574A18ADD9}" type="TxLink">
              <a:rPr lang="en-US" sz="1000" b="1" i="0" u="none" strike="noStrike">
                <a:solidFill>
                  <a:schemeClr val="bg1"/>
                </a:solidFill>
                <a:latin typeface="Arial"/>
                <a:cs typeface="Arial"/>
              </a:rPr>
              <a:pPr algn="ctr"/>
              <a:t>11,0%</a:t>
            </a:fld>
            <a:endParaRPr lang="pt-PT" sz="1000" b="1">
              <a:solidFill>
                <a:schemeClr val="bg1"/>
              </a:solidFill>
              <a:latin typeface="+mn-lt"/>
            </a:endParaRPr>
          </a:p>
        </xdr:txBody>
      </xdr:sp>
    </xdr:grpSp>
    <xdr:clientData/>
  </xdr:twoCellAnchor>
  <xdr:twoCellAnchor>
    <xdr:from>
      <xdr:col>29</xdr:col>
      <xdr:colOff>0</xdr:colOff>
      <xdr:row>20</xdr:row>
      <xdr:rowOff>0</xdr:rowOff>
    </xdr:from>
    <xdr:to>
      <xdr:col>32</xdr:col>
      <xdr:colOff>590550</xdr:colOff>
      <xdr:row>25</xdr:row>
      <xdr:rowOff>123825</xdr:rowOff>
    </xdr:to>
    <xdr:sp macro="" textlink="q4_8_12_16_25_36_Fig!$AD$13">
      <xdr:nvSpPr>
        <xdr:cNvPr id="9" name="CaixaDeTexto 8">
          <a:extLst>
            <a:ext uri="{FF2B5EF4-FFF2-40B4-BE49-F238E27FC236}">
              <a16:creationId xmlns:a16="http://schemas.microsoft.com/office/drawing/2014/main" id="{00000000-0008-0000-1800-000009000000}"/>
            </a:ext>
          </a:extLst>
        </xdr:cNvPr>
        <xdr:cNvSpPr txBox="1"/>
      </xdr:nvSpPr>
      <xdr:spPr>
        <a:xfrm>
          <a:off x="19307175" y="3238500"/>
          <a:ext cx="3829050" cy="93345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135EAE7-FE7B-413D-B5FA-84BD206EC832}" type="TxLink">
            <a:rPr lang="en-US" sz="1000" b="1" i="0" u="none" strike="noStrike">
              <a:solidFill>
                <a:srgbClr val="19375E"/>
              </a:solidFill>
              <a:latin typeface="Calibri"/>
              <a:cs typeface="Calibri"/>
            </a:rPr>
            <a:pPr algn="l"/>
            <a:t>2023:
A região Grande Lisboa era a sede de 59.573 empresas (variação de 11% face a 2013, ou seja, mais 5.888) e era a localização de 70.104 estabelecimentos (variação de 8,5% face a 2013, ou seja, mais 5.517).</a:t>
          </a:fld>
          <a:endParaRPr lang="pt-PT" sz="1000" b="1">
            <a:solidFill>
              <a:srgbClr val="19375E"/>
            </a:solidFill>
            <a:latin typeface="+mn-lt"/>
          </a:endParaRPr>
        </a:p>
      </xdr:txBody>
    </xdr:sp>
    <xdr:clientData/>
  </xdr:twoCellAnchor>
  <xdr:twoCellAnchor>
    <xdr:from>
      <xdr:col>17</xdr:col>
      <xdr:colOff>0</xdr:colOff>
      <xdr:row>43</xdr:row>
      <xdr:rowOff>0</xdr:rowOff>
    </xdr:from>
    <xdr:to>
      <xdr:col>24</xdr:col>
      <xdr:colOff>0</xdr:colOff>
      <xdr:row>58</xdr:row>
      <xdr:rowOff>158844</xdr:rowOff>
    </xdr:to>
    <xdr:grpSp>
      <xdr:nvGrpSpPr>
        <xdr:cNvPr id="10" name="Agrupar 9">
          <a:extLst>
            <a:ext uri="{FF2B5EF4-FFF2-40B4-BE49-F238E27FC236}">
              <a16:creationId xmlns:a16="http://schemas.microsoft.com/office/drawing/2014/main" id="{00000000-0008-0000-1800-00000A000000}"/>
            </a:ext>
          </a:extLst>
        </xdr:cNvPr>
        <xdr:cNvGrpSpPr/>
      </xdr:nvGrpSpPr>
      <xdr:grpSpPr>
        <a:xfrm>
          <a:off x="11588750" y="7318375"/>
          <a:ext cx="4706938" cy="2540094"/>
          <a:chOff x="36182300" y="8426450"/>
          <a:chExt cx="4819650" cy="2597244"/>
        </a:xfrm>
      </xdr:grpSpPr>
      <xdr:graphicFrame macro="">
        <xdr:nvGraphicFramePr>
          <xdr:cNvPr id="11" name="Gráfico 10">
            <a:extLst>
              <a:ext uri="{FF2B5EF4-FFF2-40B4-BE49-F238E27FC236}">
                <a16:creationId xmlns:a16="http://schemas.microsoft.com/office/drawing/2014/main" id="{00000000-0008-0000-1800-00000B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2" name="CaixaDeTexto 11">
            <a:extLst>
              <a:ext uri="{FF2B5EF4-FFF2-40B4-BE49-F238E27FC236}">
                <a16:creationId xmlns:a16="http://schemas.microsoft.com/office/drawing/2014/main" id="{00000000-0008-0000-1800-00000C000000}"/>
              </a:ext>
            </a:extLst>
          </xdr:cNvPr>
          <xdr:cNvSpPr txBox="1"/>
        </xdr:nvSpPr>
        <xdr:spPr>
          <a:xfrm>
            <a:off x="39738963" y="8902700"/>
            <a:ext cx="920821"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a:t>
            </a:r>
            <a:r>
              <a:rPr lang="pt-PT" sz="800" b="1" baseline="0">
                <a:solidFill>
                  <a:schemeClr val="bg1"/>
                </a:solidFill>
                <a:latin typeface="+mn-lt"/>
                <a:ea typeface="+mn-ea"/>
                <a:cs typeface="+mn-cs"/>
              </a:rPr>
              <a:t> ao serviço</a:t>
            </a:r>
            <a:endParaRPr lang="pt-PT" sz="800" b="1">
              <a:solidFill>
                <a:schemeClr val="bg1"/>
              </a:solidFill>
              <a:latin typeface="+mn-lt"/>
              <a:ea typeface="+mn-ea"/>
              <a:cs typeface="+mn-cs"/>
            </a:endParaRPr>
          </a:p>
        </xdr:txBody>
      </xdr:sp>
      <xdr:sp macro="" textlink="">
        <xdr:nvSpPr>
          <xdr:cNvPr id="13" name="CaixaDeTexto 12">
            <a:extLst>
              <a:ext uri="{FF2B5EF4-FFF2-40B4-BE49-F238E27FC236}">
                <a16:creationId xmlns:a16="http://schemas.microsoft.com/office/drawing/2014/main" id="{00000000-0008-0000-1800-00000D000000}"/>
              </a:ext>
            </a:extLst>
          </xdr:cNvPr>
          <xdr:cNvSpPr txBox="1"/>
        </xdr:nvSpPr>
        <xdr:spPr>
          <a:xfrm>
            <a:off x="39735787" y="9721850"/>
            <a:ext cx="92003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4_8_12_16_25_36_Fig!$AF$39">
        <xdr:nvSpPr>
          <xdr:cNvPr id="14" name="CaixaDeTexto 13">
            <a:extLst>
              <a:ext uri="{FF2B5EF4-FFF2-40B4-BE49-F238E27FC236}">
                <a16:creationId xmlns:a16="http://schemas.microsoft.com/office/drawing/2014/main" id="{00000000-0008-0000-1800-00000E000000}"/>
              </a:ext>
            </a:extLst>
          </xdr:cNvPr>
          <xdr:cNvSpPr txBox="1"/>
        </xdr:nvSpPr>
        <xdr:spPr>
          <a:xfrm>
            <a:off x="39742137" y="9994900"/>
            <a:ext cx="920037"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C628681-42B8-490E-BF90-49FAE6624B3A}" type="TxLink">
              <a:rPr lang="en-US" sz="1000" b="1" i="0" u="none" strike="noStrike">
                <a:solidFill>
                  <a:schemeClr val="bg1"/>
                </a:solidFill>
                <a:latin typeface="Arial"/>
                <a:ea typeface="+mn-ea"/>
                <a:cs typeface="Arial"/>
              </a:rPr>
              <a:pPr marL="0" indent="0" algn="ctr"/>
              <a:t>41,5%</a:t>
            </a:fld>
            <a:endParaRPr lang="pt-PT" sz="1000" b="1" i="0" u="none" strike="noStrike">
              <a:solidFill>
                <a:schemeClr val="bg1"/>
              </a:solidFill>
              <a:latin typeface="+mn-lt"/>
              <a:ea typeface="+mn-ea"/>
              <a:cs typeface="Arial"/>
            </a:endParaRPr>
          </a:p>
        </xdr:txBody>
      </xdr:sp>
      <xdr:sp macro="" textlink="q4_8_12_16_25_36_Fig!$AF$38">
        <xdr:nvSpPr>
          <xdr:cNvPr id="15" name="CaixaDeTexto 14">
            <a:extLst>
              <a:ext uri="{FF2B5EF4-FFF2-40B4-BE49-F238E27FC236}">
                <a16:creationId xmlns:a16="http://schemas.microsoft.com/office/drawing/2014/main" id="{00000000-0008-0000-1800-00000F000000}"/>
              </a:ext>
            </a:extLst>
          </xdr:cNvPr>
          <xdr:cNvSpPr txBox="1"/>
        </xdr:nvSpPr>
        <xdr:spPr>
          <a:xfrm>
            <a:off x="39742138" y="9201150"/>
            <a:ext cx="920037"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8462A02-08D0-485C-A58B-9CFA442F8DAD}" type="TxLink">
              <a:rPr lang="en-US" sz="1000" b="1" i="0" u="none" strike="noStrike">
                <a:solidFill>
                  <a:schemeClr val="bg1"/>
                </a:solidFill>
                <a:latin typeface="Arial"/>
                <a:cs typeface="Arial"/>
              </a:rPr>
              <a:pPr algn="ctr"/>
              <a:t>40,0%</a:t>
            </a:fld>
            <a:endParaRPr lang="pt-PT" sz="1000" b="1">
              <a:solidFill>
                <a:schemeClr val="bg1"/>
              </a:solidFill>
              <a:latin typeface="+mn-lt"/>
            </a:endParaRPr>
          </a:p>
        </xdr:txBody>
      </xdr:sp>
    </xdr:grpSp>
    <xdr:clientData/>
  </xdr:twoCellAnchor>
  <xdr:twoCellAnchor>
    <xdr:from>
      <xdr:col>29</xdr:col>
      <xdr:colOff>0</xdr:colOff>
      <xdr:row>53</xdr:row>
      <xdr:rowOff>0</xdr:rowOff>
    </xdr:from>
    <xdr:to>
      <xdr:col>32</xdr:col>
      <xdr:colOff>590550</xdr:colOff>
      <xdr:row>58</xdr:row>
      <xdr:rowOff>123825</xdr:rowOff>
    </xdr:to>
    <xdr:sp macro="" textlink="q4_8_12_16_25_36_Fig!$AD$45">
      <xdr:nvSpPr>
        <xdr:cNvPr id="16" name="CaixaDeTexto 15">
          <a:extLst>
            <a:ext uri="{FF2B5EF4-FFF2-40B4-BE49-F238E27FC236}">
              <a16:creationId xmlns:a16="http://schemas.microsoft.com/office/drawing/2014/main" id="{00000000-0008-0000-1800-000010000000}"/>
            </a:ext>
          </a:extLst>
        </xdr:cNvPr>
        <xdr:cNvSpPr txBox="1"/>
      </xdr:nvSpPr>
      <xdr:spPr>
        <a:xfrm>
          <a:off x="19307175" y="8582025"/>
          <a:ext cx="3829050" cy="93345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4F71898-CF94-4DCE-AA2F-72DCD7959E3E}" type="TxLink">
            <a:rPr lang="en-US" sz="1000" b="1" i="0" u="none" strike="noStrike">
              <a:solidFill>
                <a:srgbClr val="17375E"/>
              </a:solidFill>
              <a:latin typeface="Calibri"/>
              <a:cs typeface="Calibri"/>
            </a:rPr>
            <a:pPr algn="l"/>
            <a:t>2023:
As empresas da região Grande Lisboa tinham ao seu serviço 969.558 pessoas (variação de 40% face a 2013, ou seja, mais 276.854) e tinham 928.991 TCO (variação de 41,5% face a 2013, ou seja, mais 272.421).</a:t>
          </a:fld>
          <a:endParaRPr lang="pt-PT" sz="1000" b="1">
            <a:solidFill>
              <a:srgbClr val="17375E"/>
            </a:solidFill>
            <a:latin typeface="+mn-lt"/>
          </a:endParaRPr>
        </a:p>
      </xdr:txBody>
    </xdr:sp>
    <xdr:clientData/>
  </xdr:twoCellAnchor>
  <xdr:twoCellAnchor>
    <xdr:from>
      <xdr:col>29</xdr:col>
      <xdr:colOff>27709</xdr:colOff>
      <xdr:row>87</xdr:row>
      <xdr:rowOff>66674</xdr:rowOff>
    </xdr:from>
    <xdr:to>
      <xdr:col>34</xdr:col>
      <xdr:colOff>83319</xdr:colOff>
      <xdr:row>94</xdr:row>
      <xdr:rowOff>7938</xdr:rowOff>
    </xdr:to>
    <xdr:sp macro="" textlink="q4_8_12_16_25_36_Fig!$AD$79">
      <xdr:nvSpPr>
        <xdr:cNvPr id="24" name="CaixaDeTexto 23">
          <a:extLst>
            <a:ext uri="{FF2B5EF4-FFF2-40B4-BE49-F238E27FC236}">
              <a16:creationId xmlns:a16="http://schemas.microsoft.com/office/drawing/2014/main" id="{00000000-0008-0000-1800-000018000000}"/>
            </a:ext>
          </a:extLst>
        </xdr:cNvPr>
        <xdr:cNvSpPr txBox="1"/>
      </xdr:nvSpPr>
      <xdr:spPr>
        <a:xfrm>
          <a:off x="19379334" y="14751049"/>
          <a:ext cx="4516485" cy="1052514"/>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87A5A50-91E7-41DD-9D93-498CEEF9164E}" type="TxLink">
            <a:rPr lang="en-US" sz="1000" b="1" i="0" u="none" strike="noStrike">
              <a:solidFill>
                <a:srgbClr val="17375E"/>
              </a:solidFill>
              <a:latin typeface="Calibri"/>
              <a:cs typeface="Calibri"/>
            </a:rPr>
            <a:pPr algn="l"/>
            <a:t>2023:
Na regiãoGrande Lisboa a remuneração média mensal base era de 1.506 euros (variação de 27,2% face a 2013, ou seja, + 321,7 euros) e de 1.817 euros a remuneração média mensal ganho (variação de 27,3% face a 2013, ou seja , + 389,2 euros).</a:t>
          </a:fld>
          <a:endParaRPr lang="pt-PT" sz="1000" b="1">
            <a:solidFill>
              <a:srgbClr val="17375E"/>
            </a:solidFill>
            <a:latin typeface="+mn-lt"/>
          </a:endParaRPr>
        </a:p>
      </xdr:txBody>
    </xdr:sp>
    <xdr:clientData/>
  </xdr:twoCellAnchor>
  <xdr:twoCellAnchor>
    <xdr:from>
      <xdr:col>17</xdr:col>
      <xdr:colOff>0</xdr:colOff>
      <xdr:row>78</xdr:row>
      <xdr:rowOff>0</xdr:rowOff>
    </xdr:from>
    <xdr:to>
      <xdr:col>24</xdr:col>
      <xdr:colOff>0</xdr:colOff>
      <xdr:row>93</xdr:row>
      <xdr:rowOff>158844</xdr:rowOff>
    </xdr:to>
    <xdr:grpSp>
      <xdr:nvGrpSpPr>
        <xdr:cNvPr id="25" name="Agrupar 24">
          <a:extLst>
            <a:ext uri="{FF2B5EF4-FFF2-40B4-BE49-F238E27FC236}">
              <a16:creationId xmlns:a16="http://schemas.microsoft.com/office/drawing/2014/main" id="{00000000-0008-0000-1800-000019000000}"/>
            </a:ext>
          </a:extLst>
        </xdr:cNvPr>
        <xdr:cNvGrpSpPr/>
      </xdr:nvGrpSpPr>
      <xdr:grpSpPr>
        <a:xfrm>
          <a:off x="11588750" y="12874625"/>
          <a:ext cx="4706938" cy="2921094"/>
          <a:chOff x="36182300" y="8426450"/>
          <a:chExt cx="4819650" cy="2597244"/>
        </a:xfrm>
      </xdr:grpSpPr>
      <xdr:graphicFrame macro="">
        <xdr:nvGraphicFramePr>
          <xdr:cNvPr id="26" name="Gráfico 25">
            <a:extLst>
              <a:ext uri="{FF2B5EF4-FFF2-40B4-BE49-F238E27FC236}">
                <a16:creationId xmlns:a16="http://schemas.microsoft.com/office/drawing/2014/main" id="{00000000-0008-0000-1800-00001A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7" name="CaixaDeTexto 26">
            <a:extLst>
              <a:ext uri="{FF2B5EF4-FFF2-40B4-BE49-F238E27FC236}">
                <a16:creationId xmlns:a16="http://schemas.microsoft.com/office/drawing/2014/main" id="{00000000-0008-0000-1800-00001B000000}"/>
              </a:ext>
            </a:extLst>
          </xdr:cNvPr>
          <xdr:cNvSpPr txBox="1"/>
        </xdr:nvSpPr>
        <xdr:spPr>
          <a:xfrm>
            <a:off x="39836724" y="8902700"/>
            <a:ext cx="79640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28" name="CaixaDeTexto 27">
            <a:extLst>
              <a:ext uri="{FF2B5EF4-FFF2-40B4-BE49-F238E27FC236}">
                <a16:creationId xmlns:a16="http://schemas.microsoft.com/office/drawing/2014/main" id="{00000000-0008-0000-1800-00001C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AF$73">
        <xdr:nvSpPr>
          <xdr:cNvPr id="29" name="CaixaDeTexto 28">
            <a:extLst>
              <a:ext uri="{FF2B5EF4-FFF2-40B4-BE49-F238E27FC236}">
                <a16:creationId xmlns:a16="http://schemas.microsoft.com/office/drawing/2014/main" id="{00000000-0008-0000-1800-00001D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3BBC7EA-1A36-477F-82BD-085858888245}" type="TxLink">
              <a:rPr lang="en-US" sz="1000" b="1" i="0" u="none" strike="noStrike">
                <a:solidFill>
                  <a:schemeClr val="bg1"/>
                </a:solidFill>
                <a:latin typeface="Arial"/>
                <a:ea typeface="+mn-ea"/>
                <a:cs typeface="Arial"/>
              </a:rPr>
              <a:pPr marL="0" indent="0" algn="ctr"/>
              <a:t>27,3%</a:t>
            </a:fld>
            <a:endParaRPr lang="pt-PT" sz="1000" b="1" i="0" u="none" strike="noStrike">
              <a:solidFill>
                <a:schemeClr val="bg1"/>
              </a:solidFill>
              <a:latin typeface="+mn-lt"/>
              <a:ea typeface="+mn-ea"/>
              <a:cs typeface="Arial"/>
            </a:endParaRPr>
          </a:p>
        </xdr:txBody>
      </xdr:sp>
      <xdr:sp macro="" textlink="$AF$72">
        <xdr:nvSpPr>
          <xdr:cNvPr id="30" name="CaixaDeTexto 29">
            <a:extLst>
              <a:ext uri="{FF2B5EF4-FFF2-40B4-BE49-F238E27FC236}">
                <a16:creationId xmlns:a16="http://schemas.microsoft.com/office/drawing/2014/main" id="{00000000-0008-0000-1800-00001E000000}"/>
              </a:ext>
            </a:extLst>
          </xdr:cNvPr>
          <xdr:cNvSpPr txBox="1"/>
        </xdr:nvSpPr>
        <xdr:spPr>
          <a:xfrm>
            <a:off x="39839901" y="9201150"/>
            <a:ext cx="797393" cy="26075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54472D-EA9A-4C5E-A6BB-A6190384620A}" type="TxLink">
              <a:rPr lang="en-US" sz="1000" b="1" i="0" u="none" strike="noStrike">
                <a:solidFill>
                  <a:schemeClr val="bg1"/>
                </a:solidFill>
                <a:latin typeface="Arial"/>
                <a:cs typeface="Arial"/>
              </a:rPr>
              <a:pPr algn="ctr"/>
              <a:t>27,2%</a:t>
            </a:fld>
            <a:endParaRPr lang="pt-PT" sz="1000" b="1">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43</xdr:col>
          <xdr:colOff>9525</xdr:colOff>
          <xdr:row>1</xdr:row>
          <xdr:rowOff>0</xdr:rowOff>
        </xdr:from>
        <xdr:to>
          <xdr:col>43</xdr:col>
          <xdr:colOff>638175</xdr:colOff>
          <xdr:row>2</xdr:row>
          <xdr:rowOff>19050</xdr:rowOff>
        </xdr:to>
        <xdr:sp macro="" textlink="">
          <xdr:nvSpPr>
            <xdr:cNvPr id="286722" name="Drop Down 2" hidden="1">
              <a:extLst>
                <a:ext uri="{63B3BB69-23CF-44E3-9099-C40C66FF867C}">
                  <a14:compatExt spid="_x0000_s286722"/>
                </a:ext>
                <a:ext uri="{FF2B5EF4-FFF2-40B4-BE49-F238E27FC236}">
                  <a16:creationId xmlns:a16="http://schemas.microsoft.com/office/drawing/2014/main" id="{00000000-0008-0000-1800-000002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41</xdr:col>
      <xdr:colOff>435924</xdr:colOff>
      <xdr:row>44</xdr:row>
      <xdr:rowOff>16327</xdr:rowOff>
    </xdr:from>
    <xdr:to>
      <xdr:col>49</xdr:col>
      <xdr:colOff>29830</xdr:colOff>
      <xdr:row>72</xdr:row>
      <xdr:rowOff>55789</xdr:rowOff>
    </xdr:to>
    <xdr:grpSp>
      <xdr:nvGrpSpPr>
        <xdr:cNvPr id="21" name="Agrupar 20">
          <a:extLst>
            <a:ext uri="{FF2B5EF4-FFF2-40B4-BE49-F238E27FC236}">
              <a16:creationId xmlns:a16="http://schemas.microsoft.com/office/drawing/2014/main" id="{00000000-0008-0000-1800-000015000000}"/>
            </a:ext>
          </a:extLst>
        </xdr:cNvPr>
        <xdr:cNvGrpSpPr/>
      </xdr:nvGrpSpPr>
      <xdr:grpSpPr>
        <a:xfrm>
          <a:off x="28526737" y="7493452"/>
          <a:ext cx="7023406" cy="4484462"/>
          <a:chOff x="28561888" y="7200898"/>
          <a:chExt cx="5383746" cy="4611462"/>
        </a:xfrm>
      </xdr:grpSpPr>
      <xdr:grpSp>
        <xdr:nvGrpSpPr>
          <xdr:cNvPr id="63" name="Agrupar 62">
            <a:extLst>
              <a:ext uri="{FF2B5EF4-FFF2-40B4-BE49-F238E27FC236}">
                <a16:creationId xmlns:a16="http://schemas.microsoft.com/office/drawing/2014/main" id="{00000000-0008-0000-1800-00003F000000}"/>
              </a:ext>
            </a:extLst>
          </xdr:cNvPr>
          <xdr:cNvGrpSpPr/>
        </xdr:nvGrpSpPr>
        <xdr:grpSpPr>
          <a:xfrm>
            <a:off x="30577059" y="7200898"/>
            <a:ext cx="3368575" cy="4368645"/>
            <a:chOff x="30803162" y="7231324"/>
            <a:chExt cx="3364246" cy="4315203"/>
          </a:xfrm>
          <a:solidFill>
            <a:schemeClr val="bg1"/>
          </a:solidFill>
        </xdr:grpSpPr>
        <xdr:grpSp>
          <xdr:nvGrpSpPr>
            <xdr:cNvPr id="39" name="Agrupar 38">
              <a:extLst>
                <a:ext uri="{FF2B5EF4-FFF2-40B4-BE49-F238E27FC236}">
                  <a16:creationId xmlns:a16="http://schemas.microsoft.com/office/drawing/2014/main" id="{00000000-0008-0000-1800-000027000000}"/>
                </a:ext>
              </a:extLst>
            </xdr:cNvPr>
            <xdr:cNvGrpSpPr/>
          </xdr:nvGrpSpPr>
          <xdr:grpSpPr>
            <a:xfrm>
              <a:off x="30803162" y="7422149"/>
              <a:ext cx="3364246" cy="4124378"/>
              <a:chOff x="14530245" y="132576"/>
              <a:chExt cx="5450221" cy="7645400"/>
            </a:xfrm>
            <a:grpFill/>
          </xdr:grpSpPr>
          <xdr:pic>
            <xdr:nvPicPr>
              <xdr:cNvPr id="40" name="Imagem 39" descr="2024">
                <a:extLst>
                  <a:ext uri="{FF2B5EF4-FFF2-40B4-BE49-F238E27FC236}">
                    <a16:creationId xmlns:a16="http://schemas.microsoft.com/office/drawing/2014/main" id="{00000000-0008-0000-1800-000028000000}"/>
                  </a:ext>
                </a:extLst>
              </xdr:cNvPr>
              <xdr:cNvPicPr>
                <a:picLocks noChangeAspect="1" noChangeArrowheads="1"/>
              </xdr:cNvPicPr>
            </xdr:nvPicPr>
            <xdr:blipFill>
              <a:blip xmlns:r="http://schemas.openxmlformats.org/officeDocument/2006/relationships" r:embed="rId4">
                <a:duotone>
                  <a:schemeClr val="accent1">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530245" y="132576"/>
                <a:ext cx="5450221" cy="7645400"/>
              </a:xfrm>
              <a:prstGeom prst="rect">
                <a:avLst/>
              </a:prstGeom>
              <a:grpFill/>
              <a:extLst/>
            </xdr:spPr>
          </xdr:pic>
          <xdr:sp macro="" textlink="">
            <xdr:nvSpPr>
              <xdr:cNvPr id="41" name="Retângulo 40">
                <a:extLst>
                  <a:ext uri="{FF2B5EF4-FFF2-40B4-BE49-F238E27FC236}">
                    <a16:creationId xmlns:a16="http://schemas.microsoft.com/office/drawing/2014/main" id="{00000000-0008-0000-1800-000029000000}"/>
                  </a:ext>
                </a:extLst>
              </xdr:cNvPr>
              <xdr:cNvSpPr/>
            </xdr:nvSpPr>
            <xdr:spPr>
              <a:xfrm>
                <a:off x="14723711" y="830833"/>
                <a:ext cx="1838325" cy="158115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42" name="Retângulo 41">
                <a:extLst>
                  <a:ext uri="{FF2B5EF4-FFF2-40B4-BE49-F238E27FC236}">
                    <a16:creationId xmlns:a16="http://schemas.microsoft.com/office/drawing/2014/main" id="{00000000-0008-0000-1800-00002A000000}"/>
                  </a:ext>
                </a:extLst>
              </xdr:cNvPr>
              <xdr:cNvSpPr/>
            </xdr:nvSpPr>
            <xdr:spPr>
              <a:xfrm>
                <a:off x="14825594" y="6227848"/>
                <a:ext cx="1465935" cy="134144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2" name="Gráfico 1">
              <a:extLst>
                <a:ext uri="{FF2B5EF4-FFF2-40B4-BE49-F238E27FC236}">
                  <a16:creationId xmlns:a16="http://schemas.microsoft.com/office/drawing/2014/main" id="{00000000-0008-0000-1800-000002000000}"/>
                </a:ext>
              </a:extLst>
            </xdr:cNvPr>
            <xdr:cNvGraphicFramePr/>
          </xdr:nvGraphicFramePr>
          <xdr:xfrm>
            <a:off x="32114942" y="7231324"/>
            <a:ext cx="756000" cy="1194648"/>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3" name="Gráfico 42">
              <a:extLst>
                <a:ext uri="{FF2B5EF4-FFF2-40B4-BE49-F238E27FC236}">
                  <a16:creationId xmlns:a16="http://schemas.microsoft.com/office/drawing/2014/main" id="{00000000-0008-0000-1800-00002B000000}"/>
                </a:ext>
              </a:extLst>
            </xdr:cNvPr>
            <xdr:cNvGraphicFramePr>
              <a:graphicFrameLocks/>
            </xdr:cNvGraphicFramePr>
          </xdr:nvGraphicFramePr>
          <xdr:xfrm>
            <a:off x="32867357" y="7811507"/>
            <a:ext cx="756000" cy="126575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Gráfico 43">
              <a:extLst>
                <a:ext uri="{FF2B5EF4-FFF2-40B4-BE49-F238E27FC236}">
                  <a16:creationId xmlns:a16="http://schemas.microsoft.com/office/drawing/2014/main" id="{00000000-0008-0000-1800-00002C000000}"/>
                </a:ext>
              </a:extLst>
            </xdr:cNvPr>
            <xdr:cNvGraphicFramePr>
              <a:graphicFrameLocks/>
            </xdr:cNvGraphicFramePr>
          </xdr:nvGraphicFramePr>
          <xdr:xfrm>
            <a:off x="31544838" y="7564654"/>
            <a:ext cx="756000" cy="2258034"/>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5" name="Gráfico 44">
              <a:extLst>
                <a:ext uri="{FF2B5EF4-FFF2-40B4-BE49-F238E27FC236}">
                  <a16:creationId xmlns:a16="http://schemas.microsoft.com/office/drawing/2014/main" id="{00000000-0008-0000-1800-00002D000000}"/>
                </a:ext>
              </a:extLst>
            </xdr:cNvPr>
            <xdr:cNvGraphicFramePr>
              <a:graphicFrameLocks/>
            </xdr:cNvGraphicFramePr>
          </xdr:nvGraphicFramePr>
          <xdr:xfrm>
            <a:off x="31913459" y="7880509"/>
            <a:ext cx="708375" cy="255373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6" name="Gráfico 45">
              <a:extLst>
                <a:ext uri="{FF2B5EF4-FFF2-40B4-BE49-F238E27FC236}">
                  <a16:creationId xmlns:a16="http://schemas.microsoft.com/office/drawing/2014/main" id="{00000000-0008-0000-1800-00002E000000}"/>
                </a:ext>
              </a:extLst>
            </xdr:cNvPr>
            <xdr:cNvGraphicFramePr>
              <a:graphicFrameLocks/>
            </xdr:cNvGraphicFramePr>
          </xdr:nvGraphicFramePr>
          <xdr:xfrm>
            <a:off x="30880757" y="9132749"/>
            <a:ext cx="756000" cy="1170944"/>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47" name="Gráfico 46">
              <a:extLst>
                <a:ext uri="{FF2B5EF4-FFF2-40B4-BE49-F238E27FC236}">
                  <a16:creationId xmlns:a16="http://schemas.microsoft.com/office/drawing/2014/main" id="{00000000-0008-0000-1800-00002F000000}"/>
                </a:ext>
              </a:extLst>
            </xdr:cNvPr>
            <xdr:cNvGraphicFramePr>
              <a:graphicFrameLocks/>
            </xdr:cNvGraphicFramePr>
          </xdr:nvGraphicFramePr>
          <xdr:xfrm>
            <a:off x="32786969" y="8115722"/>
            <a:ext cx="756000" cy="2641093"/>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48" name="Gráfico 47">
              <a:extLst>
                <a:ext uri="{FF2B5EF4-FFF2-40B4-BE49-F238E27FC236}">
                  <a16:creationId xmlns:a16="http://schemas.microsoft.com/office/drawing/2014/main" id="{00000000-0008-0000-1800-000030000000}"/>
                </a:ext>
              </a:extLst>
            </xdr:cNvPr>
            <xdr:cNvGraphicFramePr>
              <a:graphicFrameLocks/>
            </xdr:cNvGraphicFramePr>
          </xdr:nvGraphicFramePr>
          <xdr:xfrm>
            <a:off x="32748992" y="9238020"/>
            <a:ext cx="756000" cy="2216038"/>
          </xdr:xfrm>
          <a:graphic>
            <a:graphicData uri="http://schemas.openxmlformats.org/drawingml/2006/chart">
              <c:chart xmlns:c="http://schemas.openxmlformats.org/drawingml/2006/chart" xmlns:r="http://schemas.openxmlformats.org/officeDocument/2006/relationships" r:id="rId12"/>
            </a:graphicData>
          </a:graphic>
        </xdr:graphicFrame>
      </xdr:grpSp>
      <xdr:graphicFrame macro="">
        <xdr:nvGraphicFramePr>
          <xdr:cNvPr id="34" name="Gráfico 33">
            <a:extLst>
              <a:ext uri="{FF2B5EF4-FFF2-40B4-BE49-F238E27FC236}">
                <a16:creationId xmlns:a16="http://schemas.microsoft.com/office/drawing/2014/main" id="{00000000-0008-0000-1800-000022000000}"/>
              </a:ext>
            </a:extLst>
          </xdr:cNvPr>
          <xdr:cNvGraphicFramePr/>
        </xdr:nvGraphicFramePr>
        <xdr:xfrm>
          <a:off x="28561888" y="7335610"/>
          <a:ext cx="2902775" cy="4476750"/>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mc:AlternateContent xmlns:mc="http://schemas.openxmlformats.org/markup-compatibility/2006">
    <mc:Choice xmlns:a14="http://schemas.microsoft.com/office/drawing/2010/main" Requires="a14">
      <xdr:twoCellAnchor editAs="oneCell">
        <xdr:from>
          <xdr:col>64</xdr:col>
          <xdr:colOff>9525</xdr:colOff>
          <xdr:row>1</xdr:row>
          <xdr:rowOff>0</xdr:rowOff>
        </xdr:from>
        <xdr:to>
          <xdr:col>65</xdr:col>
          <xdr:colOff>28575</xdr:colOff>
          <xdr:row>2</xdr:row>
          <xdr:rowOff>19050</xdr:rowOff>
        </xdr:to>
        <xdr:sp macro="" textlink="">
          <xdr:nvSpPr>
            <xdr:cNvPr id="286723" name="Drop Down 3" hidden="1">
              <a:extLst>
                <a:ext uri="{63B3BB69-23CF-44E3-9099-C40C66FF867C}">
                  <a14:compatExt spid="_x0000_s286723"/>
                </a:ext>
                <a:ext uri="{FF2B5EF4-FFF2-40B4-BE49-F238E27FC236}">
                  <a16:creationId xmlns:a16="http://schemas.microsoft.com/office/drawing/2014/main" id="{00000000-0008-0000-1800-000003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64</xdr:col>
      <xdr:colOff>0</xdr:colOff>
      <xdr:row>45</xdr:row>
      <xdr:rowOff>39687</xdr:rowOff>
    </xdr:from>
    <xdr:to>
      <xdr:col>70</xdr:col>
      <xdr:colOff>512314</xdr:colOff>
      <xdr:row>71</xdr:row>
      <xdr:rowOff>127101</xdr:rowOff>
    </xdr:to>
    <xdr:grpSp>
      <xdr:nvGrpSpPr>
        <xdr:cNvPr id="22" name="Agrupar 21">
          <a:extLst>
            <a:ext uri="{FF2B5EF4-FFF2-40B4-BE49-F238E27FC236}">
              <a16:creationId xmlns:a16="http://schemas.microsoft.com/office/drawing/2014/main" id="{00000000-0008-0000-1800-000016000000}"/>
            </a:ext>
          </a:extLst>
        </xdr:cNvPr>
        <xdr:cNvGrpSpPr/>
      </xdr:nvGrpSpPr>
      <xdr:grpSpPr>
        <a:xfrm>
          <a:off x="45307250" y="7675562"/>
          <a:ext cx="4893814" cy="4214914"/>
          <a:chOff x="39003020" y="7293427"/>
          <a:chExt cx="5501187" cy="4790952"/>
        </a:xfrm>
      </xdr:grpSpPr>
      <xdr:grpSp>
        <xdr:nvGrpSpPr>
          <xdr:cNvPr id="68" name="Agrupar 67">
            <a:extLst>
              <a:ext uri="{FF2B5EF4-FFF2-40B4-BE49-F238E27FC236}">
                <a16:creationId xmlns:a16="http://schemas.microsoft.com/office/drawing/2014/main" id="{00000000-0008-0000-1800-000044000000}"/>
              </a:ext>
            </a:extLst>
          </xdr:cNvPr>
          <xdr:cNvGrpSpPr/>
        </xdr:nvGrpSpPr>
        <xdr:grpSpPr>
          <a:xfrm>
            <a:off x="41118314" y="7293427"/>
            <a:ext cx="3385893" cy="4579553"/>
            <a:chOff x="31000212" y="7178848"/>
            <a:chExt cx="3364246" cy="4522247"/>
          </a:xfrm>
          <a:solidFill>
            <a:schemeClr val="bg1"/>
          </a:solidFill>
        </xdr:grpSpPr>
        <xdr:grpSp>
          <xdr:nvGrpSpPr>
            <xdr:cNvPr id="69" name="Agrupar 68">
              <a:extLst>
                <a:ext uri="{FF2B5EF4-FFF2-40B4-BE49-F238E27FC236}">
                  <a16:creationId xmlns:a16="http://schemas.microsoft.com/office/drawing/2014/main" id="{00000000-0008-0000-1800-000045000000}"/>
                </a:ext>
              </a:extLst>
            </xdr:cNvPr>
            <xdr:cNvGrpSpPr/>
          </xdr:nvGrpSpPr>
          <xdr:grpSpPr>
            <a:xfrm>
              <a:off x="31000212" y="7576717"/>
              <a:ext cx="3364246" cy="4124378"/>
              <a:chOff x="14849475" y="419100"/>
              <a:chExt cx="5450221" cy="7645400"/>
            </a:xfrm>
            <a:grpFill/>
          </xdr:grpSpPr>
          <xdr:pic>
            <xdr:nvPicPr>
              <xdr:cNvPr id="77" name="Imagem 76" descr="2024">
                <a:extLst>
                  <a:ext uri="{FF2B5EF4-FFF2-40B4-BE49-F238E27FC236}">
                    <a16:creationId xmlns:a16="http://schemas.microsoft.com/office/drawing/2014/main" id="{00000000-0008-0000-1800-00004D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grpFill/>
              <a:extLst/>
            </xdr:spPr>
          </xdr:pic>
          <xdr:sp macro="" textlink="">
            <xdr:nvSpPr>
              <xdr:cNvPr id="78" name="Retângulo 77">
                <a:extLst>
                  <a:ext uri="{FF2B5EF4-FFF2-40B4-BE49-F238E27FC236}">
                    <a16:creationId xmlns:a16="http://schemas.microsoft.com/office/drawing/2014/main" id="{00000000-0008-0000-1800-00004E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79" name="Retângulo 78">
                <a:extLst>
                  <a:ext uri="{FF2B5EF4-FFF2-40B4-BE49-F238E27FC236}">
                    <a16:creationId xmlns:a16="http://schemas.microsoft.com/office/drawing/2014/main" id="{00000000-0008-0000-1800-00004F000000}"/>
                  </a:ext>
                </a:extLst>
              </xdr:cNvPr>
              <xdr:cNvSpPr/>
            </xdr:nvSpPr>
            <xdr:spPr>
              <a:xfrm>
                <a:off x="15111800" y="6477001"/>
                <a:ext cx="1465936" cy="134144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70" name="Gráfico 69">
              <a:extLst>
                <a:ext uri="{FF2B5EF4-FFF2-40B4-BE49-F238E27FC236}">
                  <a16:creationId xmlns:a16="http://schemas.microsoft.com/office/drawing/2014/main" id="{00000000-0008-0000-1800-000046000000}"/>
                </a:ext>
              </a:extLst>
            </xdr:cNvPr>
            <xdr:cNvGraphicFramePr/>
          </xdr:nvGraphicFramePr>
          <xdr:xfrm>
            <a:off x="32373041" y="7521486"/>
            <a:ext cx="756000" cy="1038904"/>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71" name="Gráfico 70">
              <a:extLst>
                <a:ext uri="{FF2B5EF4-FFF2-40B4-BE49-F238E27FC236}">
                  <a16:creationId xmlns:a16="http://schemas.microsoft.com/office/drawing/2014/main" id="{00000000-0008-0000-1800-000047000000}"/>
                </a:ext>
              </a:extLst>
            </xdr:cNvPr>
            <xdr:cNvGraphicFramePr>
              <a:graphicFrameLocks/>
            </xdr:cNvGraphicFramePr>
          </xdr:nvGraphicFramePr>
          <xdr:xfrm>
            <a:off x="33071132" y="7972866"/>
            <a:ext cx="756000" cy="1265757"/>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72" name="Gráfico 71">
              <a:extLst>
                <a:ext uri="{FF2B5EF4-FFF2-40B4-BE49-F238E27FC236}">
                  <a16:creationId xmlns:a16="http://schemas.microsoft.com/office/drawing/2014/main" id="{00000000-0008-0000-1800-000048000000}"/>
                </a:ext>
              </a:extLst>
            </xdr:cNvPr>
            <xdr:cNvGraphicFramePr>
              <a:graphicFrameLocks/>
            </xdr:cNvGraphicFramePr>
          </xdr:nvGraphicFramePr>
          <xdr:xfrm>
            <a:off x="31742236" y="7541644"/>
            <a:ext cx="756000" cy="238447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73" name="Gráfico 72">
              <a:extLst>
                <a:ext uri="{FF2B5EF4-FFF2-40B4-BE49-F238E27FC236}">
                  <a16:creationId xmlns:a16="http://schemas.microsoft.com/office/drawing/2014/main" id="{00000000-0008-0000-1800-000049000000}"/>
                </a:ext>
              </a:extLst>
            </xdr:cNvPr>
            <xdr:cNvGraphicFramePr>
              <a:graphicFrameLocks/>
            </xdr:cNvGraphicFramePr>
          </xdr:nvGraphicFramePr>
          <xdr:xfrm>
            <a:off x="32076536" y="7676012"/>
            <a:ext cx="708375" cy="2967915"/>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74" name="Gráfico 73">
              <a:extLst>
                <a:ext uri="{FF2B5EF4-FFF2-40B4-BE49-F238E27FC236}">
                  <a16:creationId xmlns:a16="http://schemas.microsoft.com/office/drawing/2014/main" id="{00000000-0008-0000-1800-00004A000000}"/>
                </a:ext>
              </a:extLst>
            </xdr:cNvPr>
            <xdr:cNvGraphicFramePr>
              <a:graphicFrameLocks/>
            </xdr:cNvGraphicFramePr>
          </xdr:nvGraphicFramePr>
          <xdr:xfrm>
            <a:off x="31104987" y="9273876"/>
            <a:ext cx="756000" cy="1170944"/>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75" name="Gráfico 74">
              <a:extLst>
                <a:ext uri="{FF2B5EF4-FFF2-40B4-BE49-F238E27FC236}">
                  <a16:creationId xmlns:a16="http://schemas.microsoft.com/office/drawing/2014/main" id="{00000000-0008-0000-1800-00004B000000}"/>
                </a:ext>
              </a:extLst>
            </xdr:cNvPr>
            <xdr:cNvGraphicFramePr>
              <a:graphicFrameLocks/>
            </xdr:cNvGraphicFramePr>
          </xdr:nvGraphicFramePr>
          <xdr:xfrm>
            <a:off x="32922727" y="7178848"/>
            <a:ext cx="756000" cy="3654826"/>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76" name="Gráfico 75">
              <a:extLst>
                <a:ext uri="{FF2B5EF4-FFF2-40B4-BE49-F238E27FC236}">
                  <a16:creationId xmlns:a16="http://schemas.microsoft.com/office/drawing/2014/main" id="{00000000-0008-0000-1800-00004C000000}"/>
                </a:ext>
              </a:extLst>
            </xdr:cNvPr>
            <xdr:cNvGraphicFramePr>
              <a:graphicFrameLocks/>
            </xdr:cNvGraphicFramePr>
          </xdr:nvGraphicFramePr>
          <xdr:xfrm>
            <a:off x="32952837" y="8502381"/>
            <a:ext cx="756000" cy="3146566"/>
          </xdr:xfrm>
          <a:graphic>
            <a:graphicData uri="http://schemas.openxmlformats.org/drawingml/2006/chart">
              <c:chart xmlns:c="http://schemas.openxmlformats.org/drawingml/2006/chart" xmlns:r="http://schemas.openxmlformats.org/officeDocument/2006/relationships" r:id="rId20"/>
            </a:graphicData>
          </a:graphic>
        </xdr:graphicFrame>
      </xdr:grpSp>
      <xdr:graphicFrame macro="">
        <xdr:nvGraphicFramePr>
          <xdr:cNvPr id="67" name="Gráfico 66">
            <a:extLst>
              <a:ext uri="{FF2B5EF4-FFF2-40B4-BE49-F238E27FC236}">
                <a16:creationId xmlns:a16="http://schemas.microsoft.com/office/drawing/2014/main" id="{00000000-0008-0000-1800-000043000000}"/>
              </a:ext>
            </a:extLst>
          </xdr:cNvPr>
          <xdr:cNvGraphicFramePr>
            <a:graphicFrameLocks/>
          </xdr:cNvGraphicFramePr>
        </xdr:nvGraphicFramePr>
        <xdr:xfrm>
          <a:off x="39003020" y="7606393"/>
          <a:ext cx="2913290" cy="4477986"/>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mc:AlternateContent xmlns:mc="http://schemas.openxmlformats.org/markup-compatibility/2006">
    <mc:Choice xmlns:a14="http://schemas.microsoft.com/office/drawing/2010/main" Requires="a14">
      <xdr:twoCellAnchor editAs="oneCell">
        <xdr:from>
          <xdr:col>84</xdr:col>
          <xdr:colOff>9525</xdr:colOff>
          <xdr:row>1</xdr:row>
          <xdr:rowOff>0</xdr:rowOff>
        </xdr:from>
        <xdr:to>
          <xdr:col>85</xdr:col>
          <xdr:colOff>28575</xdr:colOff>
          <xdr:row>2</xdr:row>
          <xdr:rowOff>19050</xdr:rowOff>
        </xdr:to>
        <xdr:sp macro="" textlink="">
          <xdr:nvSpPr>
            <xdr:cNvPr id="286724" name="Drop Down 4" hidden="1">
              <a:extLst>
                <a:ext uri="{63B3BB69-23CF-44E3-9099-C40C66FF867C}">
                  <a14:compatExt spid="_x0000_s286724"/>
                </a:ext>
                <a:ext uri="{FF2B5EF4-FFF2-40B4-BE49-F238E27FC236}">
                  <a16:creationId xmlns:a16="http://schemas.microsoft.com/office/drawing/2014/main" id="{00000000-0008-0000-1800-000004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83</xdr:col>
      <xdr:colOff>388938</xdr:colOff>
      <xdr:row>45</xdr:row>
      <xdr:rowOff>36739</xdr:rowOff>
    </xdr:from>
    <xdr:to>
      <xdr:col>92</xdr:col>
      <xdr:colOff>467161</xdr:colOff>
      <xdr:row>71</xdr:row>
      <xdr:rowOff>127000</xdr:rowOff>
    </xdr:to>
    <xdr:grpSp>
      <xdr:nvGrpSpPr>
        <xdr:cNvPr id="23" name="Agrupar 22">
          <a:extLst>
            <a:ext uri="{FF2B5EF4-FFF2-40B4-BE49-F238E27FC236}">
              <a16:creationId xmlns:a16="http://schemas.microsoft.com/office/drawing/2014/main" id="{00000000-0008-0000-1800-000017000000}"/>
            </a:ext>
          </a:extLst>
        </xdr:cNvPr>
        <xdr:cNvGrpSpPr/>
      </xdr:nvGrpSpPr>
      <xdr:grpSpPr>
        <a:xfrm>
          <a:off x="58205688" y="7672614"/>
          <a:ext cx="5578911" cy="4217761"/>
          <a:chOff x="48482250" y="7384596"/>
          <a:chExt cx="5787554" cy="4690258"/>
        </a:xfrm>
      </xdr:grpSpPr>
      <xdr:grpSp>
        <xdr:nvGrpSpPr>
          <xdr:cNvPr id="82" name="Agrupar 81">
            <a:extLst>
              <a:ext uri="{FF2B5EF4-FFF2-40B4-BE49-F238E27FC236}">
                <a16:creationId xmlns:a16="http://schemas.microsoft.com/office/drawing/2014/main" id="{00000000-0008-0000-1800-000052000000}"/>
              </a:ext>
            </a:extLst>
          </xdr:cNvPr>
          <xdr:cNvGrpSpPr/>
        </xdr:nvGrpSpPr>
        <xdr:grpSpPr>
          <a:xfrm>
            <a:off x="50879829" y="7384596"/>
            <a:ext cx="3389975" cy="4473295"/>
            <a:chOff x="31000212" y="7285159"/>
            <a:chExt cx="3364246" cy="4415936"/>
          </a:xfrm>
          <a:solidFill>
            <a:schemeClr val="bg1"/>
          </a:solidFill>
        </xdr:grpSpPr>
        <xdr:grpSp>
          <xdr:nvGrpSpPr>
            <xdr:cNvPr id="83" name="Agrupar 82">
              <a:extLst>
                <a:ext uri="{FF2B5EF4-FFF2-40B4-BE49-F238E27FC236}">
                  <a16:creationId xmlns:a16="http://schemas.microsoft.com/office/drawing/2014/main" id="{00000000-0008-0000-1800-000053000000}"/>
                </a:ext>
              </a:extLst>
            </xdr:cNvPr>
            <xdr:cNvGrpSpPr/>
          </xdr:nvGrpSpPr>
          <xdr:grpSpPr>
            <a:xfrm>
              <a:off x="31000212" y="7576717"/>
              <a:ext cx="3364246" cy="4124378"/>
              <a:chOff x="14849475" y="419100"/>
              <a:chExt cx="5450221" cy="7645400"/>
            </a:xfrm>
            <a:grpFill/>
          </xdr:grpSpPr>
          <xdr:pic>
            <xdr:nvPicPr>
              <xdr:cNvPr id="91" name="Imagem 90" descr="2024">
                <a:extLst>
                  <a:ext uri="{FF2B5EF4-FFF2-40B4-BE49-F238E27FC236}">
                    <a16:creationId xmlns:a16="http://schemas.microsoft.com/office/drawing/2014/main" id="{00000000-0008-0000-1800-00005B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grpFill/>
              <a:extLst/>
            </xdr:spPr>
          </xdr:pic>
          <xdr:sp macro="" textlink="">
            <xdr:nvSpPr>
              <xdr:cNvPr id="92" name="Retângulo 91">
                <a:extLst>
                  <a:ext uri="{FF2B5EF4-FFF2-40B4-BE49-F238E27FC236}">
                    <a16:creationId xmlns:a16="http://schemas.microsoft.com/office/drawing/2014/main" id="{00000000-0008-0000-1800-00005C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93" name="Retângulo 92">
                <a:extLst>
                  <a:ext uri="{FF2B5EF4-FFF2-40B4-BE49-F238E27FC236}">
                    <a16:creationId xmlns:a16="http://schemas.microsoft.com/office/drawing/2014/main" id="{00000000-0008-0000-1800-00005D000000}"/>
                  </a:ext>
                </a:extLst>
              </xdr:cNvPr>
              <xdr:cNvSpPr/>
            </xdr:nvSpPr>
            <xdr:spPr>
              <a:xfrm>
                <a:off x="15111800" y="6477001"/>
                <a:ext cx="1465936" cy="134144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84" name="Gráfico 83">
              <a:extLst>
                <a:ext uri="{FF2B5EF4-FFF2-40B4-BE49-F238E27FC236}">
                  <a16:creationId xmlns:a16="http://schemas.microsoft.com/office/drawing/2014/main" id="{00000000-0008-0000-1800-000054000000}"/>
                </a:ext>
              </a:extLst>
            </xdr:cNvPr>
            <xdr:cNvGraphicFramePr/>
          </xdr:nvGraphicFramePr>
          <xdr:xfrm>
            <a:off x="32339257" y="7285159"/>
            <a:ext cx="756000" cy="1194648"/>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85" name="Gráfico 84">
              <a:extLst>
                <a:ext uri="{FF2B5EF4-FFF2-40B4-BE49-F238E27FC236}">
                  <a16:creationId xmlns:a16="http://schemas.microsoft.com/office/drawing/2014/main" id="{00000000-0008-0000-1800-000055000000}"/>
                </a:ext>
              </a:extLst>
            </xdr:cNvPr>
            <xdr:cNvGraphicFramePr>
              <a:graphicFrameLocks/>
            </xdr:cNvGraphicFramePr>
          </xdr:nvGraphicFramePr>
          <xdr:xfrm>
            <a:off x="33064364" y="8013242"/>
            <a:ext cx="756000" cy="1265757"/>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6" name="Gráfico 85">
              <a:extLst>
                <a:ext uri="{FF2B5EF4-FFF2-40B4-BE49-F238E27FC236}">
                  <a16:creationId xmlns:a16="http://schemas.microsoft.com/office/drawing/2014/main" id="{00000000-0008-0000-1800-000056000000}"/>
                </a:ext>
              </a:extLst>
            </xdr:cNvPr>
            <xdr:cNvGraphicFramePr>
              <a:graphicFrameLocks/>
            </xdr:cNvGraphicFramePr>
          </xdr:nvGraphicFramePr>
          <xdr:xfrm>
            <a:off x="31742318" y="8755169"/>
            <a:ext cx="756000" cy="1170945"/>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87" name="Gráfico 86">
              <a:extLst>
                <a:ext uri="{FF2B5EF4-FFF2-40B4-BE49-F238E27FC236}">
                  <a16:creationId xmlns:a16="http://schemas.microsoft.com/office/drawing/2014/main" id="{00000000-0008-0000-1800-000057000000}"/>
                </a:ext>
              </a:extLst>
            </xdr:cNvPr>
            <xdr:cNvGraphicFramePr>
              <a:graphicFrameLocks/>
            </xdr:cNvGraphicFramePr>
          </xdr:nvGraphicFramePr>
          <xdr:xfrm>
            <a:off x="32076536" y="9700927"/>
            <a:ext cx="708375" cy="895985"/>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88" name="Gráfico 87">
              <a:extLst>
                <a:ext uri="{FF2B5EF4-FFF2-40B4-BE49-F238E27FC236}">
                  <a16:creationId xmlns:a16="http://schemas.microsoft.com/office/drawing/2014/main" id="{00000000-0008-0000-1800-000058000000}"/>
                </a:ext>
              </a:extLst>
            </xdr:cNvPr>
            <xdr:cNvGraphicFramePr>
              <a:graphicFrameLocks/>
            </xdr:cNvGraphicFramePr>
          </xdr:nvGraphicFramePr>
          <xdr:xfrm>
            <a:off x="31104987" y="9273876"/>
            <a:ext cx="756000" cy="1170944"/>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89" name="Gráfico 88">
              <a:extLst>
                <a:ext uri="{FF2B5EF4-FFF2-40B4-BE49-F238E27FC236}">
                  <a16:creationId xmlns:a16="http://schemas.microsoft.com/office/drawing/2014/main" id="{00000000-0008-0000-1800-000059000000}"/>
                </a:ext>
              </a:extLst>
            </xdr:cNvPr>
            <xdr:cNvGraphicFramePr>
              <a:graphicFrameLocks/>
            </xdr:cNvGraphicFramePr>
          </xdr:nvGraphicFramePr>
          <xdr:xfrm>
            <a:off x="32895687" y="9941216"/>
            <a:ext cx="756000" cy="878117"/>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90" name="Gráfico 89">
              <a:extLst>
                <a:ext uri="{FF2B5EF4-FFF2-40B4-BE49-F238E27FC236}">
                  <a16:creationId xmlns:a16="http://schemas.microsoft.com/office/drawing/2014/main" id="{00000000-0008-0000-1800-00005A000000}"/>
                </a:ext>
              </a:extLst>
            </xdr:cNvPr>
            <xdr:cNvGraphicFramePr>
              <a:graphicFrameLocks/>
            </xdr:cNvGraphicFramePr>
          </xdr:nvGraphicFramePr>
          <xdr:xfrm>
            <a:off x="32952837" y="10861631"/>
            <a:ext cx="756000" cy="787316"/>
          </xdr:xfrm>
          <a:graphic>
            <a:graphicData uri="http://schemas.openxmlformats.org/drawingml/2006/chart">
              <c:chart xmlns:c="http://schemas.openxmlformats.org/drawingml/2006/chart" xmlns:r="http://schemas.openxmlformats.org/officeDocument/2006/relationships" r:id="rId28"/>
            </a:graphicData>
          </a:graphic>
        </xdr:graphicFrame>
      </xdr:grpSp>
      <xdr:graphicFrame macro="">
        <xdr:nvGraphicFramePr>
          <xdr:cNvPr id="81" name="Gráfico 80">
            <a:extLst>
              <a:ext uri="{FF2B5EF4-FFF2-40B4-BE49-F238E27FC236}">
                <a16:creationId xmlns:a16="http://schemas.microsoft.com/office/drawing/2014/main" id="{00000000-0008-0000-1800-000051000000}"/>
              </a:ext>
            </a:extLst>
          </xdr:cNvPr>
          <xdr:cNvGraphicFramePr>
            <a:graphicFrameLocks/>
          </xdr:cNvGraphicFramePr>
        </xdr:nvGraphicFramePr>
        <xdr:xfrm>
          <a:off x="48482250" y="7596868"/>
          <a:ext cx="3042557" cy="4477986"/>
        </xdr:xfrm>
        <a:graphic>
          <a:graphicData uri="http://schemas.openxmlformats.org/drawingml/2006/chart">
            <c:chart xmlns:c="http://schemas.openxmlformats.org/drawingml/2006/chart" xmlns:r="http://schemas.openxmlformats.org/officeDocument/2006/relationships" r:id="rId29"/>
          </a:graphicData>
        </a:graphic>
      </xdr:graphicFrame>
    </xdr:grpSp>
    <xdr:clientData/>
  </xdr:twoCellAnchor>
  <xdr:twoCellAnchor>
    <xdr:from>
      <xdr:col>39</xdr:col>
      <xdr:colOff>489858</xdr:colOff>
      <xdr:row>41</xdr:row>
      <xdr:rowOff>115661</xdr:rowOff>
    </xdr:from>
    <xdr:to>
      <xdr:col>42</xdr:col>
      <xdr:colOff>135038</xdr:colOff>
      <xdr:row>45</xdr:row>
      <xdr:rowOff>12242</xdr:rowOff>
    </xdr:to>
    <xdr:graphicFrame macro="">
      <xdr:nvGraphicFramePr>
        <xdr:cNvPr id="99" name="Gráfico 98">
          <a:extLst>
            <a:ext uri="{FF2B5EF4-FFF2-40B4-BE49-F238E27FC236}">
              <a16:creationId xmlns:a16="http://schemas.microsoft.com/office/drawing/2014/main" id="{00000000-0008-0000-18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66</xdr:col>
      <xdr:colOff>322036</xdr:colOff>
      <xdr:row>44</xdr:row>
      <xdr:rowOff>107722</xdr:rowOff>
    </xdr:from>
    <xdr:to>
      <xdr:col>68</xdr:col>
      <xdr:colOff>318508</xdr:colOff>
      <xdr:row>48</xdr:row>
      <xdr:rowOff>7478</xdr:rowOff>
    </xdr:to>
    <xdr:graphicFrame macro="">
      <xdr:nvGraphicFramePr>
        <xdr:cNvPr id="101" name="Gráfico 100">
          <a:extLst>
            <a:ext uri="{FF2B5EF4-FFF2-40B4-BE49-F238E27FC236}">
              <a16:creationId xmlns:a16="http://schemas.microsoft.com/office/drawing/2014/main" id="{00000000-0008-0000-18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87</xdr:col>
      <xdr:colOff>190500</xdr:colOff>
      <xdr:row>44</xdr:row>
      <xdr:rowOff>122466</xdr:rowOff>
    </xdr:from>
    <xdr:to>
      <xdr:col>89</xdr:col>
      <xdr:colOff>453445</xdr:colOff>
      <xdr:row>48</xdr:row>
      <xdr:rowOff>17005</xdr:rowOff>
    </xdr:to>
    <xdr:graphicFrame macro="">
      <xdr:nvGraphicFramePr>
        <xdr:cNvPr id="103" name="Gráfico 102">
          <a:extLst>
            <a:ext uri="{FF2B5EF4-FFF2-40B4-BE49-F238E27FC236}">
              <a16:creationId xmlns:a16="http://schemas.microsoft.com/office/drawing/2014/main" id="{00000000-0008-0000-18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45</xdr:col>
      <xdr:colOff>836839</xdr:colOff>
      <xdr:row>90</xdr:row>
      <xdr:rowOff>156484</xdr:rowOff>
    </xdr:from>
    <xdr:to>
      <xdr:col>47</xdr:col>
      <xdr:colOff>605518</xdr:colOff>
      <xdr:row>96</xdr:row>
      <xdr:rowOff>122467</xdr:rowOff>
    </xdr:to>
    <xdr:sp macro="" textlink="$AW$92">
      <xdr:nvSpPr>
        <xdr:cNvPr id="104" name="CaixaDeTexto 103">
          <a:extLst>
            <a:ext uri="{FF2B5EF4-FFF2-40B4-BE49-F238E27FC236}">
              <a16:creationId xmlns:a16="http://schemas.microsoft.com/office/drawing/2014/main" id="{00000000-0008-0000-1800-000068000000}"/>
            </a:ext>
          </a:extLst>
        </xdr:cNvPr>
        <xdr:cNvSpPr txBox="1"/>
      </xdr:nvSpPr>
      <xdr:spPr>
        <a:xfrm>
          <a:off x="32963303" y="15716252"/>
          <a:ext cx="1381126" cy="945697"/>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9CDB704-0720-45C6-8ADE-75E4044624AF}" type="TxLink">
            <a:rPr lang="en-US" sz="600" b="0" i="0" u="none" strike="noStrike">
              <a:solidFill>
                <a:srgbClr val="000000"/>
              </a:solidFill>
              <a:latin typeface="Calibri"/>
              <a:cs typeface="Calibri"/>
            </a:rPr>
            <a:pPr algn="l"/>
            <a:t>EMPRESAS
NUTS II Grande Lisboa: 59.573 (20,5% do Continente; 2ª região de 7)
Esta NUTS II coincide com a NUTS III.</a:t>
          </a:fld>
          <a:endParaRPr lang="pt-PT" sz="600" b="1">
            <a:solidFill>
              <a:srgbClr val="19375E"/>
            </a:solidFill>
            <a:latin typeface="+mn-lt"/>
          </a:endParaRPr>
        </a:p>
      </xdr:txBody>
    </xdr:sp>
    <xdr:clientData/>
  </xdr:twoCellAnchor>
  <xdr:twoCellAnchor>
    <xdr:from>
      <xdr:col>45</xdr:col>
      <xdr:colOff>544287</xdr:colOff>
      <xdr:row>110</xdr:row>
      <xdr:rowOff>163285</xdr:rowOff>
    </xdr:from>
    <xdr:to>
      <xdr:col>47</xdr:col>
      <xdr:colOff>312964</xdr:colOff>
      <xdr:row>116</xdr:row>
      <xdr:rowOff>129269</xdr:rowOff>
    </xdr:to>
    <xdr:sp macro="" textlink="$AW$112">
      <xdr:nvSpPr>
        <xdr:cNvPr id="105" name="CaixaDeTexto 104">
          <a:extLst>
            <a:ext uri="{FF2B5EF4-FFF2-40B4-BE49-F238E27FC236}">
              <a16:creationId xmlns:a16="http://schemas.microsoft.com/office/drawing/2014/main" id="{00000000-0008-0000-1800-000069000000}"/>
            </a:ext>
          </a:extLst>
        </xdr:cNvPr>
        <xdr:cNvSpPr txBox="1"/>
      </xdr:nvSpPr>
      <xdr:spPr>
        <a:xfrm>
          <a:off x="32670751" y="18988767"/>
          <a:ext cx="1381124" cy="945698"/>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7B1DBB8-9A93-4C5B-866C-5C67171F9CDB}" type="TxLink">
            <a:rPr lang="en-US" sz="600" b="0" i="0" u="none" strike="noStrike">
              <a:solidFill>
                <a:srgbClr val="000000"/>
              </a:solidFill>
              <a:latin typeface="Calibri"/>
              <a:cs typeface="Calibri"/>
            </a:rPr>
            <a:pPr algn="l"/>
            <a:t>ESTABELECIMENTOS
NUTS II Grande Lisboa: 70.104 (20,6% do Continente; 2ª região de 7)
Esta NUTS II coincide com a NUTS III.</a:t>
          </a:fld>
          <a:endParaRPr lang="pt-PT" sz="600" b="1">
            <a:solidFill>
              <a:srgbClr val="19375E"/>
            </a:solidFill>
            <a:latin typeface="+mn-lt"/>
          </a:endParaRPr>
        </a:p>
      </xdr:txBody>
    </xdr:sp>
    <xdr:clientData/>
  </xdr:twoCellAnchor>
  <xdr:twoCellAnchor>
    <xdr:from>
      <xdr:col>74</xdr:col>
      <xdr:colOff>171676</xdr:colOff>
      <xdr:row>84</xdr:row>
      <xdr:rowOff>77109</xdr:rowOff>
    </xdr:from>
    <xdr:to>
      <xdr:col>79</xdr:col>
      <xdr:colOff>87312</xdr:colOff>
      <xdr:row>90</xdr:row>
      <xdr:rowOff>43092</xdr:rowOff>
    </xdr:to>
    <xdr:sp macro="" textlink="$BS$92">
      <xdr:nvSpPr>
        <xdr:cNvPr id="80" name="CaixaDeTexto 79">
          <a:extLst>
            <a:ext uri="{FF2B5EF4-FFF2-40B4-BE49-F238E27FC236}">
              <a16:creationId xmlns:a16="http://schemas.microsoft.com/office/drawing/2014/main" id="{00000000-0008-0000-1800-000050000000}"/>
            </a:ext>
          </a:extLst>
        </xdr:cNvPr>
        <xdr:cNvSpPr txBox="1"/>
      </xdr:nvSpPr>
      <xdr:spPr>
        <a:xfrm>
          <a:off x="52487739" y="14285234"/>
          <a:ext cx="2971573" cy="91848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ED59423E-B8BF-4A94-9E6A-D8F2F253D56E}" type="TxLink">
            <a:rPr lang="en-US" sz="800" b="0" i="0" u="none" strike="noStrike">
              <a:solidFill>
                <a:srgbClr val="000000"/>
              </a:solidFill>
              <a:latin typeface="Calibri"/>
              <a:cs typeface="Calibri"/>
            </a:rPr>
            <a:pPr algn="l"/>
            <a:t>PESSOAS AO SERVIÇO
NUTS II Grande Lisboa: 969.558 (27,8% do Continente; 2ª região de 7)
Esta NUTS II coincide com a NUTS III.</a:t>
          </a:fld>
          <a:endParaRPr lang="pt-PT" sz="800" b="1">
            <a:solidFill>
              <a:srgbClr val="19375E"/>
            </a:solidFill>
            <a:latin typeface="+mn-lt"/>
          </a:endParaRPr>
        </a:p>
      </xdr:txBody>
    </xdr:sp>
    <xdr:clientData/>
  </xdr:twoCellAnchor>
  <xdr:twoCellAnchor>
    <xdr:from>
      <xdr:col>68</xdr:col>
      <xdr:colOff>349249</xdr:colOff>
      <xdr:row>114</xdr:row>
      <xdr:rowOff>0</xdr:rowOff>
    </xdr:from>
    <xdr:to>
      <xdr:col>72</xdr:col>
      <xdr:colOff>436562</xdr:colOff>
      <xdr:row>119</xdr:row>
      <xdr:rowOff>124733</xdr:rowOff>
    </xdr:to>
    <xdr:sp macro="" textlink="$BS$112">
      <xdr:nvSpPr>
        <xdr:cNvPr id="94" name="CaixaDeTexto 93">
          <a:extLst>
            <a:ext uri="{FF2B5EF4-FFF2-40B4-BE49-F238E27FC236}">
              <a16:creationId xmlns:a16="http://schemas.microsoft.com/office/drawing/2014/main" id="{00000000-0008-0000-1800-00005E000000}"/>
            </a:ext>
          </a:extLst>
        </xdr:cNvPr>
        <xdr:cNvSpPr txBox="1"/>
      </xdr:nvSpPr>
      <xdr:spPr>
        <a:xfrm>
          <a:off x="48577499" y="18970625"/>
          <a:ext cx="2952751" cy="91848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BBF6DBB-3390-4591-A2F4-679CCB309DB4}" type="TxLink">
            <a:rPr lang="en-US" sz="800" b="0" i="0" u="none" strike="noStrike">
              <a:solidFill>
                <a:srgbClr val="000000"/>
              </a:solidFill>
              <a:latin typeface="Calibri"/>
              <a:cs typeface="Calibri"/>
            </a:rPr>
            <a:pPr algn="l"/>
            <a:t>TCO
NUTS II Grande Lisboa: 928.991 (28,2% do Continente; 2ª região de 7)
Esta NUTS II coincide com a NUTS III.</a:t>
          </a:fld>
          <a:endParaRPr lang="pt-PT" sz="800" b="1">
            <a:solidFill>
              <a:srgbClr val="19375E"/>
            </a:solidFill>
            <a:latin typeface="+mn-lt"/>
          </a:endParaRPr>
        </a:p>
      </xdr:txBody>
    </xdr:sp>
    <xdr:clientData/>
  </xdr:twoCellAnchor>
  <xdr:twoCellAnchor>
    <xdr:from>
      <xdr:col>94</xdr:col>
      <xdr:colOff>55562</xdr:colOff>
      <xdr:row>80</xdr:row>
      <xdr:rowOff>63500</xdr:rowOff>
    </xdr:from>
    <xdr:to>
      <xdr:col>98</xdr:col>
      <xdr:colOff>582385</xdr:colOff>
      <xdr:row>85</xdr:row>
      <xdr:rowOff>119063</xdr:rowOff>
    </xdr:to>
    <xdr:sp macro="" textlink="$CM$92">
      <xdr:nvSpPr>
        <xdr:cNvPr id="95" name="CaixaDeTexto 94">
          <a:extLst>
            <a:ext uri="{FF2B5EF4-FFF2-40B4-BE49-F238E27FC236}">
              <a16:creationId xmlns:a16="http://schemas.microsoft.com/office/drawing/2014/main" id="{00000000-0008-0000-1800-00005F000000}"/>
            </a:ext>
          </a:extLst>
        </xdr:cNvPr>
        <xdr:cNvSpPr txBox="1"/>
      </xdr:nvSpPr>
      <xdr:spPr>
        <a:xfrm>
          <a:off x="64595375" y="13255625"/>
          <a:ext cx="2971573" cy="123031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9412C77-8EF1-4DCC-A19F-0279A943E6B1}" type="TxLink">
            <a:rPr lang="en-US" sz="1000" b="0" i="0" u="none" strike="noStrike">
              <a:solidFill>
                <a:srgbClr val="000000"/>
              </a:solidFill>
              <a:latin typeface="Calibri"/>
              <a:cs typeface="Calibri"/>
            </a:rPr>
            <a:pPr algn="l"/>
            <a:t>REMUNERAÇÃO BASE
NUTS II Grande Lisboa: 1.506 euros (23,5% que no Continente; 1ª região de 7)
Esta NUTS II coincide com a NUTS III.</a:t>
          </a:fld>
          <a:endParaRPr lang="pt-PT" sz="800" b="1">
            <a:solidFill>
              <a:srgbClr val="19375E"/>
            </a:solidFill>
            <a:latin typeface="+mn-lt"/>
          </a:endParaRPr>
        </a:p>
      </xdr:txBody>
    </xdr:sp>
    <xdr:clientData/>
  </xdr:twoCellAnchor>
  <xdr:twoCellAnchor>
    <xdr:from>
      <xdr:col>95</xdr:col>
      <xdr:colOff>87312</xdr:colOff>
      <xdr:row>103</xdr:row>
      <xdr:rowOff>63500</xdr:rowOff>
    </xdr:from>
    <xdr:to>
      <xdr:col>100</xdr:col>
      <xdr:colOff>515937</xdr:colOff>
      <xdr:row>111</xdr:row>
      <xdr:rowOff>23813</xdr:rowOff>
    </xdr:to>
    <xdr:sp macro="" textlink="$CM$112">
      <xdr:nvSpPr>
        <xdr:cNvPr id="96" name="CaixaDeTexto 95">
          <a:extLst>
            <a:ext uri="{FF2B5EF4-FFF2-40B4-BE49-F238E27FC236}">
              <a16:creationId xmlns:a16="http://schemas.microsoft.com/office/drawing/2014/main" id="{00000000-0008-0000-1800-000060000000}"/>
            </a:ext>
          </a:extLst>
        </xdr:cNvPr>
        <xdr:cNvSpPr txBox="1"/>
      </xdr:nvSpPr>
      <xdr:spPr>
        <a:xfrm>
          <a:off x="65238312" y="17287875"/>
          <a:ext cx="3484563" cy="123031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3674056-EFF6-46A6-A515-0293399AB118}" type="TxLink">
            <a:rPr lang="en-US" sz="1000" b="0" i="0" u="none" strike="noStrike">
              <a:solidFill>
                <a:srgbClr val="000000"/>
              </a:solidFill>
              <a:latin typeface="Calibri"/>
              <a:cs typeface="Calibri"/>
            </a:rPr>
            <a:pPr algn="l"/>
            <a:t>REMUNERAÇÃO GANHO
NUTS II Grande Lisboa: 1.817 euros (23,9% que no Continente; 1ª região de 7)
Esta NUTS II coincide com a NUTS III.</a:t>
          </a:fld>
          <a:endParaRPr lang="pt-PT" sz="800" b="1">
            <a:solidFill>
              <a:srgbClr val="19375E"/>
            </a:solidFill>
            <a:latin typeface="+mn-lt"/>
          </a:endParaRPr>
        </a:p>
      </xdr:txBody>
    </xdr:sp>
    <xdr:clientData/>
  </xdr:twoCellAnchor>
</xdr:wsDr>
</file>

<file path=xl/drawings/drawing49.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5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8</xdr:col>
      <xdr:colOff>361950</xdr:colOff>
      <xdr:row>1</xdr:row>
      <xdr:rowOff>47625</xdr:rowOff>
    </xdr:from>
    <xdr:to>
      <xdr:col>9</xdr:col>
      <xdr:colOff>581025</xdr:colOff>
      <xdr:row>3</xdr:row>
      <xdr:rowOff>13277</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238750" y="142875"/>
          <a:ext cx="828675" cy="270452"/>
        </a:xfrm>
        <a:prstGeom prst="rect">
          <a:avLst/>
        </a:prstGeom>
        <a:noFill/>
        <a:ln w="1">
          <a:noFill/>
          <a:miter lim="800000"/>
          <a:headEnd/>
          <a:tailEnd type="none" w="med" len="med"/>
        </a:ln>
        <a:effectLst/>
      </xdr:spPr>
    </xdr:pic>
    <xdr:clientData fPrintsWithSheet="0"/>
  </xdr:twoCellAnchor>
</xdr:wsDr>
</file>

<file path=xl/drawings/drawing50.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5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0.73834</cdr:x>
      <cdr:y>0.02071</cdr:y>
    </cdr:from>
    <cdr:to>
      <cdr:x>0.917</cdr:x>
      <cdr:y>0.132</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742587" y="-221896"/>
          <a:ext cx="288000" cy="83897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1.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5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2363ABA-4DF2-4BB4-B35C-BE4C0AECD3C3}" type="TxLink">
            <a:rPr lang="en-US" sz="800" b="1" i="0" u="none" strike="noStrike">
              <a:solidFill>
                <a:schemeClr val="bg1"/>
              </a:solidFill>
              <a:latin typeface="Arial"/>
              <a:cs typeface="Arial"/>
            </a:rPr>
            <a:pPr algn="ctr"/>
            <a:t>2013</a:t>
          </a:fld>
          <a:endParaRPr lang="pt-PT" sz="800" b="1">
            <a:solidFill>
              <a:schemeClr val="bg1"/>
            </a:solidFill>
          </a:endParaRPr>
        </a:p>
      </cdr:txBody>
    </cdr:sp>
  </cdr:relSizeAnchor>
  <cdr:relSizeAnchor xmlns:cdr="http://schemas.openxmlformats.org/drawingml/2006/chartDrawing">
    <cdr:from>
      <cdr:x>0.52969</cdr:x>
      <cdr:y>0.02092</cdr:y>
    </cdr:from>
    <cdr:to>
      <cdr:x>0.63426</cdr:x>
      <cdr:y>0.13808</cdr:y>
    </cdr:to>
    <cdr:sp macro="" textlink="q3_q7_q11_q15_q24_q35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1258" y="-39796"/>
          <a:ext cx="303177" cy="49104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EBFF525-C5AC-4332-81AA-4A61089D2C43}" type="TxLink">
            <a:rPr lang="en-US" sz="800" b="1" i="0" u="none" strike="noStrike">
              <a:solidFill>
                <a:schemeClr val="bg1"/>
              </a:solidFill>
              <a:latin typeface="Arial"/>
              <a:cs typeface="Arial"/>
            </a:rPr>
            <a:pPr algn="ctr"/>
            <a:t>2023</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588628</xdr:colOff>
      <xdr:row>1</xdr:row>
      <xdr:rowOff>133350</xdr:rowOff>
    </xdr:from>
    <xdr:to>
      <xdr:col>10</xdr:col>
      <xdr:colOff>552449</xdr:colOff>
      <xdr:row>41</xdr:row>
      <xdr:rowOff>152400</xdr:rowOff>
    </xdr:to>
    <xdr:pic>
      <xdr:nvPicPr>
        <xdr:cNvPr id="2" name="Imagem 1" descr="2024">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28" y="323850"/>
          <a:ext cx="5450221" cy="763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90861</xdr:colOff>
      <xdr:row>42</xdr:row>
      <xdr:rowOff>115037</xdr:rowOff>
    </xdr:from>
    <xdr:to>
      <xdr:col>11</xdr:col>
      <xdr:colOff>508001</xdr:colOff>
      <xdr:row>48</xdr:row>
      <xdr:rowOff>114300</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90861" y="8116037"/>
          <a:ext cx="7122740" cy="1142263"/>
        </a:xfrm>
        <a:prstGeom prst="rect">
          <a:avLst/>
        </a:prstGeom>
      </xdr:spPr>
    </xdr:pic>
    <xdr:clientData/>
  </xdr:twoCellAnchor>
  <xdr:twoCellAnchor editAs="oneCell">
    <xdr:from>
      <xdr:col>1</xdr:col>
      <xdr:colOff>2010</xdr:colOff>
      <xdr:row>73</xdr:row>
      <xdr:rowOff>101600</xdr:rowOff>
    </xdr:from>
    <xdr:to>
      <xdr:col>9</xdr:col>
      <xdr:colOff>158749</xdr:colOff>
      <xdr:row>98</xdr:row>
      <xdr:rowOff>50800</xdr:rowOff>
    </xdr:to>
    <xdr:pic>
      <xdr:nvPicPr>
        <xdr:cNvPr id="4" name="Imagem 3" descr="undefined">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a:duotone>
            <a:schemeClr val="accent5">
              <a:shade val="45000"/>
              <a:satMod val="135000"/>
            </a:schemeClr>
            <a:prstClr val="white"/>
          </a:duotone>
          <a:extLst>
            <a:ext uri="{BEBA8EAE-BF5A-486C-A8C5-ECC9F3942E4B}">
              <a14:imgProps xmlns:a14="http://schemas.microsoft.com/office/drawing/2010/main">
                <a14:imgLayer r:embed="rId4">
                  <a14:imgEffect>
                    <a14:colorTemperature colorTemp="59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611610" y="14008100"/>
          <a:ext cx="5033539" cy="471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72</xdr:row>
      <xdr:rowOff>0</xdr:rowOff>
    </xdr:from>
    <xdr:to>
      <xdr:col>28</xdr:col>
      <xdr:colOff>266700</xdr:colOff>
      <xdr:row>109</xdr:row>
      <xdr:rowOff>44450</xdr:rowOff>
    </xdr:to>
    <xdr:pic>
      <xdr:nvPicPr>
        <xdr:cNvPr id="5" name="Imagem 4" descr="undefined">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5">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753600" y="13716000"/>
          <a:ext cx="7581900" cy="709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238125</xdr:colOff>
      <xdr:row>2</xdr:row>
      <xdr:rowOff>0</xdr:rowOff>
    </xdr:from>
    <xdr:to>
      <xdr:col>23</xdr:col>
      <xdr:colOff>201946</xdr:colOff>
      <xdr:row>42</xdr:row>
      <xdr:rowOff>25400</xdr:rowOff>
    </xdr:to>
    <xdr:pic>
      <xdr:nvPicPr>
        <xdr:cNvPr id="6" name="Imagem 5" descr="2024">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6">
          <a:duotone>
            <a:schemeClr val="accent1">
              <a:shade val="45000"/>
              <a:satMod val="135000"/>
            </a:schemeClr>
            <a:prstClr val="white"/>
          </a:duotone>
          <a:extLst>
            <a:ext uri="{BEBA8EAE-BF5A-486C-A8C5-ECC9F3942E4B}">
              <a14:imgProps xmlns:a14="http://schemas.microsoft.com/office/drawing/2010/main">
                <a14:imgLayer r:embed="rId7">
                  <a14:imgEffect>
                    <a14:colorTemperature colorTemp="112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8772525" y="381000"/>
          <a:ext cx="5450221" cy="7645400"/>
        </a:xfrm>
        <a:prstGeom prst="rect">
          <a:avLst/>
        </a:prstGeom>
        <a:solidFill>
          <a:srgbClr val="FFC000"/>
        </a:solidFill>
        <a:extLst/>
      </xdr:spPr>
    </xdr:pic>
    <xdr:clientData/>
  </xdr:twoCellAnchor>
  <xdr:twoCellAnchor>
    <xdr:from>
      <xdr:col>25</xdr:col>
      <xdr:colOff>428626</xdr:colOff>
      <xdr:row>2</xdr:row>
      <xdr:rowOff>95250</xdr:rowOff>
    </xdr:from>
    <xdr:to>
      <xdr:col>35</xdr:col>
      <xdr:colOff>325772</xdr:colOff>
      <xdr:row>42</xdr:row>
      <xdr:rowOff>53975</xdr:rowOff>
    </xdr:to>
    <xdr:grpSp>
      <xdr:nvGrpSpPr>
        <xdr:cNvPr id="12" name="Agrupar 11">
          <a:extLst>
            <a:ext uri="{FF2B5EF4-FFF2-40B4-BE49-F238E27FC236}">
              <a16:creationId xmlns:a16="http://schemas.microsoft.com/office/drawing/2014/main" id="{00000000-0008-0000-1900-00000C000000}"/>
            </a:ext>
          </a:extLst>
        </xdr:cNvPr>
        <xdr:cNvGrpSpPr/>
      </xdr:nvGrpSpPr>
      <xdr:grpSpPr>
        <a:xfrm>
          <a:off x="15668626" y="476250"/>
          <a:ext cx="5993146" cy="7578725"/>
          <a:chOff x="14849475" y="419100"/>
          <a:chExt cx="5450221" cy="7645400"/>
        </a:xfrm>
      </xdr:grpSpPr>
      <xdr:pic>
        <xdr:nvPicPr>
          <xdr:cNvPr id="9" name="Imagem 8" descr="2024">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8">
            <a:duotone>
              <a:schemeClr val="accent1">
                <a:shade val="45000"/>
                <a:satMod val="135000"/>
              </a:schemeClr>
              <a:prstClr val="white"/>
            </a:duotone>
            <a:extLst>
              <a:ext uri="{BEBA8EAE-BF5A-486C-A8C5-ECC9F3942E4B}">
                <a14:imgProps xmlns:a14="http://schemas.microsoft.com/office/drawing/2010/main">
                  <a14:imgLayer r:embed="rId7">
                    <a14:imgEffect>
                      <a14:colorTemperature colorTemp="5900"/>
                    </a14:imgEffect>
                    <a14:imgEffect>
                      <a14:saturation sat="66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solidFill>
            <a:srgbClr val="FFC000"/>
          </a:solidFill>
          <a:extLst/>
        </xdr:spPr>
      </xdr:pic>
      <xdr:sp macro="" textlink="">
        <xdr:nvSpPr>
          <xdr:cNvPr id="10" name="Retângulo 9">
            <a:extLst>
              <a:ext uri="{FF2B5EF4-FFF2-40B4-BE49-F238E27FC236}">
                <a16:creationId xmlns:a16="http://schemas.microsoft.com/office/drawing/2014/main" id="{00000000-0008-0000-1900-00000A000000}"/>
              </a:ext>
            </a:extLst>
          </xdr:cNvPr>
          <xdr:cNvSpPr/>
        </xdr:nvSpPr>
        <xdr:spPr>
          <a:xfrm>
            <a:off x="15020925" y="1104900"/>
            <a:ext cx="1838325" cy="15811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1" name="Retângulo 10">
            <a:extLst>
              <a:ext uri="{FF2B5EF4-FFF2-40B4-BE49-F238E27FC236}">
                <a16:creationId xmlns:a16="http://schemas.microsoft.com/office/drawing/2014/main" id="{00000000-0008-0000-1900-00000B000000}"/>
              </a:ext>
            </a:extLst>
          </xdr:cNvPr>
          <xdr:cNvSpPr/>
        </xdr:nvSpPr>
        <xdr:spPr>
          <a:xfrm>
            <a:off x="15211425" y="6477000"/>
            <a:ext cx="1057275" cy="1266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9525</xdr:colOff>
          <xdr:row>8</xdr:row>
          <xdr:rowOff>9525</xdr:rowOff>
        </xdr:from>
        <xdr:to>
          <xdr:col>19</xdr:col>
          <xdr:colOff>771525</xdr:colOff>
          <xdr:row>9</xdr:row>
          <xdr:rowOff>19050</xdr:rowOff>
        </xdr:to>
        <xdr:sp macro="" textlink="">
          <xdr:nvSpPr>
            <xdr:cNvPr id="359425" name="Drop Down 1" hidden="1">
              <a:extLst>
                <a:ext uri="{63B3BB69-23CF-44E3-9099-C40C66FF867C}">
                  <a14:compatExt spid="_x0000_s359425"/>
                </a:ext>
                <a:ext uri="{FF2B5EF4-FFF2-40B4-BE49-F238E27FC236}">
                  <a16:creationId xmlns:a16="http://schemas.microsoft.com/office/drawing/2014/main" id="{00000000-0008-0000-1A00-0000017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25</xdr:col>
      <xdr:colOff>138113</xdr:colOff>
      <xdr:row>5</xdr:row>
      <xdr:rowOff>92075</xdr:rowOff>
    </xdr:from>
    <xdr:to>
      <xdr:col>34</xdr:col>
      <xdr:colOff>463550</xdr:colOff>
      <xdr:row>26</xdr:row>
      <xdr:rowOff>155574</xdr:rowOff>
    </xdr:to>
    <xdr:grpSp>
      <xdr:nvGrpSpPr>
        <xdr:cNvPr id="2" name="Agrupar 1">
          <a:extLst>
            <a:ext uri="{FF2B5EF4-FFF2-40B4-BE49-F238E27FC236}">
              <a16:creationId xmlns:a16="http://schemas.microsoft.com/office/drawing/2014/main" id="{00000000-0008-0000-1A00-000002000000}"/>
            </a:ext>
          </a:extLst>
        </xdr:cNvPr>
        <xdr:cNvGrpSpPr/>
      </xdr:nvGrpSpPr>
      <xdr:grpSpPr>
        <a:xfrm>
          <a:off x="17235488" y="901700"/>
          <a:ext cx="5811837" cy="3463924"/>
          <a:chOff x="17325975" y="933450"/>
          <a:chExt cx="5810250" cy="3467099"/>
        </a:xfrm>
      </xdr:grpSpPr>
      <xdr:graphicFrame macro="">
        <xdr:nvGraphicFramePr>
          <xdr:cNvPr id="4" name="Gráfico 3">
            <a:extLst>
              <a:ext uri="{FF2B5EF4-FFF2-40B4-BE49-F238E27FC236}">
                <a16:creationId xmlns:a16="http://schemas.microsoft.com/office/drawing/2014/main" id="{00000000-0008-0000-1A00-000004000000}"/>
              </a:ext>
            </a:extLst>
          </xdr:cNvPr>
          <xdr:cNvGraphicFramePr>
            <a:graphicFrameLocks/>
          </xdr:cNvGraphicFramePr>
        </xdr:nvGraphicFramePr>
        <xdr:xfrm>
          <a:off x="17325975" y="1305142"/>
          <a:ext cx="3905250" cy="3095407"/>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5" name="Agrupar 4">
            <a:extLst>
              <a:ext uri="{FF2B5EF4-FFF2-40B4-BE49-F238E27FC236}">
                <a16:creationId xmlns:a16="http://schemas.microsoft.com/office/drawing/2014/main" id="{00000000-0008-0000-1A00-000005000000}"/>
              </a:ext>
            </a:extLst>
          </xdr:cNvPr>
          <xdr:cNvGrpSpPr/>
        </xdr:nvGrpSpPr>
        <xdr:grpSpPr>
          <a:xfrm>
            <a:off x="20111887" y="933450"/>
            <a:ext cx="3024338" cy="3295647"/>
            <a:chOff x="15382876" y="10342315"/>
            <a:chExt cx="2836231" cy="2080882"/>
          </a:xfrm>
        </xdr:grpSpPr>
        <xdr:graphicFrame macro="">
          <xdr:nvGraphicFramePr>
            <xdr:cNvPr id="6" name="Gráfico 5">
              <a:extLst>
                <a:ext uri="{FF2B5EF4-FFF2-40B4-BE49-F238E27FC236}">
                  <a16:creationId xmlns:a16="http://schemas.microsoft.com/office/drawing/2014/main" id="{00000000-0008-0000-1A00-000006000000}"/>
                </a:ext>
              </a:extLst>
            </xdr:cNvPr>
            <xdr:cNvGraphicFramePr>
              <a:graphicFrameLocks/>
            </xdr:cNvGraphicFramePr>
          </xdr:nvGraphicFramePr>
          <xdr:xfrm>
            <a:off x="15382876" y="10368740"/>
            <a:ext cx="2836231" cy="2054457"/>
          </xdr:xfrm>
          <a:graphic>
            <a:graphicData uri="http://schemas.openxmlformats.org/drawingml/2006/chart">
              <c:chart xmlns:c="http://schemas.openxmlformats.org/drawingml/2006/chart" xmlns:r="http://schemas.openxmlformats.org/officeDocument/2006/relationships" r:id="rId2"/>
            </a:graphicData>
          </a:graphic>
        </xdr:graphicFrame>
        <xdr:sp macro="" textlink="q19_q28_q29_q39_Fig!$T$27">
          <xdr:nvSpPr>
            <xdr:cNvPr id="7" name="CaixaDeTexto 6">
              <a:extLst>
                <a:ext uri="{FF2B5EF4-FFF2-40B4-BE49-F238E27FC236}">
                  <a16:creationId xmlns:a16="http://schemas.microsoft.com/office/drawing/2014/main" id="{00000000-0008-0000-1A00-000007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504791E-1670-4D29-8964-4C65E74FB918}"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3.296.134</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 name="CaixaDeTexto 7">
              <a:extLst>
                <a:ext uri="{FF2B5EF4-FFF2-40B4-BE49-F238E27FC236}">
                  <a16:creationId xmlns:a16="http://schemas.microsoft.com/office/drawing/2014/main" id="{00000000-0008-0000-1A00-000008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23</xdr:col>
      <xdr:colOff>369888</xdr:colOff>
      <xdr:row>33</xdr:row>
      <xdr:rowOff>127000</xdr:rowOff>
    </xdr:from>
    <xdr:to>
      <xdr:col>32</xdr:col>
      <xdr:colOff>508001</xdr:colOff>
      <xdr:row>57</xdr:row>
      <xdr:rowOff>48156</xdr:rowOff>
    </xdr:to>
    <xdr:grpSp>
      <xdr:nvGrpSpPr>
        <xdr:cNvPr id="9" name="Agrupar 8">
          <a:extLst>
            <a:ext uri="{FF2B5EF4-FFF2-40B4-BE49-F238E27FC236}">
              <a16:creationId xmlns:a16="http://schemas.microsoft.com/office/drawing/2014/main" id="{00000000-0008-0000-1A00-000009000000}"/>
            </a:ext>
          </a:extLst>
        </xdr:cNvPr>
        <xdr:cNvGrpSpPr/>
      </xdr:nvGrpSpPr>
      <xdr:grpSpPr>
        <a:xfrm>
          <a:off x="16248063" y="5470525"/>
          <a:ext cx="5624513" cy="3807356"/>
          <a:chOff x="16221075" y="5397500"/>
          <a:chExt cx="5638801" cy="3731156"/>
        </a:xfrm>
      </xdr:grpSpPr>
      <xdr:graphicFrame macro="">
        <xdr:nvGraphicFramePr>
          <xdr:cNvPr id="20" name="Gráfico 19">
            <a:extLst>
              <a:ext uri="{FF2B5EF4-FFF2-40B4-BE49-F238E27FC236}">
                <a16:creationId xmlns:a16="http://schemas.microsoft.com/office/drawing/2014/main" id="{00000000-0008-0000-1A00-000014000000}"/>
              </a:ext>
            </a:extLst>
          </xdr:cNvPr>
          <xdr:cNvGraphicFramePr>
            <a:graphicFrameLocks/>
          </xdr:cNvGraphicFramePr>
        </xdr:nvGraphicFramePr>
        <xdr:xfrm>
          <a:off x="16221075" y="5734051"/>
          <a:ext cx="3800474" cy="3394605"/>
        </xdr:xfrm>
        <a:graphic>
          <a:graphicData uri="http://schemas.openxmlformats.org/drawingml/2006/chart">
            <c:chart xmlns:c="http://schemas.openxmlformats.org/drawingml/2006/chart" xmlns:r="http://schemas.openxmlformats.org/officeDocument/2006/relationships" r:id="rId3"/>
          </a:graphicData>
        </a:graphic>
      </xdr:graphicFrame>
      <xdr:sp macro="" textlink="q19_q28_q29_q39_Fig!$U$27">
        <xdr:nvSpPr>
          <xdr:cNvPr id="21" name="CaixaDeTexto 20">
            <a:extLst>
              <a:ext uri="{FF2B5EF4-FFF2-40B4-BE49-F238E27FC236}">
                <a16:creationId xmlns:a16="http://schemas.microsoft.com/office/drawing/2014/main" id="{00000000-0008-0000-1A00-000015000000}"/>
              </a:ext>
            </a:extLst>
          </xdr:cNvPr>
          <xdr:cNvSpPr txBox="1"/>
        </xdr:nvSpPr>
        <xdr:spPr>
          <a:xfrm>
            <a:off x="16617421" y="5845032"/>
            <a:ext cx="692678" cy="14301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0D81485-0E9F-45F2-BB6A-073D96AAE5ED}"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1.219,87 €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2" name="CaixaDeTexto 21">
            <a:extLst>
              <a:ext uri="{FF2B5EF4-FFF2-40B4-BE49-F238E27FC236}">
                <a16:creationId xmlns:a16="http://schemas.microsoft.com/office/drawing/2014/main" id="{00000000-0008-0000-1A00-000016000000}"/>
              </a:ext>
            </a:extLst>
          </xdr:cNvPr>
          <xdr:cNvSpPr txBox="1"/>
        </xdr:nvSpPr>
        <xdr:spPr>
          <a:xfrm>
            <a:off x="16617421" y="5613571"/>
            <a:ext cx="692679" cy="2062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9_q28_q29_q39_Fig!$V$27">
        <xdr:nvSpPr>
          <xdr:cNvPr id="23" name="CaixaDeTexto 22">
            <a:extLst>
              <a:ext uri="{FF2B5EF4-FFF2-40B4-BE49-F238E27FC236}">
                <a16:creationId xmlns:a16="http://schemas.microsoft.com/office/drawing/2014/main" id="{00000000-0008-0000-1A00-000017000000}"/>
              </a:ext>
            </a:extLst>
          </xdr:cNvPr>
          <xdr:cNvSpPr txBox="1"/>
        </xdr:nvSpPr>
        <xdr:spPr>
          <a:xfrm>
            <a:off x="16617421" y="6023130"/>
            <a:ext cx="692678" cy="104621"/>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BF5914B-4E77-48C0-85B0-5F7441EF3F66}"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1.466,66 €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15" name="Agrupar 14">
            <a:extLst>
              <a:ext uri="{FF2B5EF4-FFF2-40B4-BE49-F238E27FC236}">
                <a16:creationId xmlns:a16="http://schemas.microsoft.com/office/drawing/2014/main" id="{00000000-0008-0000-1A00-00000F000000}"/>
              </a:ext>
            </a:extLst>
          </xdr:cNvPr>
          <xdr:cNvGrpSpPr/>
        </xdr:nvGrpSpPr>
        <xdr:grpSpPr>
          <a:xfrm>
            <a:off x="19701235" y="5603993"/>
            <a:ext cx="2158641" cy="3444760"/>
            <a:chOff x="20489329" y="14115698"/>
            <a:chExt cx="2954034" cy="2531384"/>
          </a:xfrm>
        </xdr:grpSpPr>
        <xdr:graphicFrame macro="">
          <xdr:nvGraphicFramePr>
            <xdr:cNvPr id="16" name="Gráfico 15">
              <a:extLst>
                <a:ext uri="{FF2B5EF4-FFF2-40B4-BE49-F238E27FC236}">
                  <a16:creationId xmlns:a16="http://schemas.microsoft.com/office/drawing/2014/main" id="{00000000-0008-0000-1A00-000010000000}"/>
                </a:ext>
              </a:extLst>
            </xdr:cNvPr>
            <xdr:cNvGraphicFramePr>
              <a:graphicFrameLocks/>
            </xdr:cNvGraphicFramePr>
          </xdr:nvGraphicFramePr>
          <xdr:xfrm>
            <a:off x="20815828" y="14262773"/>
            <a:ext cx="2627535" cy="2384309"/>
          </xdr:xfrm>
          <a:graphic>
            <a:graphicData uri="http://schemas.openxmlformats.org/drawingml/2006/chart">
              <c:chart xmlns:c="http://schemas.openxmlformats.org/drawingml/2006/chart" xmlns:r="http://schemas.openxmlformats.org/officeDocument/2006/relationships" r:id="rId4"/>
            </a:graphicData>
          </a:graphic>
        </xdr:graphicFrame>
        <xdr:sp macro="" textlink="q19_q28_q29_q39_Fig!$W$27">
          <xdr:nvSpPr>
            <xdr:cNvPr id="17" name="CaixaDeTexto 16">
              <a:extLst>
                <a:ext uri="{FF2B5EF4-FFF2-40B4-BE49-F238E27FC236}">
                  <a16:creationId xmlns:a16="http://schemas.microsoft.com/office/drawing/2014/main" id="{00000000-0008-0000-1A00-000011000000}"/>
                </a:ext>
              </a:extLst>
            </xdr:cNvPr>
            <xdr:cNvSpPr txBox="1"/>
          </xdr:nvSpPr>
          <xdr:spPr>
            <a:xfrm>
              <a:off x="20489331" y="14269390"/>
              <a:ext cx="1068605" cy="100056"/>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E745607-F38E-4CED-BD7C-67315DAAACD4}"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6,88 €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8" name="CaixaDeTexto 17">
              <a:extLst>
                <a:ext uri="{FF2B5EF4-FFF2-40B4-BE49-F238E27FC236}">
                  <a16:creationId xmlns:a16="http://schemas.microsoft.com/office/drawing/2014/main" id="{00000000-0008-0000-1A00-000012000000}"/>
                </a:ext>
              </a:extLst>
            </xdr:cNvPr>
            <xdr:cNvSpPr txBox="1"/>
          </xdr:nvSpPr>
          <xdr:spPr>
            <a:xfrm>
              <a:off x="20489329" y="14115698"/>
              <a:ext cx="1083522" cy="130262"/>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grpSp>
      <xdr:sp macro="" textlink="">
        <xdr:nvSpPr>
          <xdr:cNvPr id="12" name="CaixaDeTexto 11">
            <a:extLst>
              <a:ext uri="{FF2B5EF4-FFF2-40B4-BE49-F238E27FC236}">
                <a16:creationId xmlns:a16="http://schemas.microsoft.com/office/drawing/2014/main" id="{00000000-0008-0000-1A00-00000C000000}"/>
              </a:ext>
            </a:extLst>
          </xdr:cNvPr>
          <xdr:cNvSpPr txBox="1"/>
        </xdr:nvSpPr>
        <xdr:spPr>
          <a:xfrm>
            <a:off x="17186755" y="5398912"/>
            <a:ext cx="1539726" cy="179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13" name="CaixaDeTexto 12">
            <a:extLst>
              <a:ext uri="{FF2B5EF4-FFF2-40B4-BE49-F238E27FC236}">
                <a16:creationId xmlns:a16="http://schemas.microsoft.com/office/drawing/2014/main" id="{00000000-0008-0000-1A00-00000D000000}"/>
              </a:ext>
            </a:extLst>
          </xdr:cNvPr>
          <xdr:cNvSpPr txBox="1"/>
        </xdr:nvSpPr>
        <xdr:spPr>
          <a:xfrm>
            <a:off x="19681208" y="5397500"/>
            <a:ext cx="1850055"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a:t>
            </a:r>
            <a:r>
              <a:rPr lang="pt-PT" sz="800" b="1" baseline="0">
                <a:solidFill>
                  <a:schemeClr val="tx2"/>
                </a:solidFill>
              </a:rPr>
              <a:t> base horária</a:t>
            </a:r>
            <a:endParaRPr lang="pt-PT" sz="800" b="1">
              <a:solidFill>
                <a:schemeClr val="tx2"/>
              </a:solidFill>
            </a:endParaRPr>
          </a:p>
        </xdr:txBody>
      </xdr:sp>
    </xdr:grpSp>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561975</xdr:colOff>
          <xdr:row>7</xdr:row>
          <xdr:rowOff>142875</xdr:rowOff>
        </xdr:from>
        <xdr:to>
          <xdr:col>17</xdr:col>
          <xdr:colOff>19050</xdr:colOff>
          <xdr:row>9</xdr:row>
          <xdr:rowOff>9525</xdr:rowOff>
        </xdr:to>
        <xdr:sp macro="" textlink="">
          <xdr:nvSpPr>
            <xdr:cNvPr id="179201" name="Drop Down 1" hidden="1">
              <a:extLst>
                <a:ext uri="{63B3BB69-23CF-44E3-9099-C40C66FF867C}">
                  <a14:compatExt spid="_x0000_s179201"/>
                </a:ext>
                <a:ext uri="{FF2B5EF4-FFF2-40B4-BE49-F238E27FC236}">
                  <a16:creationId xmlns:a16="http://schemas.microsoft.com/office/drawing/2014/main" id="{00000000-0008-0000-1B00-000001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581025</xdr:colOff>
          <xdr:row>116</xdr:row>
          <xdr:rowOff>123825</xdr:rowOff>
        </xdr:from>
        <xdr:to>
          <xdr:col>19</xdr:col>
          <xdr:colOff>361950</xdr:colOff>
          <xdr:row>117</xdr:row>
          <xdr:rowOff>142875</xdr:rowOff>
        </xdr:to>
        <xdr:sp macro="" textlink="">
          <xdr:nvSpPr>
            <xdr:cNvPr id="179206" name="Drop Down 6" hidden="1">
              <a:extLst>
                <a:ext uri="{63B3BB69-23CF-44E3-9099-C40C66FF867C}">
                  <a14:compatExt spid="_x0000_s179206"/>
                </a:ext>
                <a:ext uri="{FF2B5EF4-FFF2-40B4-BE49-F238E27FC236}">
                  <a16:creationId xmlns:a16="http://schemas.microsoft.com/office/drawing/2014/main" id="{00000000-0008-0000-1B00-000006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123825</xdr:rowOff>
        </xdr:from>
        <xdr:to>
          <xdr:col>20</xdr:col>
          <xdr:colOff>171450</xdr:colOff>
          <xdr:row>143</xdr:row>
          <xdr:rowOff>142875</xdr:rowOff>
        </xdr:to>
        <xdr:sp macro="" textlink="">
          <xdr:nvSpPr>
            <xdr:cNvPr id="179207" name="Drop Down 7" hidden="1">
              <a:extLst>
                <a:ext uri="{63B3BB69-23CF-44E3-9099-C40C66FF867C}">
                  <a14:compatExt spid="_x0000_s179207"/>
                </a:ext>
                <a:ext uri="{FF2B5EF4-FFF2-40B4-BE49-F238E27FC236}">
                  <a16:creationId xmlns:a16="http://schemas.microsoft.com/office/drawing/2014/main" id="{00000000-0008-0000-1B00-000007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23</xdr:col>
      <xdr:colOff>317500</xdr:colOff>
      <xdr:row>10</xdr:row>
      <xdr:rowOff>68792</xdr:rowOff>
    </xdr:from>
    <xdr:to>
      <xdr:col>30</xdr:col>
      <xdr:colOff>392483</xdr:colOff>
      <xdr:row>29</xdr:row>
      <xdr:rowOff>93133</xdr:rowOff>
    </xdr:to>
    <xdr:grpSp>
      <xdr:nvGrpSpPr>
        <xdr:cNvPr id="78" name="Agrupar 77">
          <a:extLst>
            <a:ext uri="{FF2B5EF4-FFF2-40B4-BE49-F238E27FC236}">
              <a16:creationId xmlns:a16="http://schemas.microsoft.com/office/drawing/2014/main" id="{00000000-0008-0000-1B00-00004E000000}"/>
            </a:ext>
          </a:extLst>
        </xdr:cNvPr>
        <xdr:cNvGrpSpPr/>
      </xdr:nvGrpSpPr>
      <xdr:grpSpPr>
        <a:xfrm>
          <a:off x="14787563" y="1576917"/>
          <a:ext cx="4496170" cy="2889779"/>
          <a:chOff x="190500" y="1133475"/>
          <a:chExt cx="4134750" cy="1964700"/>
        </a:xfrm>
      </xdr:grpSpPr>
      <xdr:grpSp>
        <xdr:nvGrpSpPr>
          <xdr:cNvPr id="79" name="Agrupar 78">
            <a:extLst>
              <a:ext uri="{FF2B5EF4-FFF2-40B4-BE49-F238E27FC236}">
                <a16:creationId xmlns:a16="http://schemas.microsoft.com/office/drawing/2014/main" id="{00000000-0008-0000-1B00-00004F000000}"/>
              </a:ext>
            </a:extLst>
          </xdr:cNvPr>
          <xdr:cNvGrpSpPr/>
        </xdr:nvGrpSpPr>
        <xdr:grpSpPr>
          <a:xfrm>
            <a:off x="1924050" y="1133475"/>
            <a:ext cx="2401200" cy="1850400"/>
            <a:chOff x="379" y="50819742"/>
            <a:chExt cx="3722129" cy="2517772"/>
          </a:xfrm>
        </xdr:grpSpPr>
        <xdr:graphicFrame macro="">
          <xdr:nvGraphicFramePr>
            <xdr:cNvPr id="81" name="Gráfico 80">
              <a:extLst>
                <a:ext uri="{FF2B5EF4-FFF2-40B4-BE49-F238E27FC236}">
                  <a16:creationId xmlns:a16="http://schemas.microsoft.com/office/drawing/2014/main" id="{00000000-0008-0000-1B00-000051000000}"/>
                </a:ext>
              </a:extLst>
            </xdr:cNvPr>
            <xdr:cNvGraphicFramePr/>
          </xdr:nvGraphicFramePr>
          <xdr:xfrm>
            <a:off x="379" y="50819742"/>
            <a:ext cx="3722129" cy="2517772"/>
          </xdr:xfrm>
          <a:graphic>
            <a:graphicData uri="http://schemas.openxmlformats.org/drawingml/2006/chart">
              <c:chart xmlns:c="http://schemas.openxmlformats.org/drawingml/2006/chart" xmlns:r="http://schemas.openxmlformats.org/officeDocument/2006/relationships" r:id="rId1"/>
            </a:graphicData>
          </a:graphic>
        </xdr:graphicFrame>
        <xdr:sp macro="" textlink="q17_a_q19_q26_a_q29_q37_q40_Fig!$S$23">
          <xdr:nvSpPr>
            <xdr:cNvPr id="82" name="CaixaDeTexto 81">
              <a:extLst>
                <a:ext uri="{FF2B5EF4-FFF2-40B4-BE49-F238E27FC236}">
                  <a16:creationId xmlns:a16="http://schemas.microsoft.com/office/drawing/2014/main" id="{00000000-0008-0000-1B00-000052000000}"/>
                </a:ext>
              </a:extLst>
            </xdr:cNvPr>
            <xdr:cNvSpPr txBox="1"/>
          </xdr:nvSpPr>
          <xdr:spPr>
            <a:xfrm>
              <a:off x="2466973" y="51215403"/>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13C352D-7C4F-4D98-833F-9C18CA6F96EA}"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1.552.823</a:t>
              </a:fld>
              <a:endParaRPr kumimoji="0" lang="pt-PT" sz="900" b="1" i="0" u="none" strike="noStrike" kern="0" cap="none" spc="0" normalizeH="0" baseline="0" noProof="0">
                <a:ln>
                  <a:noFill/>
                </a:ln>
                <a:solidFill>
                  <a:srgbClr val="000000"/>
                </a:solidFill>
                <a:effectLst/>
                <a:uLnTx/>
                <a:uFillTx/>
                <a:latin typeface="+mn-lt"/>
                <a:ea typeface="+mn-ea"/>
                <a:cs typeface="Arial"/>
              </a:endParaRPr>
            </a:p>
          </xdr:txBody>
        </xdr:sp>
        <xdr:sp macro="" textlink="q17_a_q19_q26_a_q29_q37_q40_Fig!$R$23">
          <xdr:nvSpPr>
            <xdr:cNvPr id="90" name="CaixaDeTexto 89">
              <a:extLst>
                <a:ext uri="{FF2B5EF4-FFF2-40B4-BE49-F238E27FC236}">
                  <a16:creationId xmlns:a16="http://schemas.microsoft.com/office/drawing/2014/main" id="{00000000-0008-0000-1B00-00005A000000}"/>
                </a:ext>
              </a:extLst>
            </xdr:cNvPr>
            <xdr:cNvSpPr txBox="1"/>
          </xdr:nvSpPr>
          <xdr:spPr>
            <a:xfrm>
              <a:off x="827210" y="51207396"/>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C47EF46-8E6E-47B5-B759-236E824EAE36}"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1.743.311</a:t>
              </a:fld>
              <a:endParaRPr kumimoji="0" lang="pt-PT" sz="9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80" name="Gráfico 79">
            <a:extLst>
              <a:ext uri="{FF2B5EF4-FFF2-40B4-BE49-F238E27FC236}">
                <a16:creationId xmlns:a16="http://schemas.microsoft.com/office/drawing/2014/main" id="{00000000-0008-0000-1B00-000050000000}"/>
              </a:ext>
            </a:extLst>
          </xdr:cNvPr>
          <xdr:cNvGraphicFramePr>
            <a:graphicFrameLocks/>
          </xdr:cNvGraphicFramePr>
        </xdr:nvGraphicFramePr>
        <xdr:xfrm>
          <a:off x="190500" y="1247775"/>
          <a:ext cx="2314575" cy="18504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25</xdr:col>
      <xdr:colOff>534458</xdr:colOff>
      <xdr:row>4</xdr:row>
      <xdr:rowOff>79376</xdr:rowOff>
    </xdr:from>
    <xdr:to>
      <xdr:col>32</xdr:col>
      <xdr:colOff>85195</xdr:colOff>
      <xdr:row>7</xdr:row>
      <xdr:rowOff>150238</xdr:rowOff>
    </xdr:to>
    <xdr:sp macro="" textlink="q17_a_q19_q26_a_q29_q37_q40_Fig!$Z$1">
      <xdr:nvSpPr>
        <xdr:cNvPr id="91" name="CaixaDeTexto 90">
          <a:extLst>
            <a:ext uri="{FF2B5EF4-FFF2-40B4-BE49-F238E27FC236}">
              <a16:creationId xmlns:a16="http://schemas.microsoft.com/office/drawing/2014/main" id="{00000000-0008-0000-1B00-00005B000000}"/>
            </a:ext>
          </a:extLst>
        </xdr:cNvPr>
        <xdr:cNvSpPr txBox="1"/>
      </xdr:nvSpPr>
      <xdr:spPr>
        <a:xfrm>
          <a:off x="15734771" y="682626"/>
          <a:ext cx="3606799" cy="5233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1E7581E2-9095-4569-90A1-D838D0031323}" type="TxLink">
            <a:rPr lang="en-US" sz="900" b="0" i="0" u="none" strike="noStrike">
              <a:solidFill>
                <a:sysClr val="windowText" lastClr="000000"/>
              </a:solidFill>
              <a:latin typeface="Calibri"/>
              <a:cs typeface="Calibri"/>
            </a:rPr>
            <a:pPr/>
            <a:t>2023:
Existiam 3.296.134 TCO, dos quais 50,1% tinham entre 25 e 44 anos; 
A taxa de feminização era de 47,1%</a:t>
          </a:fld>
          <a:endParaRPr lang="pt-PT" sz="900" b="0">
            <a:solidFill>
              <a:sysClr val="windowText" lastClr="000000"/>
            </a:solidFill>
          </a:endParaRPr>
        </a:p>
      </xdr:txBody>
    </xdr:sp>
    <xdr:clientData/>
  </xdr:twoCellAnchor>
  <xdr:twoCellAnchor>
    <xdr:from>
      <xdr:col>29</xdr:col>
      <xdr:colOff>407458</xdr:colOff>
      <xdr:row>84</xdr:row>
      <xdr:rowOff>21166</xdr:rowOff>
    </xdr:from>
    <xdr:to>
      <xdr:col>36</xdr:col>
      <xdr:colOff>467666</xdr:colOff>
      <xdr:row>111</xdr:row>
      <xdr:rowOff>50597</xdr:rowOff>
    </xdr:to>
    <xdr:grpSp>
      <xdr:nvGrpSpPr>
        <xdr:cNvPr id="92" name="Agrupar 91">
          <a:extLst>
            <a:ext uri="{FF2B5EF4-FFF2-40B4-BE49-F238E27FC236}">
              <a16:creationId xmlns:a16="http://schemas.microsoft.com/office/drawing/2014/main" id="{00000000-0008-0000-1B00-00005C000000}"/>
            </a:ext>
          </a:extLst>
        </xdr:cNvPr>
        <xdr:cNvGrpSpPr/>
      </xdr:nvGrpSpPr>
      <xdr:grpSpPr>
        <a:xfrm>
          <a:off x="18624021" y="12689416"/>
          <a:ext cx="4211520" cy="4148994"/>
          <a:chOff x="17928168" y="13873923"/>
          <a:chExt cx="5162525" cy="3324013"/>
        </a:xfrm>
      </xdr:grpSpPr>
      <xdr:grpSp>
        <xdr:nvGrpSpPr>
          <xdr:cNvPr id="93" name="Agrupar 92">
            <a:extLst>
              <a:ext uri="{FF2B5EF4-FFF2-40B4-BE49-F238E27FC236}">
                <a16:creationId xmlns:a16="http://schemas.microsoft.com/office/drawing/2014/main" id="{00000000-0008-0000-1B00-00005D000000}"/>
              </a:ext>
            </a:extLst>
          </xdr:cNvPr>
          <xdr:cNvGrpSpPr/>
        </xdr:nvGrpSpPr>
        <xdr:grpSpPr>
          <a:xfrm>
            <a:off x="17928168" y="13918940"/>
            <a:ext cx="2595140" cy="3278996"/>
            <a:chOff x="16790459" y="14269574"/>
            <a:chExt cx="2595140" cy="2552635"/>
          </a:xfrm>
        </xdr:grpSpPr>
        <xdr:graphicFrame macro="">
          <xdr:nvGraphicFramePr>
            <xdr:cNvPr id="109" name="Gráfico 108">
              <a:extLst>
                <a:ext uri="{FF2B5EF4-FFF2-40B4-BE49-F238E27FC236}">
                  <a16:creationId xmlns:a16="http://schemas.microsoft.com/office/drawing/2014/main" id="{00000000-0008-0000-1B00-00006D000000}"/>
                </a:ext>
              </a:extLst>
            </xdr:cNvPr>
            <xdr:cNvGraphicFramePr>
              <a:graphicFrameLocks/>
            </xdr:cNvGraphicFramePr>
          </xdr:nvGraphicFramePr>
          <xdr:xfrm>
            <a:off x="16790459" y="14440959"/>
            <a:ext cx="2595140" cy="2381250"/>
          </xdr:xfrm>
          <a:graphic>
            <a:graphicData uri="http://schemas.openxmlformats.org/drawingml/2006/chart">
              <c:chart xmlns:c="http://schemas.openxmlformats.org/drawingml/2006/chart" xmlns:r="http://schemas.openxmlformats.org/officeDocument/2006/relationships" r:id="rId3"/>
            </a:graphicData>
          </a:graphic>
        </xdr:graphicFrame>
        <xdr:sp macro="" textlink="q17_a_q19_q26_a_q29_q37_q40_Fig!$R$107">
          <xdr:nvSpPr>
            <xdr:cNvPr id="110" name="CaixaDeTexto 109">
              <a:extLst>
                <a:ext uri="{FF2B5EF4-FFF2-40B4-BE49-F238E27FC236}">
                  <a16:creationId xmlns:a16="http://schemas.microsoft.com/office/drawing/2014/main" id="{00000000-0008-0000-1B00-00006E000000}"/>
                </a:ext>
              </a:extLst>
            </xdr:cNvPr>
            <xdr:cNvSpPr txBox="1"/>
          </xdr:nvSpPr>
          <xdr:spPr>
            <a:xfrm>
              <a:off x="17065625" y="14440466"/>
              <a:ext cx="828116" cy="10770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1C5C7F2-35F2-4BD7-AFD6-3A9B2ABBDB2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1.219,87 €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11" name="CaixaDeTexto 110">
              <a:extLst>
                <a:ext uri="{FF2B5EF4-FFF2-40B4-BE49-F238E27FC236}">
                  <a16:creationId xmlns:a16="http://schemas.microsoft.com/office/drawing/2014/main" id="{00000000-0008-0000-1B00-00006F000000}"/>
                </a:ext>
              </a:extLst>
            </xdr:cNvPr>
            <xdr:cNvSpPr txBox="1"/>
          </xdr:nvSpPr>
          <xdr:spPr>
            <a:xfrm>
              <a:off x="17065623" y="14269574"/>
              <a:ext cx="835055" cy="141666"/>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7_a_q19_q26_a_q29_q37_q40_Fig!$R$108">
          <xdr:nvSpPr>
            <xdr:cNvPr id="112" name="CaixaDeTexto 111">
              <a:extLst>
                <a:ext uri="{FF2B5EF4-FFF2-40B4-BE49-F238E27FC236}">
                  <a16:creationId xmlns:a16="http://schemas.microsoft.com/office/drawing/2014/main" id="{00000000-0008-0000-1B00-000070000000}"/>
                </a:ext>
              </a:extLst>
            </xdr:cNvPr>
            <xdr:cNvSpPr txBox="1"/>
          </xdr:nvSpPr>
          <xdr:spPr>
            <a:xfrm>
              <a:off x="17065625" y="14584089"/>
              <a:ext cx="835055" cy="109542"/>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156ECC-38C7-4F73-8CAE-70A78179436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1.466,66 €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03" name="Agrupar 102">
            <a:extLst>
              <a:ext uri="{FF2B5EF4-FFF2-40B4-BE49-F238E27FC236}">
                <a16:creationId xmlns:a16="http://schemas.microsoft.com/office/drawing/2014/main" id="{00000000-0008-0000-1B00-000067000000}"/>
              </a:ext>
            </a:extLst>
          </xdr:cNvPr>
          <xdr:cNvGrpSpPr/>
        </xdr:nvGrpSpPr>
        <xdr:grpSpPr>
          <a:xfrm>
            <a:off x="20312568" y="13873923"/>
            <a:ext cx="2778125" cy="3100196"/>
            <a:chOff x="20936984" y="14847589"/>
            <a:chExt cx="2778125" cy="3100196"/>
          </a:xfrm>
        </xdr:grpSpPr>
        <xdr:graphicFrame macro="">
          <xdr:nvGraphicFramePr>
            <xdr:cNvPr id="104" name="Gráfico 103">
              <a:extLst>
                <a:ext uri="{FF2B5EF4-FFF2-40B4-BE49-F238E27FC236}">
                  <a16:creationId xmlns:a16="http://schemas.microsoft.com/office/drawing/2014/main" id="{00000000-0008-0000-1B00-000068000000}"/>
                </a:ext>
              </a:extLst>
            </xdr:cNvPr>
            <xdr:cNvGraphicFramePr/>
          </xdr:nvGraphicFramePr>
          <xdr:xfrm>
            <a:off x="20936984" y="14847589"/>
            <a:ext cx="2778125" cy="3100196"/>
          </xdr:xfrm>
          <a:graphic>
            <a:graphicData uri="http://schemas.openxmlformats.org/drawingml/2006/chart">
              <c:chart xmlns:c="http://schemas.openxmlformats.org/drawingml/2006/chart" xmlns:r="http://schemas.openxmlformats.org/officeDocument/2006/relationships" r:id="rId4"/>
            </a:graphicData>
          </a:graphic>
        </xdr:graphicFrame>
        <xdr:sp macro="" textlink="q17_a_q19_q26_a_q29_q37_q40_Fig!$R$114">
          <xdr:nvSpPr>
            <xdr:cNvPr id="105" name="CaixaDeTexto 104">
              <a:extLst>
                <a:ext uri="{FF2B5EF4-FFF2-40B4-BE49-F238E27FC236}">
                  <a16:creationId xmlns:a16="http://schemas.microsoft.com/office/drawing/2014/main" id="{00000000-0008-0000-1B00-000069000000}"/>
                </a:ext>
              </a:extLst>
            </xdr:cNvPr>
            <xdr:cNvSpPr txBox="1"/>
          </xdr:nvSpPr>
          <xdr:spPr>
            <a:xfrm>
              <a:off x="21534234" y="15168110"/>
              <a:ext cx="684270" cy="14400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07BD8C-99F2-4650-BA3A-00151E8ADD3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1.294,03 €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R$115">
          <xdr:nvSpPr>
            <xdr:cNvPr id="106" name="CaixaDeTexto 105">
              <a:extLst>
                <a:ext uri="{FF2B5EF4-FFF2-40B4-BE49-F238E27FC236}">
                  <a16:creationId xmlns:a16="http://schemas.microsoft.com/office/drawing/2014/main" id="{00000000-0008-0000-1B00-00006A000000}"/>
                </a:ext>
              </a:extLst>
            </xdr:cNvPr>
            <xdr:cNvSpPr txBox="1"/>
          </xdr:nvSpPr>
          <xdr:spPr>
            <a:xfrm>
              <a:off x="21534234" y="15359885"/>
              <a:ext cx="684270" cy="1440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CF34B2E-6095-4C26-83B7-DA38221164E4}"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U$104">
          <xdr:nvSpPr>
            <xdr:cNvPr id="107" name="CaixaDeTexto 106">
              <a:extLst>
                <a:ext uri="{FF2B5EF4-FFF2-40B4-BE49-F238E27FC236}">
                  <a16:creationId xmlns:a16="http://schemas.microsoft.com/office/drawing/2014/main" id="{00000000-0008-0000-1B00-00006B000000}"/>
                </a:ext>
              </a:extLst>
            </xdr:cNvPr>
            <xdr:cNvSpPr txBox="1"/>
          </xdr:nvSpPr>
          <xdr:spPr>
            <a:xfrm>
              <a:off x="22755761" y="15181015"/>
              <a:ext cx="684270" cy="14400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ED31F1F-4F1E-4B28-80C7-E1D677609C7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1.129,64 €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V$104">
          <xdr:nvSpPr>
            <xdr:cNvPr id="108" name="CaixaDeTexto 107">
              <a:extLst>
                <a:ext uri="{FF2B5EF4-FFF2-40B4-BE49-F238E27FC236}">
                  <a16:creationId xmlns:a16="http://schemas.microsoft.com/office/drawing/2014/main" id="{00000000-0008-0000-1B00-00006C000000}"/>
                </a:ext>
              </a:extLst>
            </xdr:cNvPr>
            <xdr:cNvSpPr txBox="1"/>
          </xdr:nvSpPr>
          <xdr:spPr>
            <a:xfrm>
              <a:off x="22755761" y="15372791"/>
              <a:ext cx="684270" cy="14400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A095E1-FC08-48A6-9F65-B082055869C6}"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1.332,02 €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37</xdr:col>
      <xdr:colOff>464079</xdr:colOff>
      <xdr:row>102</xdr:row>
      <xdr:rowOff>136688</xdr:rowOff>
    </xdr:from>
    <xdr:to>
      <xdr:col>41</xdr:col>
      <xdr:colOff>77787</xdr:colOff>
      <xdr:row>109</xdr:row>
      <xdr:rowOff>29633</xdr:rowOff>
    </xdr:to>
    <xdr:sp macro="" textlink="q17_a_q19_q26_a_q29_q37_q40_Fig!$AM$99">
      <xdr:nvSpPr>
        <xdr:cNvPr id="123" name="CaixaDeTexto 122">
          <a:extLst>
            <a:ext uri="{FF2B5EF4-FFF2-40B4-BE49-F238E27FC236}">
              <a16:creationId xmlns:a16="http://schemas.microsoft.com/office/drawing/2014/main" id="{00000000-0008-0000-1B00-00007B000000}"/>
            </a:ext>
          </a:extLst>
        </xdr:cNvPr>
        <xdr:cNvSpPr txBox="1"/>
      </xdr:nvSpPr>
      <xdr:spPr>
        <a:xfrm>
          <a:off x="23411392" y="15567188"/>
          <a:ext cx="1931458" cy="94863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33992CCA-45C9-49C1-84AF-6891D620D75B}" type="TxLink">
            <a:rPr kumimoji="0" lang="en-US" sz="900" b="1"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83,2% do Ganho, entre 925 € (18 - 24 anos) e 1.345 €  (65 e + anos).
Ganho: Entre 1.100 € (18 - 24 anos) e 1.595 €  (45 - 54 anos).</a:t>
          </a:fld>
          <a:endParaRPr kumimoji="0" lang="pt-PT" sz="10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44</xdr:col>
      <xdr:colOff>322794</xdr:colOff>
      <xdr:row>103</xdr:row>
      <xdr:rowOff>39687</xdr:rowOff>
    </xdr:from>
    <xdr:to>
      <xdr:col>48</xdr:col>
      <xdr:colOff>346075</xdr:colOff>
      <xdr:row>109</xdr:row>
      <xdr:rowOff>71438</xdr:rowOff>
    </xdr:to>
    <xdr:sp macro="" textlink="q17_a_q19_q26_a_q29_q37_q40_Fig!AX92">
      <xdr:nvSpPr>
        <xdr:cNvPr id="125" name="CaixaDeTexto 124">
          <a:extLst>
            <a:ext uri="{FF2B5EF4-FFF2-40B4-BE49-F238E27FC236}">
              <a16:creationId xmlns:a16="http://schemas.microsoft.com/office/drawing/2014/main" id="{00000000-0008-0000-1B00-00007D000000}"/>
            </a:ext>
          </a:extLst>
        </xdr:cNvPr>
        <xdr:cNvSpPr txBox="1"/>
      </xdr:nvSpPr>
      <xdr:spPr>
        <a:xfrm>
          <a:off x="27326169" y="15621000"/>
          <a:ext cx="2341031" cy="93662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E1D93B8-A427-4A4B-8792-3BED9284426F}"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Base Mulheres = 87,3% da dos Homens (H), entre  66,6% da dos H (&lt; 18 anos) e 93,8% (18 - 24 anos).
Ganho Mulheres = 84,4% da dos H, entre  70,7% da dos H (&lt; 18 anos) e 92,8% (18 - 24 anos).</a:t>
          </a:fld>
          <a:endParaRPr kumimoji="0" lang="en-US" i="0" u="none" strike="noStrike" kern="0" cap="none" spc="0" normalizeH="0" baseline="0" noProof="0">
            <a:ln>
              <a:noFill/>
            </a:ln>
            <a:solidFill>
              <a:sysClr val="windowText" lastClr="000000"/>
            </a:solidFill>
            <a:effectLst/>
            <a:uLnTx/>
            <a:uFillTx/>
            <a:latin typeface="Calibri"/>
            <a:ea typeface="+mn-ea"/>
          </a:endParaRPr>
        </a:p>
      </xdr:txBody>
    </xdr:sp>
    <xdr:clientData/>
  </xdr:twoCellAnchor>
  <xdr:twoCellAnchor>
    <xdr:from>
      <xdr:col>23</xdr:col>
      <xdr:colOff>63499</xdr:colOff>
      <xdr:row>36</xdr:row>
      <xdr:rowOff>127000</xdr:rowOff>
    </xdr:from>
    <xdr:to>
      <xdr:col>30</xdr:col>
      <xdr:colOff>569384</xdr:colOff>
      <xdr:row>55</xdr:row>
      <xdr:rowOff>110132</xdr:rowOff>
    </xdr:to>
    <xdr:grpSp>
      <xdr:nvGrpSpPr>
        <xdr:cNvPr id="126" name="Agrupar 125">
          <a:extLst>
            <a:ext uri="{FF2B5EF4-FFF2-40B4-BE49-F238E27FC236}">
              <a16:creationId xmlns:a16="http://schemas.microsoft.com/office/drawing/2014/main" id="{00000000-0008-0000-1B00-00007E000000}"/>
            </a:ext>
          </a:extLst>
        </xdr:cNvPr>
        <xdr:cNvGrpSpPr/>
      </xdr:nvGrpSpPr>
      <xdr:grpSpPr>
        <a:xfrm>
          <a:off x="14533562" y="5556250"/>
          <a:ext cx="4927072" cy="2848570"/>
          <a:chOff x="4838698" y="1104900"/>
          <a:chExt cx="4438651" cy="2174250"/>
        </a:xfrm>
      </xdr:grpSpPr>
      <xdr:grpSp>
        <xdr:nvGrpSpPr>
          <xdr:cNvPr id="127" name="Agrupar 126">
            <a:extLst>
              <a:ext uri="{FF2B5EF4-FFF2-40B4-BE49-F238E27FC236}">
                <a16:creationId xmlns:a16="http://schemas.microsoft.com/office/drawing/2014/main" id="{00000000-0008-0000-1B00-00007F000000}"/>
              </a:ext>
            </a:extLst>
          </xdr:cNvPr>
          <xdr:cNvGrpSpPr/>
        </xdr:nvGrpSpPr>
        <xdr:grpSpPr>
          <a:xfrm>
            <a:off x="6905624" y="1104900"/>
            <a:ext cx="2371725" cy="2088525"/>
            <a:chOff x="237729" y="50865118"/>
            <a:chExt cx="3452223" cy="2472395"/>
          </a:xfrm>
        </xdr:grpSpPr>
        <xdr:graphicFrame macro="">
          <xdr:nvGraphicFramePr>
            <xdr:cNvPr id="129" name="Gráfico 128">
              <a:extLst>
                <a:ext uri="{FF2B5EF4-FFF2-40B4-BE49-F238E27FC236}">
                  <a16:creationId xmlns:a16="http://schemas.microsoft.com/office/drawing/2014/main" id="{00000000-0008-0000-1B00-000081000000}"/>
                </a:ext>
              </a:extLst>
            </xdr:cNvPr>
            <xdr:cNvGraphicFramePr/>
          </xdr:nvGraphicFramePr>
          <xdr:xfrm>
            <a:off x="237729" y="50865118"/>
            <a:ext cx="3452223" cy="2472395"/>
          </xdr:xfrm>
          <a:graphic>
            <a:graphicData uri="http://schemas.openxmlformats.org/drawingml/2006/chart">
              <c:chart xmlns:c="http://schemas.openxmlformats.org/drawingml/2006/chart" xmlns:r="http://schemas.openxmlformats.org/officeDocument/2006/relationships" r:id="rId5"/>
            </a:graphicData>
          </a:graphic>
        </xdr:graphicFrame>
        <xdr:sp macro="" textlink="q17_a_q19_q26_a_q29_q37_q40_Fig!$S$53">
          <xdr:nvSpPr>
            <xdr:cNvPr id="130" name="CaixaDeTexto 129">
              <a:extLst>
                <a:ext uri="{FF2B5EF4-FFF2-40B4-BE49-F238E27FC236}">
                  <a16:creationId xmlns:a16="http://schemas.microsoft.com/office/drawing/2014/main" id="{00000000-0008-0000-1B00-000082000000}"/>
                </a:ext>
              </a:extLst>
            </xdr:cNvPr>
            <xdr:cNvSpPr txBox="1"/>
          </xdr:nvSpPr>
          <xdr:spPr>
            <a:xfrm>
              <a:off x="2462259" y="51257392"/>
              <a:ext cx="972653" cy="212825"/>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346763-475C-40D3-8C96-022D8ECA6C6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1.552.823</a:t>
              </a:fld>
              <a:endParaRPr kumimoji="0" lang="pt-PT" sz="800" b="1" i="0" u="none" strike="noStrike" kern="0" cap="none" spc="0" normalizeH="0" baseline="0" noProof="0">
                <a:ln>
                  <a:noFill/>
                </a:ln>
                <a:solidFill>
                  <a:srgbClr val="000000"/>
                </a:solidFill>
                <a:effectLst/>
                <a:uLnTx/>
                <a:uFillTx/>
                <a:latin typeface="+mn-lt"/>
                <a:ea typeface="+mn-ea"/>
                <a:cs typeface="Arial"/>
              </a:endParaRPr>
            </a:p>
          </xdr:txBody>
        </xdr:sp>
        <xdr:sp macro="" textlink="q17_a_q19_q26_a_q29_q37_q40_Fig!$R$53">
          <xdr:nvSpPr>
            <xdr:cNvPr id="131" name="CaixaDeTexto 130">
              <a:extLst>
                <a:ext uri="{FF2B5EF4-FFF2-40B4-BE49-F238E27FC236}">
                  <a16:creationId xmlns:a16="http://schemas.microsoft.com/office/drawing/2014/main" id="{00000000-0008-0000-1B00-000083000000}"/>
                </a:ext>
              </a:extLst>
            </xdr:cNvPr>
            <xdr:cNvSpPr txBox="1"/>
          </xdr:nvSpPr>
          <xdr:spPr>
            <a:xfrm>
              <a:off x="930254" y="51250755"/>
              <a:ext cx="972653" cy="213084"/>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28F9F58-0452-4DC4-9A48-9DAD84751F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1.743.311</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128" name="Gráfico 127">
            <a:extLst>
              <a:ext uri="{FF2B5EF4-FFF2-40B4-BE49-F238E27FC236}">
                <a16:creationId xmlns:a16="http://schemas.microsoft.com/office/drawing/2014/main" id="{00000000-0008-0000-1B00-000080000000}"/>
              </a:ext>
            </a:extLst>
          </xdr:cNvPr>
          <xdr:cNvGraphicFramePr>
            <a:graphicFrameLocks/>
          </xdr:cNvGraphicFramePr>
        </xdr:nvGraphicFramePr>
        <xdr:xfrm>
          <a:off x="4838698" y="1428750"/>
          <a:ext cx="2838452" cy="18504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16</xdr:col>
      <xdr:colOff>216958</xdr:colOff>
      <xdr:row>55</xdr:row>
      <xdr:rowOff>116417</xdr:rowOff>
    </xdr:from>
    <xdr:to>
      <xdr:col>21</xdr:col>
      <xdr:colOff>434975</xdr:colOff>
      <xdr:row>60</xdr:row>
      <xdr:rowOff>89958</xdr:rowOff>
    </xdr:to>
    <xdr:sp macro="" textlink="q17_a_q19_q26_a_q29_q37_q40_Fig!$Y$57">
      <xdr:nvSpPr>
        <xdr:cNvPr id="132" name="CaixaDeTexto 131">
          <a:extLst>
            <a:ext uri="{FF2B5EF4-FFF2-40B4-BE49-F238E27FC236}">
              <a16:creationId xmlns:a16="http://schemas.microsoft.com/office/drawing/2014/main" id="{00000000-0008-0000-1B00-000084000000}"/>
            </a:ext>
          </a:extLst>
        </xdr:cNvPr>
        <xdr:cNvSpPr txBox="1"/>
      </xdr:nvSpPr>
      <xdr:spPr>
        <a:xfrm>
          <a:off x="10546291" y="8556625"/>
          <a:ext cx="3414184" cy="74083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48839FCC-299A-463A-BB08-0CE435B4BBAF}" type="TxLink">
            <a:rPr lang="en-US" sz="900" b="0" i="0" u="none" strike="noStrike">
              <a:solidFill>
                <a:sysClr val="windowText" lastClr="000000"/>
              </a:solidFill>
              <a:latin typeface="Calibri"/>
              <a:cs typeface="Calibri"/>
            </a:rPr>
            <a:pPr/>
            <a:t>2023:
56,0% dos TCO eram profissionais qualificados e semi-qualificados, onde a taxa de feminização era de  41,8% e de 56,4%, respetivamente.</a:t>
          </a:fld>
          <a:endParaRPr lang="pt-PT" sz="900" b="0">
            <a:solidFill>
              <a:sysClr val="windowText" lastClr="000000"/>
            </a:solidFill>
          </a:endParaRPr>
        </a:p>
      </xdr:txBody>
    </xdr:sp>
    <xdr:clientData/>
  </xdr:twoCellAnchor>
  <xdr:twoCellAnchor>
    <xdr:from>
      <xdr:col>31</xdr:col>
      <xdr:colOff>508000</xdr:colOff>
      <xdr:row>113</xdr:row>
      <xdr:rowOff>21166</xdr:rowOff>
    </xdr:from>
    <xdr:to>
      <xdr:col>37</xdr:col>
      <xdr:colOff>502673</xdr:colOff>
      <xdr:row>134</xdr:row>
      <xdr:rowOff>105833</xdr:rowOff>
    </xdr:to>
    <xdr:grpSp>
      <xdr:nvGrpSpPr>
        <xdr:cNvPr id="133" name="Agrupar 132">
          <a:extLst>
            <a:ext uri="{FF2B5EF4-FFF2-40B4-BE49-F238E27FC236}">
              <a16:creationId xmlns:a16="http://schemas.microsoft.com/office/drawing/2014/main" id="{00000000-0008-0000-1B00-000085000000}"/>
            </a:ext>
          </a:extLst>
        </xdr:cNvPr>
        <xdr:cNvGrpSpPr/>
      </xdr:nvGrpSpPr>
      <xdr:grpSpPr>
        <a:xfrm>
          <a:off x="19978688" y="17110604"/>
          <a:ext cx="3471298" cy="3251729"/>
          <a:chOff x="18293291" y="17907757"/>
          <a:chExt cx="5355382" cy="3534079"/>
        </a:xfrm>
      </xdr:grpSpPr>
      <xdr:grpSp>
        <xdr:nvGrpSpPr>
          <xdr:cNvPr id="134" name="Agrupar 133">
            <a:extLst>
              <a:ext uri="{FF2B5EF4-FFF2-40B4-BE49-F238E27FC236}">
                <a16:creationId xmlns:a16="http://schemas.microsoft.com/office/drawing/2014/main" id="{00000000-0008-0000-1B00-000086000000}"/>
              </a:ext>
            </a:extLst>
          </xdr:cNvPr>
          <xdr:cNvGrpSpPr/>
        </xdr:nvGrpSpPr>
        <xdr:grpSpPr>
          <a:xfrm>
            <a:off x="18293291" y="17938754"/>
            <a:ext cx="2846916" cy="3503082"/>
            <a:chOff x="20214167" y="14049372"/>
            <a:chExt cx="2846916" cy="2603503"/>
          </a:xfrm>
        </xdr:grpSpPr>
        <xdr:graphicFrame macro="">
          <xdr:nvGraphicFramePr>
            <xdr:cNvPr id="151" name="Gráfico 150">
              <a:extLst>
                <a:ext uri="{FF2B5EF4-FFF2-40B4-BE49-F238E27FC236}">
                  <a16:creationId xmlns:a16="http://schemas.microsoft.com/office/drawing/2014/main" id="{00000000-0008-0000-1B00-000097000000}"/>
                </a:ext>
              </a:extLst>
            </xdr:cNvPr>
            <xdr:cNvGraphicFramePr>
              <a:graphicFrameLocks/>
            </xdr:cNvGraphicFramePr>
          </xdr:nvGraphicFramePr>
          <xdr:xfrm>
            <a:off x="20214167" y="14271625"/>
            <a:ext cx="2846916" cy="2381250"/>
          </xdr:xfrm>
          <a:graphic>
            <a:graphicData uri="http://schemas.openxmlformats.org/drawingml/2006/chart">
              <c:chart xmlns:c="http://schemas.openxmlformats.org/drawingml/2006/chart" xmlns:r="http://schemas.openxmlformats.org/officeDocument/2006/relationships" r:id="rId7"/>
            </a:graphicData>
          </a:graphic>
        </xdr:graphicFrame>
        <xdr:sp macro="" textlink="q17_a_q19_q26_a_q29_q37_q40_Fig!$R$132">
          <xdr:nvSpPr>
            <xdr:cNvPr id="152" name="CaixaDeTexto 151">
              <a:extLst>
                <a:ext uri="{FF2B5EF4-FFF2-40B4-BE49-F238E27FC236}">
                  <a16:creationId xmlns:a16="http://schemas.microsoft.com/office/drawing/2014/main" id="{00000000-0008-0000-1B00-000098000000}"/>
                </a:ext>
              </a:extLst>
            </xdr:cNvPr>
            <xdr:cNvSpPr txBox="1"/>
          </xdr:nvSpPr>
          <xdr:spPr>
            <a:xfrm>
              <a:off x="20489330" y="14220587"/>
              <a:ext cx="966890" cy="103652"/>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94FF904-7FF2-4811-B6FA-9508B3DAD15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1.219,87 €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53" name="CaixaDeTexto 152">
              <a:extLst>
                <a:ext uri="{FF2B5EF4-FFF2-40B4-BE49-F238E27FC236}">
                  <a16:creationId xmlns:a16="http://schemas.microsoft.com/office/drawing/2014/main" id="{00000000-0008-0000-1B00-000099000000}"/>
                </a:ext>
              </a:extLst>
            </xdr:cNvPr>
            <xdr:cNvSpPr txBox="1"/>
          </xdr:nvSpPr>
          <xdr:spPr>
            <a:xfrm>
              <a:off x="20489333" y="14049372"/>
              <a:ext cx="950758" cy="139765"/>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7_a_q19_q26_a_q29_q37_q40_Fig!$R$133">
          <xdr:nvSpPr>
            <xdr:cNvPr id="154" name="CaixaDeTexto 153">
              <a:extLst>
                <a:ext uri="{FF2B5EF4-FFF2-40B4-BE49-F238E27FC236}">
                  <a16:creationId xmlns:a16="http://schemas.microsoft.com/office/drawing/2014/main" id="{00000000-0008-0000-1B00-00009A000000}"/>
                </a:ext>
              </a:extLst>
            </xdr:cNvPr>
            <xdr:cNvSpPr txBox="1"/>
          </xdr:nvSpPr>
          <xdr:spPr>
            <a:xfrm>
              <a:off x="20489330" y="14370432"/>
              <a:ext cx="950759" cy="107547"/>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F41B4DC-6B12-4705-972B-8D9EFE182F4F}"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1.466,66 €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35" name="Agrupar 134">
            <a:extLst>
              <a:ext uri="{FF2B5EF4-FFF2-40B4-BE49-F238E27FC236}">
                <a16:creationId xmlns:a16="http://schemas.microsoft.com/office/drawing/2014/main" id="{00000000-0008-0000-1B00-000087000000}"/>
              </a:ext>
            </a:extLst>
          </xdr:cNvPr>
          <xdr:cNvGrpSpPr/>
        </xdr:nvGrpSpPr>
        <xdr:grpSpPr>
          <a:xfrm>
            <a:off x="20418296" y="17907757"/>
            <a:ext cx="3230377" cy="3327698"/>
            <a:chOff x="21145612" y="14869909"/>
            <a:chExt cx="2840782" cy="3090007"/>
          </a:xfrm>
        </xdr:grpSpPr>
        <xdr:graphicFrame macro="">
          <xdr:nvGraphicFramePr>
            <xdr:cNvPr id="146" name="Gráfico 145">
              <a:extLst>
                <a:ext uri="{FF2B5EF4-FFF2-40B4-BE49-F238E27FC236}">
                  <a16:creationId xmlns:a16="http://schemas.microsoft.com/office/drawing/2014/main" id="{00000000-0008-0000-1B00-000092000000}"/>
                </a:ext>
              </a:extLst>
            </xdr:cNvPr>
            <xdr:cNvGraphicFramePr/>
          </xdr:nvGraphicFramePr>
          <xdr:xfrm>
            <a:off x="21145612" y="14869909"/>
            <a:ext cx="2778125" cy="3090007"/>
          </xdr:xfrm>
          <a:graphic>
            <a:graphicData uri="http://schemas.openxmlformats.org/drawingml/2006/chart">
              <c:chart xmlns:c="http://schemas.openxmlformats.org/drawingml/2006/chart" xmlns:r="http://schemas.openxmlformats.org/officeDocument/2006/relationships" r:id="rId8"/>
            </a:graphicData>
          </a:graphic>
        </xdr:graphicFrame>
        <xdr:sp macro="" textlink="q17_a_q19_q26_a_q29_q37_q40_Fig!$R$136">
          <xdr:nvSpPr>
            <xdr:cNvPr id="147" name="CaixaDeTexto 146">
              <a:extLst>
                <a:ext uri="{FF2B5EF4-FFF2-40B4-BE49-F238E27FC236}">
                  <a16:creationId xmlns:a16="http://schemas.microsoft.com/office/drawing/2014/main" id="{00000000-0008-0000-1B00-000093000000}"/>
                </a:ext>
              </a:extLst>
            </xdr:cNvPr>
            <xdr:cNvSpPr txBox="1"/>
          </xdr:nvSpPr>
          <xdr:spPr>
            <a:xfrm>
              <a:off x="21936641" y="15221481"/>
              <a:ext cx="782888" cy="11979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E49E796-DCE6-4364-B448-F5CA0509A2D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1.294,03 €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R$137">
          <xdr:nvSpPr>
            <xdr:cNvPr id="148" name="CaixaDeTexto 147">
              <a:extLst>
                <a:ext uri="{FF2B5EF4-FFF2-40B4-BE49-F238E27FC236}">
                  <a16:creationId xmlns:a16="http://schemas.microsoft.com/office/drawing/2014/main" id="{00000000-0008-0000-1B00-000094000000}"/>
                </a:ext>
              </a:extLst>
            </xdr:cNvPr>
            <xdr:cNvSpPr txBox="1"/>
          </xdr:nvSpPr>
          <xdr:spPr>
            <a:xfrm>
              <a:off x="21943733" y="15413258"/>
              <a:ext cx="782231" cy="1199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94AF2D3-E95C-4965-BDF3-A75C1EA1175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T$129">
          <xdr:nvSpPr>
            <xdr:cNvPr id="149" name="CaixaDeTexto 148">
              <a:extLst>
                <a:ext uri="{FF2B5EF4-FFF2-40B4-BE49-F238E27FC236}">
                  <a16:creationId xmlns:a16="http://schemas.microsoft.com/office/drawing/2014/main" id="{00000000-0008-0000-1B00-000095000000}"/>
                </a:ext>
              </a:extLst>
            </xdr:cNvPr>
            <xdr:cNvSpPr txBox="1"/>
          </xdr:nvSpPr>
          <xdr:spPr>
            <a:xfrm>
              <a:off x="23202946" y="15216190"/>
              <a:ext cx="783448" cy="11979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E772E6-B5EE-4022-A5D7-B926F70E47F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1.129,64 €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7_q40_Fig!$U$129">
          <xdr:nvSpPr>
            <xdr:cNvPr id="150" name="CaixaDeTexto 149">
              <a:extLst>
                <a:ext uri="{FF2B5EF4-FFF2-40B4-BE49-F238E27FC236}">
                  <a16:creationId xmlns:a16="http://schemas.microsoft.com/office/drawing/2014/main" id="{00000000-0008-0000-1B00-000096000000}"/>
                </a:ext>
              </a:extLst>
            </xdr:cNvPr>
            <xdr:cNvSpPr txBox="1"/>
          </xdr:nvSpPr>
          <xdr:spPr>
            <a:xfrm>
              <a:off x="23202947" y="15407964"/>
              <a:ext cx="782888" cy="11979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402D5C1-CE2B-4A98-9B05-1F7756AEEC85}"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1.332,02 €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39</xdr:col>
      <xdr:colOff>497417</xdr:colOff>
      <xdr:row>111</xdr:row>
      <xdr:rowOff>100543</xdr:rowOff>
    </xdr:from>
    <xdr:to>
      <xdr:col>43</xdr:col>
      <xdr:colOff>359833</xdr:colOff>
      <xdr:row>118</xdr:row>
      <xdr:rowOff>93134</xdr:rowOff>
    </xdr:to>
    <xdr:sp macro="" textlink="q17_a_q19_q26_a_q29_q37_q40_Fig!AN135">
      <xdr:nvSpPr>
        <xdr:cNvPr id="155" name="CaixaDeTexto 154">
          <a:extLst>
            <a:ext uri="{FF2B5EF4-FFF2-40B4-BE49-F238E27FC236}">
              <a16:creationId xmlns:a16="http://schemas.microsoft.com/office/drawing/2014/main" id="{00000000-0008-0000-1B00-00009B000000}"/>
            </a:ext>
          </a:extLst>
        </xdr:cNvPr>
        <xdr:cNvSpPr txBox="1"/>
      </xdr:nvSpPr>
      <xdr:spPr>
        <a:xfrm>
          <a:off x="24976667" y="17176751"/>
          <a:ext cx="2296583" cy="10668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1912416A-AF04-4DEC-A1EB-FA2979111E70}"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83,2% do Ganho, entre 806 €  (Profissionais não qualificados) e  2.374 €  (Quadros superiores).
Ganho: Entre 950 €  e 2.771 €, nos mesmos níveis de qualificação, respetivamente.</a:t>
          </a:fld>
          <a:endParaRPr kumimoji="0" lang="en-US" b="0" i="0" u="none" strike="noStrike" kern="0" cap="none" spc="0" normalizeH="0" baseline="0" noProof="0">
            <a:ln>
              <a:noFill/>
            </a:ln>
            <a:effectLst/>
            <a:uLnTx/>
            <a:uFillTx/>
            <a:latin typeface="Calibri"/>
            <a:ea typeface="+mn-ea"/>
          </a:endParaRPr>
        </a:p>
      </xdr:txBody>
    </xdr:sp>
    <xdr:clientData/>
  </xdr:twoCellAnchor>
  <xdr:twoCellAnchor>
    <xdr:from>
      <xdr:col>44</xdr:col>
      <xdr:colOff>194733</xdr:colOff>
      <xdr:row>111</xdr:row>
      <xdr:rowOff>127001</xdr:rowOff>
    </xdr:from>
    <xdr:to>
      <xdr:col>49</xdr:col>
      <xdr:colOff>121708</xdr:colOff>
      <xdr:row>118</xdr:row>
      <xdr:rowOff>63500</xdr:rowOff>
    </xdr:to>
    <xdr:sp macro="" textlink="q17_a_q19_q26_a_q29_q37_q40_Fig!AN137">
      <xdr:nvSpPr>
        <xdr:cNvPr id="156" name="CaixaDeTexto 155">
          <a:extLst>
            <a:ext uri="{FF2B5EF4-FFF2-40B4-BE49-F238E27FC236}">
              <a16:creationId xmlns:a16="http://schemas.microsoft.com/office/drawing/2014/main" id="{00000000-0008-0000-1B00-00009C000000}"/>
            </a:ext>
          </a:extLst>
        </xdr:cNvPr>
        <xdr:cNvSpPr txBox="1"/>
      </xdr:nvSpPr>
      <xdr:spPr>
        <a:xfrm>
          <a:off x="27716691" y="17203209"/>
          <a:ext cx="2969684" cy="101070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D1E7EE5-876E-4ADB-805A-AD48B919594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Base Mulheres = 87,3%  da dos Homens (H), entre  74,0% da dos H (Quadros superiores ) e 97,6% (Praticantes e aprendizes).
Ganho Mulheres = 84,4% da dos H, entre 73,5% da dos H (Quadros superiores) e 95,3% (Praticantes e aprendizes).</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22</xdr:col>
      <xdr:colOff>121708</xdr:colOff>
      <xdr:row>66</xdr:row>
      <xdr:rowOff>116901</xdr:rowOff>
    </xdr:from>
    <xdr:to>
      <xdr:col>29</xdr:col>
      <xdr:colOff>37942</xdr:colOff>
      <xdr:row>84</xdr:row>
      <xdr:rowOff>51976</xdr:rowOff>
    </xdr:to>
    <xdr:grpSp>
      <xdr:nvGrpSpPr>
        <xdr:cNvPr id="164" name="Agrupar 163">
          <a:extLst>
            <a:ext uri="{FF2B5EF4-FFF2-40B4-BE49-F238E27FC236}">
              <a16:creationId xmlns:a16="http://schemas.microsoft.com/office/drawing/2014/main" id="{00000000-0008-0000-1B00-0000A4000000}"/>
            </a:ext>
          </a:extLst>
        </xdr:cNvPr>
        <xdr:cNvGrpSpPr/>
      </xdr:nvGrpSpPr>
      <xdr:grpSpPr>
        <a:xfrm>
          <a:off x="14012333" y="10070526"/>
          <a:ext cx="4242172" cy="2649700"/>
          <a:chOff x="8543925" y="1371599"/>
          <a:chExt cx="4049025" cy="2050426"/>
        </a:xfrm>
      </xdr:grpSpPr>
      <xdr:graphicFrame macro="">
        <xdr:nvGraphicFramePr>
          <xdr:cNvPr id="165" name="Gráfico 164">
            <a:extLst>
              <a:ext uri="{FF2B5EF4-FFF2-40B4-BE49-F238E27FC236}">
                <a16:creationId xmlns:a16="http://schemas.microsoft.com/office/drawing/2014/main" id="{00000000-0008-0000-1B00-0000A5000000}"/>
              </a:ext>
            </a:extLst>
          </xdr:cNvPr>
          <xdr:cNvGraphicFramePr>
            <a:graphicFrameLocks/>
          </xdr:cNvGraphicFramePr>
        </xdr:nvGraphicFramePr>
        <xdr:xfrm>
          <a:off x="8543925" y="1533525"/>
          <a:ext cx="2857500" cy="1888500"/>
        </xdr:xfrm>
        <a:graphic>
          <a:graphicData uri="http://schemas.openxmlformats.org/drawingml/2006/chart">
            <c:chart xmlns:c="http://schemas.openxmlformats.org/drawingml/2006/chart" xmlns:r="http://schemas.openxmlformats.org/officeDocument/2006/relationships" r:id="rId9"/>
          </a:graphicData>
        </a:graphic>
      </xdr:graphicFrame>
      <xdr:grpSp>
        <xdr:nvGrpSpPr>
          <xdr:cNvPr id="166" name="Agrupar 165">
            <a:extLst>
              <a:ext uri="{FF2B5EF4-FFF2-40B4-BE49-F238E27FC236}">
                <a16:creationId xmlns:a16="http://schemas.microsoft.com/office/drawing/2014/main" id="{00000000-0008-0000-1B00-0000A6000000}"/>
              </a:ext>
            </a:extLst>
          </xdr:cNvPr>
          <xdr:cNvGrpSpPr/>
        </xdr:nvGrpSpPr>
        <xdr:grpSpPr>
          <a:xfrm>
            <a:off x="10191750" y="1371599"/>
            <a:ext cx="2401200" cy="1821825"/>
            <a:chOff x="15382876" y="10342315"/>
            <a:chExt cx="2836231" cy="2008440"/>
          </a:xfrm>
        </xdr:grpSpPr>
        <xdr:graphicFrame macro="">
          <xdr:nvGraphicFramePr>
            <xdr:cNvPr id="167" name="Gráfico 166">
              <a:extLst>
                <a:ext uri="{FF2B5EF4-FFF2-40B4-BE49-F238E27FC236}">
                  <a16:creationId xmlns:a16="http://schemas.microsoft.com/office/drawing/2014/main" id="{00000000-0008-0000-1B00-0000A7000000}"/>
                </a:ext>
              </a:extLst>
            </xdr:cNvPr>
            <xdr:cNvGraphicFramePr>
              <a:graphicFrameLocks/>
            </xdr:cNvGraphicFramePr>
          </xdr:nvGraphicFramePr>
          <xdr:xfrm>
            <a:off x="15382876" y="10414000"/>
            <a:ext cx="2836231" cy="1936755"/>
          </xdr:xfrm>
          <a:graphic>
            <a:graphicData uri="http://schemas.openxmlformats.org/drawingml/2006/chart">
              <c:chart xmlns:c="http://schemas.openxmlformats.org/drawingml/2006/chart" xmlns:r="http://schemas.openxmlformats.org/officeDocument/2006/relationships" r:id="rId10"/>
            </a:graphicData>
          </a:graphic>
        </xdr:graphicFrame>
        <xdr:sp macro="" textlink="q17_a_q19_q26_a_q29_q37_q40_Fig!$R$82">
          <xdr:nvSpPr>
            <xdr:cNvPr id="168" name="CaixaDeTexto 167">
              <a:extLst>
                <a:ext uri="{FF2B5EF4-FFF2-40B4-BE49-F238E27FC236}">
                  <a16:creationId xmlns:a16="http://schemas.microsoft.com/office/drawing/2014/main" id="{00000000-0008-0000-1B00-0000A8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BBF52B7-D790-4BD9-8770-3F0155F9A181}"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2.467.600</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69" name="CaixaDeTexto 168">
              <a:extLst>
                <a:ext uri="{FF2B5EF4-FFF2-40B4-BE49-F238E27FC236}">
                  <a16:creationId xmlns:a16="http://schemas.microsoft.com/office/drawing/2014/main" id="{00000000-0008-0000-1B00-0000A9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21</xdr:col>
      <xdr:colOff>280308</xdr:colOff>
      <xdr:row>88</xdr:row>
      <xdr:rowOff>111125</xdr:rowOff>
    </xdr:from>
    <xdr:to>
      <xdr:col>28</xdr:col>
      <xdr:colOff>30541</xdr:colOff>
      <xdr:row>91</xdr:row>
      <xdr:rowOff>112400</xdr:rowOff>
    </xdr:to>
    <xdr:sp macro="" textlink="q17_a_q19_q26_a_q29_q37_q40_Fig!$W$86">
      <xdr:nvSpPr>
        <xdr:cNvPr id="170" name="CaixaDeTexto 169">
          <a:extLst>
            <a:ext uri="{FF2B5EF4-FFF2-40B4-BE49-F238E27FC236}">
              <a16:creationId xmlns:a16="http://schemas.microsoft.com/office/drawing/2014/main" id="{00000000-0008-0000-1B00-0000AA000000}"/>
            </a:ext>
          </a:extLst>
        </xdr:cNvPr>
        <xdr:cNvSpPr txBox="1"/>
      </xdr:nvSpPr>
      <xdr:spPr>
        <a:xfrm>
          <a:off x="13805808" y="13657792"/>
          <a:ext cx="4010025" cy="46165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E93C6ABD-1843-4229-A504-5C37C5A7ECF0}" type="TxLink">
            <a:rPr lang="en-US" sz="900" b="0" i="0" u="none" strike="noStrike">
              <a:solidFill>
                <a:sysClr val="windowText" lastClr="000000"/>
              </a:solidFill>
              <a:latin typeface="Calibri"/>
              <a:cs typeface="Calibri"/>
            </a:rPr>
            <a:pPr/>
            <a:t>2023:
61,1% dos TCO tinham os Ensinos Secundário e Superior completos.</a:t>
          </a:fld>
          <a:endParaRPr lang="pt-PT" sz="900" b="0">
            <a:solidFill>
              <a:sysClr val="windowText" lastClr="000000"/>
            </a:solidFill>
          </a:endParaRPr>
        </a:p>
      </xdr:txBody>
    </xdr:sp>
    <xdr:clientData/>
  </xdr:twoCellAnchor>
  <xdr:twoCellAnchor>
    <xdr:from>
      <xdr:col>22</xdr:col>
      <xdr:colOff>211666</xdr:colOff>
      <xdr:row>81</xdr:row>
      <xdr:rowOff>84667</xdr:rowOff>
    </xdr:from>
    <xdr:to>
      <xdr:col>29</xdr:col>
      <xdr:colOff>397575</xdr:colOff>
      <xdr:row>84</xdr:row>
      <xdr:rowOff>4715</xdr:rowOff>
    </xdr:to>
    <xdr:sp macro="" textlink="">
      <xdr:nvSpPr>
        <xdr:cNvPr id="171" name="CaixaDeTexto 170">
          <a:extLst>
            <a:ext uri="{FF2B5EF4-FFF2-40B4-BE49-F238E27FC236}">
              <a16:creationId xmlns:a16="http://schemas.microsoft.com/office/drawing/2014/main" id="{00000000-0008-0000-1B00-0000AB000000}"/>
            </a:ext>
          </a:extLst>
        </xdr:cNvPr>
        <xdr:cNvSpPr txBox="1"/>
      </xdr:nvSpPr>
      <xdr:spPr>
        <a:xfrm>
          <a:off x="14345708" y="12514792"/>
          <a:ext cx="4445700" cy="380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PT" sz="600" b="0">
              <a:solidFill>
                <a:schemeClr val="tx1">
                  <a:lumMod val="50000"/>
                  <a:lumOff val="50000"/>
                </a:schemeClr>
              </a:solidFill>
            </a:rPr>
            <a:t>* Dos TCO a tempo completo, que auferiram remuneração completa no período de referência (outubro).</a:t>
          </a:r>
        </a:p>
        <a:p>
          <a:pPr algn="l"/>
          <a:r>
            <a:rPr lang="pt-PT" sz="600" b="0">
              <a:solidFill>
                <a:schemeClr val="tx1">
                  <a:lumMod val="50000"/>
                  <a:lumOff val="50000"/>
                </a:schemeClr>
              </a:solidFill>
            </a:rPr>
            <a:t>**No Ensino superior</a:t>
          </a:r>
          <a:r>
            <a:rPr lang="pt-PT" sz="600" b="0" baseline="0">
              <a:solidFill>
                <a:schemeClr val="tx1">
                  <a:lumMod val="50000"/>
                  <a:lumOff val="50000"/>
                </a:schemeClr>
              </a:solidFill>
            </a:rPr>
            <a:t> consideram-se: Curso técnico superior profissional, Bacharelato, Licenciatura, Mestrado e Doutoramento.</a:t>
          </a:r>
        </a:p>
        <a:p>
          <a:pPr algn="l"/>
          <a:endParaRPr lang="pt-PT" sz="600" b="0"/>
        </a:p>
      </xdr:txBody>
    </xdr:sp>
    <xdr:clientData/>
  </xdr:twoCellAnchor>
  <xdr:twoCellAnchor>
    <xdr:from>
      <xdr:col>29</xdr:col>
      <xdr:colOff>322792</xdr:colOff>
      <xdr:row>136</xdr:row>
      <xdr:rowOff>95250</xdr:rowOff>
    </xdr:from>
    <xdr:to>
      <xdr:col>36</xdr:col>
      <xdr:colOff>108928</xdr:colOff>
      <xdr:row>161</xdr:row>
      <xdr:rowOff>24342</xdr:rowOff>
    </xdr:to>
    <xdr:grpSp>
      <xdr:nvGrpSpPr>
        <xdr:cNvPr id="172" name="Agrupar 171">
          <a:extLst>
            <a:ext uri="{FF2B5EF4-FFF2-40B4-BE49-F238E27FC236}">
              <a16:creationId xmlns:a16="http://schemas.microsoft.com/office/drawing/2014/main" id="{00000000-0008-0000-1B00-0000AC000000}"/>
            </a:ext>
          </a:extLst>
        </xdr:cNvPr>
        <xdr:cNvGrpSpPr/>
      </xdr:nvGrpSpPr>
      <xdr:grpSpPr>
        <a:xfrm>
          <a:off x="18539355" y="20653375"/>
          <a:ext cx="3937448" cy="3699405"/>
          <a:chOff x="9582147" y="4362666"/>
          <a:chExt cx="4057651" cy="2986700"/>
        </a:xfrm>
      </xdr:grpSpPr>
      <xdr:grpSp>
        <xdr:nvGrpSpPr>
          <xdr:cNvPr id="173" name="Agrupar 172">
            <a:extLst>
              <a:ext uri="{FF2B5EF4-FFF2-40B4-BE49-F238E27FC236}">
                <a16:creationId xmlns:a16="http://schemas.microsoft.com/office/drawing/2014/main" id="{00000000-0008-0000-1B00-0000AD000000}"/>
              </a:ext>
            </a:extLst>
          </xdr:cNvPr>
          <xdr:cNvGrpSpPr/>
        </xdr:nvGrpSpPr>
        <xdr:grpSpPr>
          <a:xfrm>
            <a:off x="9582147" y="4531941"/>
            <a:ext cx="4057651" cy="2817425"/>
            <a:chOff x="15954373" y="22489526"/>
            <a:chExt cx="6017904" cy="2804664"/>
          </a:xfrm>
        </xdr:grpSpPr>
        <xdr:grpSp>
          <xdr:nvGrpSpPr>
            <xdr:cNvPr id="176" name="Agrupar 175">
              <a:extLst>
                <a:ext uri="{FF2B5EF4-FFF2-40B4-BE49-F238E27FC236}">
                  <a16:creationId xmlns:a16="http://schemas.microsoft.com/office/drawing/2014/main" id="{00000000-0008-0000-1B00-0000B0000000}"/>
                </a:ext>
              </a:extLst>
            </xdr:cNvPr>
            <xdr:cNvGrpSpPr/>
          </xdr:nvGrpSpPr>
          <xdr:grpSpPr>
            <a:xfrm>
              <a:off x="15954373" y="22497228"/>
              <a:ext cx="3084446" cy="2796962"/>
              <a:chOff x="20214165" y="14146309"/>
              <a:chExt cx="3084446" cy="2506567"/>
            </a:xfrm>
          </xdr:grpSpPr>
          <xdr:graphicFrame macro="">
            <xdr:nvGraphicFramePr>
              <xdr:cNvPr id="182" name="Gráfico 181">
                <a:extLst>
                  <a:ext uri="{FF2B5EF4-FFF2-40B4-BE49-F238E27FC236}">
                    <a16:creationId xmlns:a16="http://schemas.microsoft.com/office/drawing/2014/main" id="{00000000-0008-0000-1B00-0000B6000000}"/>
                  </a:ext>
                </a:extLst>
              </xdr:cNvPr>
              <xdr:cNvGraphicFramePr>
                <a:graphicFrameLocks/>
              </xdr:cNvGraphicFramePr>
            </xdr:nvGraphicFramePr>
            <xdr:xfrm>
              <a:off x="20214165" y="14238964"/>
              <a:ext cx="3084446" cy="2413912"/>
            </xdr:xfrm>
            <a:graphic>
              <a:graphicData uri="http://schemas.openxmlformats.org/drawingml/2006/chart">
                <c:chart xmlns:c="http://schemas.openxmlformats.org/drawingml/2006/chart" xmlns:r="http://schemas.openxmlformats.org/officeDocument/2006/relationships" r:id="rId11"/>
              </a:graphicData>
            </a:graphic>
          </xdr:graphicFrame>
          <xdr:sp macro="" textlink="q17_a_q19_q26_a_q29_q37_q40_Fig!$R$156">
            <xdr:nvSpPr>
              <xdr:cNvPr id="183" name="CaixaDeTexto 182">
                <a:extLst>
                  <a:ext uri="{FF2B5EF4-FFF2-40B4-BE49-F238E27FC236}">
                    <a16:creationId xmlns:a16="http://schemas.microsoft.com/office/drawing/2014/main" id="{00000000-0008-0000-1B00-0000B7000000}"/>
                  </a:ext>
                </a:extLst>
              </xdr:cNvPr>
              <xdr:cNvSpPr txBox="1"/>
            </xdr:nvSpPr>
            <xdr:spPr>
              <a:xfrm>
                <a:off x="20489330" y="14315305"/>
                <a:ext cx="1046793" cy="9042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0F94BA2-6B0E-4433-82C5-B4EFBE3CC760}"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1.219,87 €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84" name="CaixaDeTexto 183">
                <a:extLst>
                  <a:ext uri="{FF2B5EF4-FFF2-40B4-BE49-F238E27FC236}">
                    <a16:creationId xmlns:a16="http://schemas.microsoft.com/office/drawing/2014/main" id="{00000000-0008-0000-1B00-0000B8000000}"/>
                  </a:ext>
                </a:extLst>
              </xdr:cNvPr>
              <xdr:cNvSpPr txBox="1"/>
            </xdr:nvSpPr>
            <xdr:spPr>
              <a:xfrm>
                <a:off x="20489331" y="14146309"/>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7_q40_Fig!$R$157">
            <xdr:nvSpPr>
              <xdr:cNvPr id="185" name="CaixaDeTexto 184">
                <a:extLst>
                  <a:ext uri="{FF2B5EF4-FFF2-40B4-BE49-F238E27FC236}">
                    <a16:creationId xmlns:a16="http://schemas.microsoft.com/office/drawing/2014/main" id="{00000000-0008-0000-1B00-0000B9000000}"/>
                  </a:ext>
                </a:extLst>
              </xdr:cNvPr>
              <xdr:cNvSpPr txBox="1"/>
            </xdr:nvSpPr>
            <xdr:spPr>
              <a:xfrm>
                <a:off x="20489330" y="14445866"/>
                <a:ext cx="1046793" cy="102791"/>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A4E0333-78D4-439B-B537-AEE1F2DB13B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1.466,66 €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77" name="Agrupar 176">
              <a:extLst>
                <a:ext uri="{FF2B5EF4-FFF2-40B4-BE49-F238E27FC236}">
                  <a16:creationId xmlns:a16="http://schemas.microsoft.com/office/drawing/2014/main" id="{00000000-0008-0000-1B00-0000B1000000}"/>
                </a:ext>
              </a:extLst>
            </xdr:cNvPr>
            <xdr:cNvGrpSpPr/>
          </xdr:nvGrpSpPr>
          <xdr:grpSpPr>
            <a:xfrm>
              <a:off x="19018245" y="22489526"/>
              <a:ext cx="2954032" cy="2699106"/>
              <a:chOff x="20489331" y="14115698"/>
              <a:chExt cx="2954032" cy="2418871"/>
            </a:xfrm>
          </xdr:grpSpPr>
          <xdr:graphicFrame macro="">
            <xdr:nvGraphicFramePr>
              <xdr:cNvPr id="178" name="Gráfico 177">
                <a:extLst>
                  <a:ext uri="{FF2B5EF4-FFF2-40B4-BE49-F238E27FC236}">
                    <a16:creationId xmlns:a16="http://schemas.microsoft.com/office/drawing/2014/main" id="{00000000-0008-0000-1B00-0000B2000000}"/>
                  </a:ext>
                </a:extLst>
              </xdr:cNvPr>
              <xdr:cNvGraphicFramePr>
                <a:graphicFrameLocks/>
              </xdr:cNvGraphicFramePr>
            </xdr:nvGraphicFramePr>
            <xdr:xfrm>
              <a:off x="20815828" y="14262773"/>
              <a:ext cx="2627535" cy="2271796"/>
            </xdr:xfrm>
            <a:graphic>
              <a:graphicData uri="http://schemas.openxmlformats.org/drawingml/2006/chart">
                <c:chart xmlns:c="http://schemas.openxmlformats.org/drawingml/2006/chart" xmlns:r="http://schemas.openxmlformats.org/officeDocument/2006/relationships" r:id="rId12"/>
              </a:graphicData>
            </a:graphic>
          </xdr:graphicFrame>
          <xdr:sp macro="" textlink="q17_a_q19_q26_a_q29_q37_q40_Fig!$R$161">
            <xdr:nvSpPr>
              <xdr:cNvPr id="179" name="CaixaDeTexto 178">
                <a:extLst>
                  <a:ext uri="{FF2B5EF4-FFF2-40B4-BE49-F238E27FC236}">
                    <a16:creationId xmlns:a16="http://schemas.microsoft.com/office/drawing/2014/main" id="{00000000-0008-0000-1B00-0000B3000000}"/>
                  </a:ext>
                </a:extLst>
              </xdr:cNvPr>
              <xdr:cNvSpPr txBox="1"/>
            </xdr:nvSpPr>
            <xdr:spPr>
              <a:xfrm>
                <a:off x="20489332" y="14269390"/>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87BF85-BB14-4F3A-AD15-798073BC924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880,00 €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80" name="CaixaDeTexto 179">
                <a:extLst>
                  <a:ext uri="{FF2B5EF4-FFF2-40B4-BE49-F238E27FC236}">
                    <a16:creationId xmlns:a16="http://schemas.microsoft.com/office/drawing/2014/main" id="{00000000-0008-0000-1B00-0000B4000000}"/>
                  </a:ext>
                </a:extLst>
              </xdr:cNvPr>
              <xdr:cNvSpPr txBox="1"/>
            </xdr:nvSpPr>
            <xdr:spPr>
              <a:xfrm>
                <a:off x="20489331" y="14115698"/>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7_q40_Fig!$R$162">
            <xdr:nvSpPr>
              <xdr:cNvPr id="181" name="CaixaDeTexto 180">
                <a:extLst>
                  <a:ext uri="{FF2B5EF4-FFF2-40B4-BE49-F238E27FC236}">
                    <a16:creationId xmlns:a16="http://schemas.microsoft.com/office/drawing/2014/main" id="{00000000-0008-0000-1B00-0000B5000000}"/>
                  </a:ext>
                </a:extLst>
              </xdr:cNvPr>
              <xdr:cNvSpPr txBox="1"/>
            </xdr:nvSpPr>
            <xdr:spPr>
              <a:xfrm>
                <a:off x="20489332" y="14399947"/>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6D98A2-6D76-440E-BC60-B4CCDBEDA45B}"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1.100,17 €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sp macro="" textlink="">
        <xdr:nvSpPr>
          <xdr:cNvPr id="174" name="CaixaDeTexto 173">
            <a:extLst>
              <a:ext uri="{FF2B5EF4-FFF2-40B4-BE49-F238E27FC236}">
                <a16:creationId xmlns:a16="http://schemas.microsoft.com/office/drawing/2014/main" id="{00000000-0008-0000-1B00-0000AE000000}"/>
              </a:ext>
            </a:extLst>
          </xdr:cNvPr>
          <xdr:cNvSpPr txBox="1"/>
        </xdr:nvSpPr>
        <xdr:spPr>
          <a:xfrm>
            <a:off x="9632950" y="4363806"/>
            <a:ext cx="1622714" cy="14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175" name="CaixaDeTexto 174">
            <a:extLst>
              <a:ext uri="{FF2B5EF4-FFF2-40B4-BE49-F238E27FC236}">
                <a16:creationId xmlns:a16="http://schemas.microsoft.com/office/drawing/2014/main" id="{00000000-0008-0000-1B00-0000AF000000}"/>
              </a:ext>
            </a:extLst>
          </xdr:cNvPr>
          <xdr:cNvSpPr txBox="1"/>
        </xdr:nvSpPr>
        <xdr:spPr>
          <a:xfrm>
            <a:off x="11626850" y="4362666"/>
            <a:ext cx="1690234" cy="16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medianas mensais</a:t>
            </a:r>
            <a:endParaRPr lang="pt-PT" sz="800" b="1">
              <a:solidFill>
                <a:schemeClr val="tx2"/>
              </a:solidFill>
            </a:endParaRPr>
          </a:p>
        </xdr:txBody>
      </xdr:sp>
    </xdr:grpSp>
    <xdr:clientData/>
  </xdr:twoCellAnchor>
  <xdr:twoCellAnchor>
    <xdr:from>
      <xdr:col>26</xdr:col>
      <xdr:colOff>0</xdr:colOff>
      <xdr:row>184</xdr:row>
      <xdr:rowOff>0</xdr:rowOff>
    </xdr:from>
    <xdr:to>
      <xdr:col>29</xdr:col>
      <xdr:colOff>241301</xdr:colOff>
      <xdr:row>191</xdr:row>
      <xdr:rowOff>119592</xdr:rowOff>
    </xdr:to>
    <xdr:sp macro="" textlink="q17_a_q19_q26_a_q29_q37_q40_Fig!$AA$177">
      <xdr:nvSpPr>
        <xdr:cNvPr id="186" name="CaixaDeTexto 185">
          <a:extLst>
            <a:ext uri="{FF2B5EF4-FFF2-40B4-BE49-F238E27FC236}">
              <a16:creationId xmlns:a16="http://schemas.microsoft.com/office/drawing/2014/main" id="{00000000-0008-0000-1B00-0000BA000000}"/>
            </a:ext>
          </a:extLst>
        </xdr:cNvPr>
        <xdr:cNvSpPr txBox="1"/>
      </xdr:nvSpPr>
      <xdr:spPr>
        <a:xfrm>
          <a:off x="16568208" y="28278667"/>
          <a:ext cx="2066926" cy="11938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7780C63-7073-4FE6-9238-51DD5D68997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média: 83,2% do Ganho, entre 821 € (&lt; 1.º ciclo do ensino básico) e  1.871 € (Ensino superior**).
Ganho médio:Entre 968 € e 2.205 €, nos mesmos níveis de habilitação,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32</xdr:col>
      <xdr:colOff>102661</xdr:colOff>
      <xdr:row>182</xdr:row>
      <xdr:rowOff>142875</xdr:rowOff>
    </xdr:from>
    <xdr:to>
      <xdr:col>35</xdr:col>
      <xdr:colOff>286811</xdr:colOff>
      <xdr:row>190</xdr:row>
      <xdr:rowOff>118533</xdr:rowOff>
    </xdr:to>
    <xdr:sp macro="" textlink="q17_a_q19_q26_a_q29_q37_q40_Fig!AG177">
      <xdr:nvSpPr>
        <xdr:cNvPr id="187" name="CaixaDeTexto 186">
          <a:extLst>
            <a:ext uri="{FF2B5EF4-FFF2-40B4-BE49-F238E27FC236}">
              <a16:creationId xmlns:a16="http://schemas.microsoft.com/office/drawing/2014/main" id="{00000000-0008-0000-1B00-0000BB000000}"/>
            </a:ext>
          </a:extLst>
        </xdr:cNvPr>
        <xdr:cNvSpPr txBox="1"/>
      </xdr:nvSpPr>
      <xdr:spPr>
        <a:xfrm>
          <a:off x="20322119" y="28114625"/>
          <a:ext cx="2009775" cy="120332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20BB0AFB-71B7-40F7-B536-9863E539EB2E}"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mediana: 80,0% do Ganho, entre 764 € (&lt; 1.º ciclo do ensino básico) e  1.453 € (Ensino superior**).
Ganho mediano: Entre 893 € e 1.735 €, nos mesmos níveis de habilitação, respetivamente.</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mc:AlternateContent xmlns:mc="http://schemas.openxmlformats.org/markup-compatibility/2006">
    <mc:Choice xmlns:a14="http://schemas.microsoft.com/office/drawing/2010/main" Requires="a14">
      <xdr:twoCellAnchor editAs="oneCell">
        <xdr:from>
          <xdr:col>18</xdr:col>
          <xdr:colOff>0</xdr:colOff>
          <xdr:row>248</xdr:row>
          <xdr:rowOff>123825</xdr:rowOff>
        </xdr:from>
        <xdr:to>
          <xdr:col>18</xdr:col>
          <xdr:colOff>752475</xdr:colOff>
          <xdr:row>249</xdr:row>
          <xdr:rowOff>142875</xdr:rowOff>
        </xdr:to>
        <xdr:sp macro="" textlink="">
          <xdr:nvSpPr>
            <xdr:cNvPr id="179208" name="Drop Down 8" hidden="1">
              <a:extLst>
                <a:ext uri="{63B3BB69-23CF-44E3-9099-C40C66FF867C}">
                  <a14:compatExt spid="_x0000_s179208"/>
                </a:ext>
                <a:ext uri="{FF2B5EF4-FFF2-40B4-BE49-F238E27FC236}">
                  <a16:creationId xmlns:a16="http://schemas.microsoft.com/office/drawing/2014/main" id="{00000000-0008-0000-1B00-000008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238125</xdr:colOff>
      <xdr:row>246</xdr:row>
      <xdr:rowOff>71439</xdr:rowOff>
    </xdr:from>
    <xdr:to>
      <xdr:col>40</xdr:col>
      <xdr:colOff>255587</xdr:colOff>
      <xdr:row>269</xdr:row>
      <xdr:rowOff>66675</xdr:rowOff>
    </xdr:to>
    <xdr:grpSp>
      <xdr:nvGrpSpPr>
        <xdr:cNvPr id="72" name="Agrupar 71">
          <a:extLst>
            <a:ext uri="{FF2B5EF4-FFF2-40B4-BE49-F238E27FC236}">
              <a16:creationId xmlns:a16="http://schemas.microsoft.com/office/drawing/2014/main" id="{00000000-0008-0000-1B00-000048000000}"/>
            </a:ext>
          </a:extLst>
        </xdr:cNvPr>
        <xdr:cNvGrpSpPr/>
      </xdr:nvGrpSpPr>
      <xdr:grpSpPr>
        <a:xfrm>
          <a:off x="19129375" y="37218939"/>
          <a:ext cx="5811837" cy="3463924"/>
          <a:chOff x="17325975" y="933450"/>
          <a:chExt cx="5810250" cy="3467099"/>
        </a:xfrm>
      </xdr:grpSpPr>
      <xdr:graphicFrame macro="">
        <xdr:nvGraphicFramePr>
          <xdr:cNvPr id="73" name="Gráfico 72">
            <a:extLst>
              <a:ext uri="{FF2B5EF4-FFF2-40B4-BE49-F238E27FC236}">
                <a16:creationId xmlns:a16="http://schemas.microsoft.com/office/drawing/2014/main" id="{00000000-0008-0000-1B00-000049000000}"/>
              </a:ext>
            </a:extLst>
          </xdr:cNvPr>
          <xdr:cNvGraphicFramePr>
            <a:graphicFrameLocks/>
          </xdr:cNvGraphicFramePr>
        </xdr:nvGraphicFramePr>
        <xdr:xfrm>
          <a:off x="17325975" y="1305142"/>
          <a:ext cx="3905250" cy="3095407"/>
        </xdr:xfrm>
        <a:graphic>
          <a:graphicData uri="http://schemas.openxmlformats.org/drawingml/2006/chart">
            <c:chart xmlns:c="http://schemas.openxmlformats.org/drawingml/2006/chart" xmlns:r="http://schemas.openxmlformats.org/officeDocument/2006/relationships" r:id="rId13"/>
          </a:graphicData>
        </a:graphic>
      </xdr:graphicFrame>
      <xdr:grpSp>
        <xdr:nvGrpSpPr>
          <xdr:cNvPr id="74" name="Agrupar 73">
            <a:extLst>
              <a:ext uri="{FF2B5EF4-FFF2-40B4-BE49-F238E27FC236}">
                <a16:creationId xmlns:a16="http://schemas.microsoft.com/office/drawing/2014/main" id="{00000000-0008-0000-1B00-00004A000000}"/>
              </a:ext>
            </a:extLst>
          </xdr:cNvPr>
          <xdr:cNvGrpSpPr/>
        </xdr:nvGrpSpPr>
        <xdr:grpSpPr>
          <a:xfrm>
            <a:off x="20111887" y="933450"/>
            <a:ext cx="3024338" cy="3295647"/>
            <a:chOff x="15382876" y="10342315"/>
            <a:chExt cx="2836231" cy="2080882"/>
          </a:xfrm>
        </xdr:grpSpPr>
        <xdr:graphicFrame macro="">
          <xdr:nvGraphicFramePr>
            <xdr:cNvPr id="75" name="Gráfico 74">
              <a:extLst>
                <a:ext uri="{FF2B5EF4-FFF2-40B4-BE49-F238E27FC236}">
                  <a16:creationId xmlns:a16="http://schemas.microsoft.com/office/drawing/2014/main" id="{00000000-0008-0000-1B00-00004B000000}"/>
                </a:ext>
              </a:extLst>
            </xdr:cNvPr>
            <xdr:cNvGraphicFramePr>
              <a:graphicFrameLocks/>
            </xdr:cNvGraphicFramePr>
          </xdr:nvGraphicFramePr>
          <xdr:xfrm>
            <a:off x="15382876" y="10368740"/>
            <a:ext cx="2836231" cy="2054457"/>
          </xdr:xfrm>
          <a:graphic>
            <a:graphicData uri="http://schemas.openxmlformats.org/drawingml/2006/chart">
              <c:chart xmlns:c="http://schemas.openxmlformats.org/drawingml/2006/chart" xmlns:r="http://schemas.openxmlformats.org/officeDocument/2006/relationships" r:id="rId14"/>
            </a:graphicData>
          </a:graphic>
        </xdr:graphicFrame>
        <xdr:sp macro="" textlink="q17_a_q19_q26_a_q29_q37_q40_Fig!$T$264">
          <xdr:nvSpPr>
            <xdr:cNvPr id="76" name="CaixaDeTexto 75">
              <a:extLst>
                <a:ext uri="{FF2B5EF4-FFF2-40B4-BE49-F238E27FC236}">
                  <a16:creationId xmlns:a16="http://schemas.microsoft.com/office/drawing/2014/main" id="{00000000-0008-0000-1B00-00004C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21FB161-F1F9-49F3-BCBC-1AB2C8F36695}"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3.296.134</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77" name="CaixaDeTexto 76">
              <a:extLst>
                <a:ext uri="{FF2B5EF4-FFF2-40B4-BE49-F238E27FC236}">
                  <a16:creationId xmlns:a16="http://schemas.microsoft.com/office/drawing/2014/main" id="{00000000-0008-0000-1B00-00004D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30</xdr:col>
      <xdr:colOff>254001</xdr:colOff>
      <xdr:row>270</xdr:row>
      <xdr:rowOff>71437</xdr:rowOff>
    </xdr:from>
    <xdr:to>
      <xdr:col>40</xdr:col>
      <xdr:colOff>84139</xdr:colOff>
      <xdr:row>295</xdr:row>
      <xdr:rowOff>108480</xdr:rowOff>
    </xdr:to>
    <xdr:grpSp>
      <xdr:nvGrpSpPr>
        <xdr:cNvPr id="83" name="Agrupar 82">
          <a:extLst>
            <a:ext uri="{FF2B5EF4-FFF2-40B4-BE49-F238E27FC236}">
              <a16:creationId xmlns:a16="http://schemas.microsoft.com/office/drawing/2014/main" id="{00000000-0008-0000-1B00-000053000000}"/>
            </a:ext>
          </a:extLst>
        </xdr:cNvPr>
        <xdr:cNvGrpSpPr/>
      </xdr:nvGrpSpPr>
      <xdr:grpSpPr>
        <a:xfrm>
          <a:off x="19145251" y="40838437"/>
          <a:ext cx="5624513" cy="3807356"/>
          <a:chOff x="16221075" y="5397500"/>
          <a:chExt cx="5638801" cy="3731156"/>
        </a:xfrm>
      </xdr:grpSpPr>
      <xdr:graphicFrame macro="">
        <xdr:nvGraphicFramePr>
          <xdr:cNvPr id="84" name="Gráfico 83">
            <a:extLst>
              <a:ext uri="{FF2B5EF4-FFF2-40B4-BE49-F238E27FC236}">
                <a16:creationId xmlns:a16="http://schemas.microsoft.com/office/drawing/2014/main" id="{00000000-0008-0000-1B00-000054000000}"/>
              </a:ext>
            </a:extLst>
          </xdr:cNvPr>
          <xdr:cNvGraphicFramePr>
            <a:graphicFrameLocks/>
          </xdr:cNvGraphicFramePr>
        </xdr:nvGraphicFramePr>
        <xdr:xfrm>
          <a:off x="16221075" y="5734051"/>
          <a:ext cx="3800474" cy="3394605"/>
        </xdr:xfrm>
        <a:graphic>
          <a:graphicData uri="http://schemas.openxmlformats.org/drawingml/2006/chart">
            <c:chart xmlns:c="http://schemas.openxmlformats.org/drawingml/2006/chart" xmlns:r="http://schemas.openxmlformats.org/officeDocument/2006/relationships" r:id="rId15"/>
          </a:graphicData>
        </a:graphic>
      </xdr:graphicFrame>
      <xdr:sp macro="" textlink="q17_a_q19_q26_a_q29_q37_q40_Fig!$U$264">
        <xdr:nvSpPr>
          <xdr:cNvPr id="85" name="CaixaDeTexto 84">
            <a:extLst>
              <a:ext uri="{FF2B5EF4-FFF2-40B4-BE49-F238E27FC236}">
                <a16:creationId xmlns:a16="http://schemas.microsoft.com/office/drawing/2014/main" id="{00000000-0008-0000-1B00-000055000000}"/>
              </a:ext>
            </a:extLst>
          </xdr:cNvPr>
          <xdr:cNvSpPr txBox="1"/>
        </xdr:nvSpPr>
        <xdr:spPr>
          <a:xfrm>
            <a:off x="16617421" y="5845032"/>
            <a:ext cx="692678" cy="14301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2ECE00-A87A-4283-9A52-74C3749E319F}"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1.219,87 €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6" name="CaixaDeTexto 85">
            <a:extLst>
              <a:ext uri="{FF2B5EF4-FFF2-40B4-BE49-F238E27FC236}">
                <a16:creationId xmlns:a16="http://schemas.microsoft.com/office/drawing/2014/main" id="{00000000-0008-0000-1B00-000056000000}"/>
              </a:ext>
            </a:extLst>
          </xdr:cNvPr>
          <xdr:cNvSpPr txBox="1"/>
        </xdr:nvSpPr>
        <xdr:spPr>
          <a:xfrm>
            <a:off x="16617421" y="5613571"/>
            <a:ext cx="692679" cy="2062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7_q40_Fig!$V$264">
        <xdr:nvSpPr>
          <xdr:cNvPr id="87" name="CaixaDeTexto 86">
            <a:extLst>
              <a:ext uri="{FF2B5EF4-FFF2-40B4-BE49-F238E27FC236}">
                <a16:creationId xmlns:a16="http://schemas.microsoft.com/office/drawing/2014/main" id="{00000000-0008-0000-1B00-000057000000}"/>
              </a:ext>
            </a:extLst>
          </xdr:cNvPr>
          <xdr:cNvSpPr txBox="1"/>
        </xdr:nvSpPr>
        <xdr:spPr>
          <a:xfrm>
            <a:off x="16617421" y="6023130"/>
            <a:ext cx="692678" cy="104621"/>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F2CD233-01EE-469E-8399-17A6EEED23C3}"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1.466,66 €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88" name="Agrupar 87">
            <a:extLst>
              <a:ext uri="{FF2B5EF4-FFF2-40B4-BE49-F238E27FC236}">
                <a16:creationId xmlns:a16="http://schemas.microsoft.com/office/drawing/2014/main" id="{00000000-0008-0000-1B00-000058000000}"/>
              </a:ext>
            </a:extLst>
          </xdr:cNvPr>
          <xdr:cNvGrpSpPr/>
        </xdr:nvGrpSpPr>
        <xdr:grpSpPr>
          <a:xfrm>
            <a:off x="19701235" y="5603993"/>
            <a:ext cx="2158641" cy="3444760"/>
            <a:chOff x="20489329" y="14115698"/>
            <a:chExt cx="2954034" cy="2531384"/>
          </a:xfrm>
        </xdr:grpSpPr>
        <xdr:graphicFrame macro="">
          <xdr:nvGraphicFramePr>
            <xdr:cNvPr id="95" name="Gráfico 94">
              <a:extLst>
                <a:ext uri="{FF2B5EF4-FFF2-40B4-BE49-F238E27FC236}">
                  <a16:creationId xmlns:a16="http://schemas.microsoft.com/office/drawing/2014/main" id="{00000000-0008-0000-1B00-00005F000000}"/>
                </a:ext>
              </a:extLst>
            </xdr:cNvPr>
            <xdr:cNvGraphicFramePr>
              <a:graphicFrameLocks/>
            </xdr:cNvGraphicFramePr>
          </xdr:nvGraphicFramePr>
          <xdr:xfrm>
            <a:off x="20815828" y="14262773"/>
            <a:ext cx="2627535" cy="2384309"/>
          </xdr:xfrm>
          <a:graphic>
            <a:graphicData uri="http://schemas.openxmlformats.org/drawingml/2006/chart">
              <c:chart xmlns:c="http://schemas.openxmlformats.org/drawingml/2006/chart" xmlns:r="http://schemas.openxmlformats.org/officeDocument/2006/relationships" r:id="rId16"/>
            </a:graphicData>
          </a:graphic>
        </xdr:graphicFrame>
        <xdr:sp macro="" textlink="q17_a_q19_q26_a_q29_q37_q40_Fig!$W$264">
          <xdr:nvSpPr>
            <xdr:cNvPr id="96" name="CaixaDeTexto 95">
              <a:extLst>
                <a:ext uri="{FF2B5EF4-FFF2-40B4-BE49-F238E27FC236}">
                  <a16:creationId xmlns:a16="http://schemas.microsoft.com/office/drawing/2014/main" id="{00000000-0008-0000-1B00-000060000000}"/>
                </a:ext>
              </a:extLst>
            </xdr:cNvPr>
            <xdr:cNvSpPr txBox="1"/>
          </xdr:nvSpPr>
          <xdr:spPr>
            <a:xfrm>
              <a:off x="20489331" y="14269390"/>
              <a:ext cx="1068605" cy="100056"/>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159EE41-3203-4DE7-A967-4559667BB7F1}"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6,88 €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97" name="CaixaDeTexto 96">
              <a:extLst>
                <a:ext uri="{FF2B5EF4-FFF2-40B4-BE49-F238E27FC236}">
                  <a16:creationId xmlns:a16="http://schemas.microsoft.com/office/drawing/2014/main" id="{00000000-0008-0000-1B00-000061000000}"/>
                </a:ext>
              </a:extLst>
            </xdr:cNvPr>
            <xdr:cNvSpPr txBox="1"/>
          </xdr:nvSpPr>
          <xdr:spPr>
            <a:xfrm>
              <a:off x="20489329" y="14115698"/>
              <a:ext cx="1083522" cy="130262"/>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grpSp>
      <xdr:sp macro="" textlink="">
        <xdr:nvSpPr>
          <xdr:cNvPr id="89" name="CaixaDeTexto 88">
            <a:extLst>
              <a:ext uri="{FF2B5EF4-FFF2-40B4-BE49-F238E27FC236}">
                <a16:creationId xmlns:a16="http://schemas.microsoft.com/office/drawing/2014/main" id="{00000000-0008-0000-1B00-000059000000}"/>
              </a:ext>
            </a:extLst>
          </xdr:cNvPr>
          <xdr:cNvSpPr txBox="1"/>
        </xdr:nvSpPr>
        <xdr:spPr>
          <a:xfrm>
            <a:off x="17186755" y="5398912"/>
            <a:ext cx="1539726" cy="179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94" name="CaixaDeTexto 93">
            <a:extLst>
              <a:ext uri="{FF2B5EF4-FFF2-40B4-BE49-F238E27FC236}">
                <a16:creationId xmlns:a16="http://schemas.microsoft.com/office/drawing/2014/main" id="{00000000-0008-0000-1B00-00005E000000}"/>
              </a:ext>
            </a:extLst>
          </xdr:cNvPr>
          <xdr:cNvSpPr txBox="1"/>
        </xdr:nvSpPr>
        <xdr:spPr>
          <a:xfrm>
            <a:off x="19681208" y="5397500"/>
            <a:ext cx="1850055"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a:t>
            </a:r>
            <a:r>
              <a:rPr lang="pt-PT" sz="800" b="1" baseline="0">
                <a:solidFill>
                  <a:schemeClr val="tx2"/>
                </a:solidFill>
              </a:rPr>
              <a:t> base horária</a:t>
            </a:r>
            <a:endParaRPr lang="pt-PT" sz="800" b="1">
              <a:solidFill>
                <a:schemeClr val="tx2"/>
              </a:solidFill>
            </a:endParaRPr>
          </a:p>
        </xdr:txBody>
      </xdr:sp>
    </xdr:grpSp>
    <xdr:clientData/>
  </xdr:twoCellAnchor>
  <xdr:twoCellAnchor>
    <xdr:from>
      <xdr:col>18</xdr:col>
      <xdr:colOff>0</xdr:colOff>
      <xdr:row>279</xdr:row>
      <xdr:rowOff>0</xdr:rowOff>
    </xdr:from>
    <xdr:to>
      <xdr:col>23</xdr:col>
      <xdr:colOff>512233</xdr:colOff>
      <xdr:row>283</xdr:row>
      <xdr:rowOff>95250</xdr:rowOff>
    </xdr:to>
    <xdr:sp macro="" textlink="q17_a_q19_q26_a_q29_q37_q40_Fig!$S$278">
      <xdr:nvSpPr>
        <xdr:cNvPr id="98" name="CaixaDeTexto 97">
          <a:extLst>
            <a:ext uri="{FF2B5EF4-FFF2-40B4-BE49-F238E27FC236}">
              <a16:creationId xmlns:a16="http://schemas.microsoft.com/office/drawing/2014/main" id="{00000000-0008-0000-1B00-000062000000}"/>
            </a:ext>
          </a:extLst>
        </xdr:cNvPr>
        <xdr:cNvSpPr txBox="1"/>
      </xdr:nvSpPr>
      <xdr:spPr>
        <a:xfrm>
          <a:off x="11136313" y="42124313"/>
          <a:ext cx="3845983" cy="6985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CDA9329E-1407-43D7-85FB-08FE87CA96AF}" type="TxLink">
            <a:rPr lang="en-US" sz="900" b="0" i="0" u="none" strike="noStrike">
              <a:solidFill>
                <a:srgbClr val="000000"/>
              </a:solidFill>
              <a:latin typeface="Calibri"/>
              <a:cs typeface="Calibri"/>
            </a:rPr>
            <a:pPr/>
            <a:t>2023:
35,5% dos TCO eram "Trabalhadores dos serviços pessoais, de protecção e segurança e vendedores" (21,0%) e "Trabalhadores não qualificados " (14,5%).</a:t>
          </a:fld>
          <a:endParaRPr lang="pt-PT" sz="900" b="0">
            <a:solidFill>
              <a:sysClr val="windowText" lastClr="000000"/>
            </a:solidFill>
          </a:endParaRPr>
        </a:p>
      </xdr:txBody>
    </xdr:sp>
    <xdr:clientData/>
  </xdr:twoCellAnchor>
  <xdr:twoCellAnchor>
    <xdr:from>
      <xdr:col>17</xdr:col>
      <xdr:colOff>523876</xdr:colOff>
      <xdr:row>297</xdr:row>
      <xdr:rowOff>63501</xdr:rowOff>
    </xdr:from>
    <xdr:to>
      <xdr:col>21</xdr:col>
      <xdr:colOff>388938</xdr:colOff>
      <xdr:row>304</xdr:row>
      <xdr:rowOff>119064</xdr:rowOff>
    </xdr:to>
    <xdr:sp macro="" textlink="q17_a_q19_q26_a_q29_q37_q40_Fig!$S$296">
      <xdr:nvSpPr>
        <xdr:cNvPr id="99" name="CaixaDeTexto 98">
          <a:extLst>
            <a:ext uri="{FF2B5EF4-FFF2-40B4-BE49-F238E27FC236}">
              <a16:creationId xmlns:a16="http://schemas.microsoft.com/office/drawing/2014/main" id="{00000000-0008-0000-1B00-000063000000}"/>
            </a:ext>
          </a:extLst>
        </xdr:cNvPr>
        <xdr:cNvSpPr txBox="1"/>
      </xdr:nvSpPr>
      <xdr:spPr>
        <a:xfrm>
          <a:off x="11080751" y="44902439"/>
          <a:ext cx="2579687" cy="111125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B7611C2-A919-4823-804F-CBBAFBAF13AC}"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média: 83,2% do Ganho, entre 854 € (Trabalhadores não qualificados) e 2.853 € (Trabalhadores sem profissão atribuida).
Ganho médio: Entre 1.007 € e 3.169 € nas mesmas profissões,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23</xdr:col>
      <xdr:colOff>492125</xdr:colOff>
      <xdr:row>297</xdr:row>
      <xdr:rowOff>119064</xdr:rowOff>
    </xdr:from>
    <xdr:to>
      <xdr:col>28</xdr:col>
      <xdr:colOff>444500</xdr:colOff>
      <xdr:row>303</xdr:row>
      <xdr:rowOff>87313</xdr:rowOff>
    </xdr:to>
    <xdr:sp macro="" textlink="q17_a_q19_q26_a_q29_q37_q40_Fig!$Z$296">
      <xdr:nvSpPr>
        <xdr:cNvPr id="100" name="CaixaDeTexto 99">
          <a:extLst>
            <a:ext uri="{FF2B5EF4-FFF2-40B4-BE49-F238E27FC236}">
              <a16:creationId xmlns:a16="http://schemas.microsoft.com/office/drawing/2014/main" id="{00000000-0008-0000-1B00-000064000000}"/>
            </a:ext>
          </a:extLst>
        </xdr:cNvPr>
        <xdr:cNvSpPr txBox="1"/>
      </xdr:nvSpPr>
      <xdr:spPr>
        <a:xfrm>
          <a:off x="14962188" y="44958002"/>
          <a:ext cx="2849562" cy="87312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8D5B2176-8C9B-40FB-92EB-B6ACFE3B426F}"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2023 - Continente:
Base horária média: 6,88 € a variar entre 4,86 € (Trabalhadores não qualificados ) e 16,69 € (Trabalhadores sem profissão atribuida).</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18</xdr:col>
          <xdr:colOff>561975</xdr:colOff>
          <xdr:row>87</xdr:row>
          <xdr:rowOff>142875</xdr:rowOff>
        </xdr:from>
        <xdr:to>
          <xdr:col>19</xdr:col>
          <xdr:colOff>352425</xdr:colOff>
          <xdr:row>89</xdr:row>
          <xdr:rowOff>9525</xdr:rowOff>
        </xdr:to>
        <xdr:sp macro="" textlink="">
          <xdr:nvSpPr>
            <xdr:cNvPr id="179209" name="Drop Down 9" hidden="1">
              <a:extLst>
                <a:ext uri="{63B3BB69-23CF-44E3-9099-C40C66FF867C}">
                  <a14:compatExt spid="_x0000_s179209"/>
                </a:ext>
                <a:ext uri="{FF2B5EF4-FFF2-40B4-BE49-F238E27FC236}">
                  <a16:creationId xmlns:a16="http://schemas.microsoft.com/office/drawing/2014/main" id="{00000000-0008-0000-1B00-000009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5.xml><?xml version="1.0" encoding="utf-8"?>
<c:userShapes xmlns:c="http://schemas.openxmlformats.org/drawingml/2006/chart">
  <cdr:relSizeAnchor xmlns:cdr="http://schemas.openxmlformats.org/drawingml/2006/chartDrawing">
    <cdr:from>
      <cdr:x>0.51845</cdr:x>
      <cdr:y>0.14688</cdr:y>
    </cdr:from>
    <cdr:to>
      <cdr:x>0.65457</cdr:x>
      <cdr:y>0.26625</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353720" y="399758"/>
          <a:ext cx="355421" cy="324884"/>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56.xml><?xml version="1.0" encoding="utf-8"?>
<c:userShapes xmlns:c="http://schemas.openxmlformats.org/drawingml/2006/chart">
  <cdr:relSizeAnchor xmlns:cdr="http://schemas.openxmlformats.org/drawingml/2006/chartDrawing">
    <cdr:from>
      <cdr:x>0.49765</cdr:x>
      <cdr:y>0.09441</cdr:y>
    </cdr:from>
    <cdr:to>
      <cdr:x>0.61405</cdr:x>
      <cdr:y>0.18938</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127853" y="365332"/>
          <a:ext cx="263804" cy="367498"/>
          <a:chOff x="1941922" y="369817"/>
          <a:chExt cx="48965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4192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57.xml><?xml version="1.0" encoding="utf-8"?>
<c:userShapes xmlns:c="http://schemas.openxmlformats.org/drawingml/2006/chart">
  <cdr:relSizeAnchor xmlns:cdr="http://schemas.openxmlformats.org/drawingml/2006/chartDrawing">
    <cdr:from>
      <cdr:x>0.50439</cdr:x>
      <cdr:y>0.13317</cdr:y>
    </cdr:from>
    <cdr:to>
      <cdr:x>0.64051</cdr:x>
      <cdr:y>0.25254</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327910" y="364387"/>
          <a:ext cx="358364" cy="326628"/>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58.xml><?xml version="1.0" encoding="utf-8"?>
<c:userShapes xmlns:c="http://schemas.openxmlformats.org/drawingml/2006/chart">
  <cdr:relSizeAnchor xmlns:cdr="http://schemas.openxmlformats.org/drawingml/2006/chartDrawing">
    <cdr:from>
      <cdr:x>0.60932</cdr:x>
      <cdr:y>0.10672</cdr:y>
    </cdr:from>
    <cdr:to>
      <cdr:x>0.72061</cdr:x>
      <cdr:y>0.1913</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247711" y="326759"/>
          <a:ext cx="227890" cy="258970"/>
          <a:chOff x="1963402" y="369817"/>
          <a:chExt cx="46817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6340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59.xml><?xml version="1.0" encoding="utf-8"?>
<xdr:wsDr xmlns:xdr="http://schemas.openxmlformats.org/drawingml/2006/spreadsheetDrawing" xmlns:a="http://schemas.openxmlformats.org/drawingml/2006/main">
  <xdr:twoCellAnchor editAs="absolute">
    <xdr:from>
      <xdr:col>11</xdr:col>
      <xdr:colOff>133350</xdr:colOff>
      <xdr:row>0</xdr:row>
      <xdr:rowOff>266700</xdr:rowOff>
    </xdr:from>
    <xdr:to>
      <xdr:col>12</xdr:col>
      <xdr:colOff>428625</xdr:colOff>
      <xdr:row>0</xdr:row>
      <xdr:rowOff>581025</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76950" y="266700"/>
          <a:ext cx="822325" cy="314325"/>
        </a:xfrm>
        <a:prstGeom prst="rect">
          <a:avLst/>
        </a:prstGeom>
        <a:noFill/>
        <a:ln w="1">
          <a:noFill/>
          <a:miter lim="800000"/>
          <a:headEnd/>
          <a:tailEnd type="none" w="med" len="med"/>
        </a:ln>
        <a:effectLst/>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0600-000003000000}"/>
            </a:ext>
          </a:extLst>
        </xdr:cNvPr>
        <xdr:cNvSpPr>
          <a:spLocks noChangeArrowheads="1"/>
        </xdr:cNvSpPr>
      </xdr:nvSpPr>
      <xdr:spPr bwMode="auto">
        <a:xfrm>
          <a:off x="5365750" y="1393825"/>
          <a:ext cx="219075" cy="1065213"/>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06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47624</xdr:rowOff>
    </xdr:from>
    <xdr:to>
      <xdr:col>10</xdr:col>
      <xdr:colOff>495300</xdr:colOff>
      <xdr:row>7</xdr:row>
      <xdr:rowOff>58737</xdr:rowOff>
    </xdr:to>
    <xdr:sp macro="" textlink="">
      <xdr:nvSpPr>
        <xdr:cNvPr id="5" name="Line 7">
          <a:extLst>
            <a:ext uri="{FF2B5EF4-FFF2-40B4-BE49-F238E27FC236}">
              <a16:creationId xmlns:a16="http://schemas.microsoft.com/office/drawing/2014/main" id="{00000000-0008-0000-0600-000005000000}"/>
            </a:ext>
          </a:extLst>
        </xdr:cNvPr>
        <xdr:cNvSpPr>
          <a:spLocks noChangeShapeType="1"/>
        </xdr:cNvSpPr>
      </xdr:nvSpPr>
      <xdr:spPr bwMode="auto">
        <a:xfrm flipV="1">
          <a:off x="4973637" y="1381124"/>
          <a:ext cx="1331913" cy="11113"/>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06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06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23</xdr:row>
      <xdr:rowOff>73025</xdr:rowOff>
    </xdr:from>
    <xdr:to>
      <xdr:col>10</xdr:col>
      <xdr:colOff>536575</xdr:colOff>
      <xdr:row>27</xdr:row>
      <xdr:rowOff>46038</xdr:rowOff>
    </xdr:to>
    <xdr:sp macro="" textlink="">
      <xdr:nvSpPr>
        <xdr:cNvPr id="8" name="Rectangle 2">
          <a:extLst>
            <a:ext uri="{FF2B5EF4-FFF2-40B4-BE49-F238E27FC236}">
              <a16:creationId xmlns:a16="http://schemas.microsoft.com/office/drawing/2014/main" id="{00000000-0008-0000-0600-000008000000}"/>
            </a:ext>
          </a:extLst>
        </xdr:cNvPr>
        <xdr:cNvSpPr>
          <a:spLocks noChangeArrowheads="1"/>
        </xdr:cNvSpPr>
      </xdr:nvSpPr>
      <xdr:spPr bwMode="auto">
        <a:xfrm>
          <a:off x="0" y="44545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22</xdr:row>
      <xdr:rowOff>101600</xdr:rowOff>
    </xdr:from>
    <xdr:to>
      <xdr:col>5</xdr:col>
      <xdr:colOff>547687</xdr:colOff>
      <xdr:row>26</xdr:row>
      <xdr:rowOff>68263</xdr:rowOff>
    </xdr:to>
    <xdr:sp macro="" textlink="">
      <xdr:nvSpPr>
        <xdr:cNvPr id="9" name="Rectangle 3">
          <a:extLst>
            <a:ext uri="{FF2B5EF4-FFF2-40B4-BE49-F238E27FC236}">
              <a16:creationId xmlns:a16="http://schemas.microsoft.com/office/drawing/2014/main" id="{00000000-0008-0000-0600-000009000000}"/>
            </a:ext>
          </a:extLst>
        </xdr:cNvPr>
        <xdr:cNvSpPr>
          <a:spLocks noChangeArrowheads="1"/>
        </xdr:cNvSpPr>
      </xdr:nvSpPr>
      <xdr:spPr bwMode="auto">
        <a:xfrm>
          <a:off x="147637" y="4292600"/>
          <a:ext cx="3305175" cy="728663"/>
        </a:xfrm>
        <a:prstGeom prst="rect">
          <a:avLst/>
        </a:prstGeom>
        <a:solidFill>
          <a:srgbClr val="FFFF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158750</xdr:colOff>
      <xdr:row>23</xdr:row>
      <xdr:rowOff>147638</xdr:rowOff>
    </xdr:from>
    <xdr:to>
      <xdr:col>4</xdr:col>
      <xdr:colOff>277812</xdr:colOff>
      <xdr:row>25</xdr:row>
      <xdr:rowOff>84321</xdr:rowOff>
    </xdr:to>
    <xdr:sp macro="" textlink="">
      <xdr:nvSpPr>
        <xdr:cNvPr id="10" name="Text Box 10">
          <a:extLst>
            <a:ext uri="{FF2B5EF4-FFF2-40B4-BE49-F238E27FC236}">
              <a16:creationId xmlns:a16="http://schemas.microsoft.com/office/drawing/2014/main" id="{00000000-0008-0000-0600-00000A000000}"/>
            </a:ext>
          </a:extLst>
        </xdr:cNvPr>
        <xdr:cNvSpPr txBox="1">
          <a:spLocks noChangeArrowheads="1"/>
        </xdr:cNvSpPr>
      </xdr:nvSpPr>
      <xdr:spPr bwMode="auto">
        <a:xfrm>
          <a:off x="158750" y="4529138"/>
          <a:ext cx="2443162"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Estrutura Empresarial</a:t>
          </a:r>
        </a:p>
      </xdr:txBody>
    </xdr:sp>
    <xdr:clientData/>
  </xdr:twoCellAnchor>
  <xdr:twoCellAnchor>
    <xdr:from>
      <xdr:col>10</xdr:col>
      <xdr:colOff>196850</xdr:colOff>
      <xdr:row>24</xdr:row>
      <xdr:rowOff>11113</xdr:rowOff>
    </xdr:from>
    <xdr:to>
      <xdr:col>10</xdr:col>
      <xdr:colOff>307975</xdr:colOff>
      <xdr:row>26</xdr:row>
      <xdr:rowOff>100013</xdr:rowOff>
    </xdr:to>
    <xdr:sp macro="" textlink="">
      <xdr:nvSpPr>
        <xdr:cNvPr id="11" name="WordArt 4">
          <a:extLst>
            <a:ext uri="{FF2B5EF4-FFF2-40B4-BE49-F238E27FC236}">
              <a16:creationId xmlns:a16="http://schemas.microsoft.com/office/drawing/2014/main" id="{00000000-0008-0000-0600-00000B000000}"/>
            </a:ext>
          </a:extLst>
        </xdr:cNvPr>
        <xdr:cNvSpPr>
          <a:spLocks noChangeArrowheads="1" noChangeShapeType="1" noTextEdit="1"/>
        </xdr:cNvSpPr>
      </xdr:nvSpPr>
      <xdr:spPr bwMode="auto">
        <a:xfrm>
          <a:off x="6007100" y="4583113"/>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wsDr>
</file>

<file path=xl/drawings/drawing60.xml><?xml version="1.0" encoding="utf-8"?>
<xdr:wsDr xmlns:xdr="http://schemas.openxmlformats.org/drawingml/2006/spreadsheetDrawing" xmlns:a="http://schemas.openxmlformats.org/drawingml/2006/main">
  <xdr:twoCellAnchor editAs="absolute">
    <xdr:from>
      <xdr:col>11</xdr:col>
      <xdr:colOff>47625</xdr:colOff>
      <xdr:row>0</xdr:row>
      <xdr:rowOff>238125</xdr:rowOff>
    </xdr:from>
    <xdr:to>
      <xdr:col>12</xdr:col>
      <xdr:colOff>399952</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210175" y="238125"/>
          <a:ext cx="780952" cy="304762"/>
        </a:xfrm>
        <a:prstGeom prst="rect">
          <a:avLst/>
        </a:prstGeom>
        <a:noFill/>
        <a:ln w="1">
          <a:noFill/>
          <a:miter lim="800000"/>
          <a:headEnd/>
          <a:tailEnd type="none" w="med" len="med"/>
        </a:ln>
        <a:effectLst/>
      </xdr:spPr>
    </xdr:pic>
    <xdr:clientData fPrintsWithSheet="0"/>
  </xdr:twoCellAnchor>
</xdr:wsDr>
</file>

<file path=xl/drawings/drawing61.xml><?xml version="1.0" encoding="utf-8"?>
<xdr:wsDr xmlns:xdr="http://schemas.openxmlformats.org/drawingml/2006/spreadsheetDrawing" xmlns:a="http://schemas.openxmlformats.org/drawingml/2006/main">
  <xdr:twoCellAnchor editAs="absolute">
    <xdr:from>
      <xdr:col>11</xdr:col>
      <xdr:colOff>0</xdr:colOff>
      <xdr:row>0</xdr:row>
      <xdr:rowOff>257174</xdr:rowOff>
    </xdr:from>
    <xdr:to>
      <xdr:col>12</xdr:col>
      <xdr:colOff>390423</xdr:colOff>
      <xdr:row>1</xdr:row>
      <xdr:rowOff>180975</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57174"/>
          <a:ext cx="819048" cy="285751"/>
        </a:xfrm>
        <a:prstGeom prst="rect">
          <a:avLst/>
        </a:prstGeom>
        <a:noFill/>
        <a:ln w="1">
          <a:noFill/>
          <a:miter lim="800000"/>
          <a:headEnd/>
          <a:tailEnd type="none" w="med" len="med"/>
        </a:ln>
        <a:effectLst/>
      </xdr:spPr>
    </xdr:pic>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16</xdr:col>
      <xdr:colOff>571500</xdr:colOff>
      <xdr:row>1</xdr:row>
      <xdr:rowOff>121708</xdr:rowOff>
    </xdr:from>
    <xdr:to>
      <xdr:col>39</xdr:col>
      <xdr:colOff>565679</xdr:colOff>
      <xdr:row>16</xdr:row>
      <xdr:rowOff>16933</xdr:rowOff>
    </xdr:to>
    <xdr:grpSp>
      <xdr:nvGrpSpPr>
        <xdr:cNvPr id="5" name="Agrupar 4">
          <a:extLst>
            <a:ext uri="{FF2B5EF4-FFF2-40B4-BE49-F238E27FC236}">
              <a16:creationId xmlns:a16="http://schemas.microsoft.com/office/drawing/2014/main" id="{00000000-0008-0000-1F00-000005000000}"/>
            </a:ext>
          </a:extLst>
        </xdr:cNvPr>
        <xdr:cNvGrpSpPr/>
      </xdr:nvGrpSpPr>
      <xdr:grpSpPr>
        <a:xfrm>
          <a:off x="10445750" y="272521"/>
          <a:ext cx="13321242" cy="2157412"/>
          <a:chOff x="8448671" y="712203"/>
          <a:chExt cx="14601170" cy="4374147"/>
        </a:xfrm>
      </xdr:grpSpPr>
      <xdr:graphicFrame macro="">
        <xdr:nvGraphicFramePr>
          <xdr:cNvPr id="6" name="Gráfico 5">
            <a:extLst>
              <a:ext uri="{FF2B5EF4-FFF2-40B4-BE49-F238E27FC236}">
                <a16:creationId xmlns:a16="http://schemas.microsoft.com/office/drawing/2014/main" id="{00000000-0008-0000-1F00-000006000000}"/>
              </a:ext>
            </a:extLst>
          </xdr:cNvPr>
          <xdr:cNvGraphicFramePr/>
        </xdr:nvGraphicFramePr>
        <xdr:xfrm>
          <a:off x="8448671" y="717551"/>
          <a:ext cx="7760518" cy="436879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Gráfico 6">
            <a:extLst>
              <a:ext uri="{FF2B5EF4-FFF2-40B4-BE49-F238E27FC236}">
                <a16:creationId xmlns:a16="http://schemas.microsoft.com/office/drawing/2014/main" id="{00000000-0008-0000-1F00-000007000000}"/>
              </a:ext>
            </a:extLst>
          </xdr:cNvPr>
          <xdr:cNvGraphicFramePr>
            <a:graphicFrameLocks/>
          </xdr:cNvGraphicFramePr>
        </xdr:nvGraphicFramePr>
        <xdr:xfrm>
          <a:off x="15989778" y="712203"/>
          <a:ext cx="7060063" cy="43687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16</xdr:col>
      <xdr:colOff>603250</xdr:colOff>
      <xdr:row>17</xdr:row>
      <xdr:rowOff>10583</xdr:rowOff>
    </xdr:from>
    <xdr:to>
      <xdr:col>34</xdr:col>
      <xdr:colOff>432859</xdr:colOff>
      <xdr:row>19</xdr:row>
      <xdr:rowOff>13759</xdr:rowOff>
    </xdr:to>
    <xdr:sp macro="" textlink="">
      <xdr:nvSpPr>
        <xdr:cNvPr id="8" name="CaixaDeTexto 7">
          <a:extLst>
            <a:ext uri="{FF2B5EF4-FFF2-40B4-BE49-F238E27FC236}">
              <a16:creationId xmlns:a16="http://schemas.microsoft.com/office/drawing/2014/main" id="{00000000-0008-0000-1F00-000008000000}"/>
            </a:ext>
          </a:extLst>
        </xdr:cNvPr>
        <xdr:cNvSpPr txBox="1"/>
      </xdr:nvSpPr>
      <xdr:spPr>
        <a:xfrm>
          <a:off x="10969625" y="2619375"/>
          <a:ext cx="10783359" cy="310092"/>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 Trabalhadores por conta de outrem a tempo completo, que auferiram remuneração completa no período de referência.</a:t>
          </a:r>
          <a:endParaRPr lang="pt-PT" sz="600">
            <a:solidFill>
              <a:schemeClr val="tx1">
                <a:lumMod val="50000"/>
                <a:lumOff val="50000"/>
              </a:schemeClr>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rPr>
            <a:t>** Retribuição Mínima Mensal Garantida (RMMG) - Continente 2011=485,00 euros; 2012=485,00 euros; 2013=485,00 euros; 2014=505,00 euros; 2015=505,00 euros; 2016=530,00 euros; 2017=557,00 euros; 2018=580,00 euros; 2019=600,00 euros; 2020=635,00 euros e 2021 = 665,00 euros.</a:t>
          </a:r>
        </a:p>
      </xdr:txBody>
    </xdr:sp>
    <xdr:clientData/>
  </xdr:twoCellAnchor>
  <xdr:twoCellAnchor>
    <xdr:from>
      <xdr:col>6</xdr:col>
      <xdr:colOff>555625</xdr:colOff>
      <xdr:row>32</xdr:row>
      <xdr:rowOff>0</xdr:rowOff>
    </xdr:from>
    <xdr:to>
      <xdr:col>11</xdr:col>
      <xdr:colOff>277812</xdr:colOff>
      <xdr:row>36</xdr:row>
      <xdr:rowOff>15875</xdr:rowOff>
    </xdr:to>
    <xdr:sp macro="" textlink="">
      <xdr:nvSpPr>
        <xdr:cNvPr id="9" name="CaixaDeTexto 8">
          <a:extLst>
            <a:ext uri="{FF2B5EF4-FFF2-40B4-BE49-F238E27FC236}">
              <a16:creationId xmlns:a16="http://schemas.microsoft.com/office/drawing/2014/main" id="{00000000-0008-0000-1F00-000009000000}"/>
            </a:ext>
          </a:extLst>
        </xdr:cNvPr>
        <xdr:cNvSpPr txBox="1"/>
      </xdr:nvSpPr>
      <xdr:spPr>
        <a:xfrm>
          <a:off x="4635500" y="4833938"/>
          <a:ext cx="2619375" cy="61912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2023</a:t>
          </a:r>
          <a:r>
            <a:rPr lang="en-US" sz="800" b="0" i="0" u="none" strike="noStrike" baseline="0">
              <a:solidFill>
                <a:sysClr val="windowText" lastClr="000000"/>
              </a:solidFill>
              <a:latin typeface="+mn-lt"/>
              <a:cs typeface="Calibri"/>
            </a:rPr>
            <a:t> - </a:t>
          </a:r>
          <a:r>
            <a:rPr lang="en-US" sz="800" b="0" i="0" u="sng" strike="noStrike">
              <a:solidFill>
                <a:sysClr val="windowText" lastClr="000000"/>
              </a:solidFill>
              <a:latin typeface="+mn-lt"/>
              <a:cs typeface="Calibri"/>
            </a:rPr>
            <a:t>Proporção</a:t>
          </a:r>
          <a:r>
            <a:rPr lang="en-US" sz="800" b="0" i="0" u="sng" strike="noStrike" baseline="0">
              <a:solidFill>
                <a:sysClr val="windowText" lastClr="000000"/>
              </a:solidFill>
              <a:latin typeface="+mn-lt"/>
              <a:cs typeface="Calibri"/>
            </a:rPr>
            <a:t> de TCO com remuneração Base</a:t>
          </a:r>
        </a:p>
        <a:p>
          <a:r>
            <a:rPr lang="en-US" sz="800" b="0" i="0" u="none" strike="noStrike" baseline="0">
              <a:solidFill>
                <a:sysClr val="windowText" lastClr="000000"/>
              </a:solidFill>
              <a:latin typeface="+mn-lt"/>
              <a:cs typeface="Calibri"/>
            </a:rPr>
            <a:t>&gt;= RMMG e  &lt; 1.000 €: 59</a:t>
          </a:r>
          <a:r>
            <a:rPr lang="en-US" sz="800" b="0" i="0" u="none" strike="noStrike">
              <a:solidFill>
                <a:sysClr val="windowText" lastClr="000000"/>
              </a:solidFill>
              <a:latin typeface="+mn-lt"/>
              <a:cs typeface="Calibri"/>
            </a:rPr>
            <a:t>,5% (-15,0 p.p face a 2013)</a:t>
          </a:r>
        </a:p>
        <a:p>
          <a:r>
            <a:rPr lang="en-US" sz="800" b="0" i="0" u="none" strike="noStrike">
              <a:solidFill>
                <a:sysClr val="windowText" lastClr="000000"/>
              </a:solidFill>
              <a:latin typeface="+mn-lt"/>
              <a:cs typeface="Calibri"/>
            </a:rPr>
            <a:t>= </a:t>
          </a:r>
          <a:r>
            <a:rPr lang="en-US" sz="800" b="0" i="0" u="none" strike="noStrike" baseline="0">
              <a:solidFill>
                <a:sysClr val="windowText" lastClr="000000"/>
              </a:solidFill>
              <a:latin typeface="+mn-lt"/>
              <a:cs typeface="Calibri"/>
            </a:rPr>
            <a:t>RMMG: </a:t>
          </a:r>
          <a:r>
            <a:rPr lang="en-US" sz="800" b="0" i="0" u="none" strike="noStrike">
              <a:solidFill>
                <a:sysClr val="windowText" lastClr="000000"/>
              </a:solidFill>
              <a:latin typeface="+mn-lt"/>
              <a:cs typeface="Calibri"/>
            </a:rPr>
            <a:t>20,6% (+6,5 p.p. face a 2013)</a:t>
          </a:r>
          <a:r>
            <a:rPr lang="en-US" sz="800" b="0" i="0" u="none" strike="noStrike" baseline="0">
              <a:solidFill>
                <a:sysClr val="windowText" lastClr="000000"/>
              </a:solidFill>
              <a:latin typeface="+mn-lt"/>
              <a:cs typeface="Calibri"/>
            </a:rPr>
            <a:t>                                      </a:t>
          </a:r>
        </a:p>
        <a:p>
          <a:r>
            <a:rPr lang="en-US" sz="800" b="0" i="0" u="none" strike="noStrike" baseline="0">
              <a:solidFill>
                <a:sysClr val="windowText" lastClr="000000"/>
              </a:solidFill>
              <a:latin typeface="+mn-lt"/>
              <a:cs typeface="Calibri"/>
            </a:rPr>
            <a:t>&gt; RMMG e &lt; 1.000 €: 38,8% (- 21,5 p.p. face a 2013).</a:t>
          </a:r>
          <a:endParaRPr lang="en-US" sz="800" b="0" i="0" u="none" strike="noStrike">
            <a:solidFill>
              <a:sysClr val="windowText" lastClr="000000"/>
            </a:solidFill>
            <a:latin typeface="+mn-lt"/>
            <a:cs typeface="Calibri"/>
          </a:endParaRPr>
        </a:p>
        <a:p>
          <a:endParaRPr lang="en-US" sz="800" b="0" i="0" u="none" strike="noStrike" baseline="0">
            <a:solidFill>
              <a:sysClr val="windowText" lastClr="000000"/>
            </a:solidFill>
            <a:latin typeface="Calibri"/>
            <a:cs typeface="Calibri"/>
          </a:endParaRPr>
        </a:p>
      </xdr:txBody>
    </xdr:sp>
    <xdr:clientData/>
  </xdr:twoCellAnchor>
  <xdr:twoCellAnchor>
    <xdr:from>
      <xdr:col>1</xdr:col>
      <xdr:colOff>412749</xdr:colOff>
      <xdr:row>35</xdr:row>
      <xdr:rowOff>13229</xdr:rowOff>
    </xdr:from>
    <xdr:to>
      <xdr:col>5</xdr:col>
      <xdr:colOff>444500</xdr:colOff>
      <xdr:row>40</xdr:row>
      <xdr:rowOff>127000</xdr:rowOff>
    </xdr:to>
    <xdr:sp macro="" textlink="$H$38">
      <xdr:nvSpPr>
        <xdr:cNvPr id="10" name="CaixaDeTexto 9">
          <a:extLst>
            <a:ext uri="{FF2B5EF4-FFF2-40B4-BE49-F238E27FC236}">
              <a16:creationId xmlns:a16="http://schemas.microsoft.com/office/drawing/2014/main" id="{00000000-0008-0000-1F00-00000A000000}"/>
            </a:ext>
          </a:extLst>
        </xdr:cNvPr>
        <xdr:cNvSpPr txBox="1"/>
      </xdr:nvSpPr>
      <xdr:spPr>
        <a:xfrm>
          <a:off x="1595437" y="5299604"/>
          <a:ext cx="2349501" cy="87577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BB8039AF-2252-4D28-A5BC-EA7278A8D6BE}" type="TxLink">
            <a:rPr lang="en-US" sz="800" b="0" i="0" u="none" strike="noStrike">
              <a:solidFill>
                <a:srgbClr val="000000"/>
              </a:solidFill>
              <a:latin typeface="+mn-lt"/>
              <a:cs typeface="Calibri"/>
            </a:rPr>
            <a:pPr/>
            <a:t>2023 - Proporção de TCO com remuneração Base: Igual à RMMG e &lt; 1.000 €: 59,5% (-15,0 p.p. face a 2013):
Igual à RMMG: 20,6% (+6,5 p.p. face a 2013)
Entre RMMG e &lt; 1.000 €: 38,8% (-21,5 p.p. face a 2013).</a:t>
          </a:fld>
          <a:endParaRPr lang="en-US" sz="800" b="0" i="0" u="none" strike="noStrike" baseline="0">
            <a:solidFill>
              <a:sysClr val="windowText" lastClr="000000"/>
            </a:solidFill>
            <a:latin typeface="+mn-lt"/>
            <a:cs typeface="Calibri"/>
          </a:endParaRPr>
        </a:p>
      </xdr:txBody>
    </xdr:sp>
    <xdr:clientData/>
  </xdr:twoCellAnchor>
  <xdr:twoCellAnchor>
    <xdr:from>
      <xdr:col>25</xdr:col>
      <xdr:colOff>576792</xdr:colOff>
      <xdr:row>26</xdr:row>
      <xdr:rowOff>31750</xdr:rowOff>
    </xdr:from>
    <xdr:to>
      <xdr:col>30</xdr:col>
      <xdr:colOff>254000</xdr:colOff>
      <xdr:row>30</xdr:row>
      <xdr:rowOff>63500</xdr:rowOff>
    </xdr:to>
    <xdr:sp macro="" textlink="">
      <xdr:nvSpPr>
        <xdr:cNvPr id="11" name="CaixaDeTexto 10">
          <a:extLst>
            <a:ext uri="{FF2B5EF4-FFF2-40B4-BE49-F238E27FC236}">
              <a16:creationId xmlns:a16="http://schemas.microsoft.com/office/drawing/2014/main" id="{00000000-0008-0000-1F00-00000B000000}"/>
            </a:ext>
          </a:extLst>
        </xdr:cNvPr>
        <xdr:cNvSpPr txBox="1"/>
      </xdr:nvSpPr>
      <xdr:spPr>
        <a:xfrm>
          <a:off x="16420042" y="4021667"/>
          <a:ext cx="2719916" cy="6455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2023</a:t>
          </a:r>
          <a:r>
            <a:rPr lang="en-US" sz="800" b="0" i="0" u="none" strike="noStrike">
              <a:solidFill>
                <a:sysClr val="windowText" lastClr="000000"/>
              </a:solidFill>
              <a:latin typeface="+mn-lt"/>
              <a:cs typeface="Calibri"/>
            </a:rPr>
            <a:t> - </a:t>
          </a:r>
          <a:r>
            <a:rPr lang="en-US" sz="800" b="0" i="0" u="sng" strike="noStrike">
              <a:solidFill>
                <a:sysClr val="windowText" lastClr="000000"/>
              </a:solidFill>
              <a:latin typeface="+mn-lt"/>
              <a:cs typeface="Calibri"/>
            </a:rPr>
            <a:t>Proporção de TCO com remuneração Ganho</a:t>
          </a:r>
        </a:p>
        <a:p>
          <a:r>
            <a:rPr lang="en-US" sz="800" b="0" i="0" u="none" strike="noStrike">
              <a:solidFill>
                <a:sysClr val="windowText" lastClr="000000"/>
              </a:solidFill>
              <a:latin typeface="+mn-lt"/>
              <a:cs typeface="Calibri"/>
            </a:rPr>
            <a:t>&gt;= RMMG e  &lt; 1.000 €: 38,9% (-27,3 p.p face a 2013)</a:t>
          </a:r>
        </a:p>
        <a:p>
          <a:r>
            <a:rPr lang="en-US" sz="800" b="0" i="0" u="none" strike="noStrike">
              <a:solidFill>
                <a:sysClr val="windowText" lastClr="000000"/>
              </a:solidFill>
              <a:latin typeface="+mn-lt"/>
              <a:cs typeface="Calibri"/>
            </a:rPr>
            <a:t>= RMMG: 4,1% (+0,1 p.p. face a 2013)                                      </a:t>
          </a:r>
        </a:p>
        <a:p>
          <a:r>
            <a:rPr lang="en-US" sz="800" b="0" i="0" u="none" strike="noStrike">
              <a:solidFill>
                <a:sysClr val="windowText" lastClr="000000"/>
              </a:solidFill>
              <a:latin typeface="+mn-lt"/>
              <a:cs typeface="Calibri"/>
            </a:rPr>
            <a:t>&gt; RMMG e &lt; 1.000 €: 34,8% (- 27,4 p.p. face a 2013).</a:t>
          </a:r>
        </a:p>
        <a:p>
          <a:endParaRPr lang="en-US" sz="800" b="0" i="0" u="none" strike="noStrike" baseline="0">
            <a:solidFill>
              <a:sysClr val="windowText" lastClr="000000"/>
            </a:solidFill>
            <a:latin typeface="Calibri"/>
            <a:cs typeface="Calibri"/>
          </a:endParaRPr>
        </a:p>
      </xdr:txBody>
    </xdr:sp>
    <xdr:clientData/>
  </xdr:twoCellAnchor>
  <xdr:twoCellAnchor>
    <xdr:from>
      <xdr:col>26</xdr:col>
      <xdr:colOff>0</xdr:colOff>
      <xdr:row>37</xdr:row>
      <xdr:rowOff>0</xdr:rowOff>
    </xdr:from>
    <xdr:to>
      <xdr:col>33</xdr:col>
      <xdr:colOff>486834</xdr:colOff>
      <xdr:row>42</xdr:row>
      <xdr:rowOff>7938</xdr:rowOff>
    </xdr:to>
    <xdr:sp macro="" textlink="$AA$33">
      <xdr:nvSpPr>
        <xdr:cNvPr id="12" name="CaixaDeTexto 11">
          <a:extLst>
            <a:ext uri="{FF2B5EF4-FFF2-40B4-BE49-F238E27FC236}">
              <a16:creationId xmlns:a16="http://schemas.microsoft.com/office/drawing/2014/main" id="{00000000-0008-0000-1F00-00000C000000}"/>
            </a:ext>
          </a:extLst>
        </xdr:cNvPr>
        <xdr:cNvSpPr txBox="1"/>
      </xdr:nvSpPr>
      <xdr:spPr>
        <a:xfrm>
          <a:off x="15668625" y="5595938"/>
          <a:ext cx="4542897" cy="762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11BDB1A1-79D9-45A2-9F29-DA75D00D1B39}" type="TxLink">
            <a:rPr lang="en-US" sz="800" b="0" i="0" u="none" strike="noStrike">
              <a:solidFill>
                <a:srgbClr val="000000"/>
              </a:solidFill>
              <a:latin typeface="Calibri"/>
              <a:cs typeface="Calibri"/>
            </a:rPr>
            <a:pPr/>
            <a:t>2023 - Proporção de TCO com remuneração Ganho: Igual à RMMG e &lt; 1.000 €:  38,9% (-27,3 p.p. face a 2013):
Igual à RMMG: 4,1% (+0,1 p.p. face a 2013)
Entre RMMG e &lt; 1.000 €: 34,8% (-27,4 p.p. face a 2013).</a:t>
          </a:fld>
          <a:endParaRPr lang="en-US" sz="800" b="0" i="0" u="none" strike="noStrike" baseline="0">
            <a:solidFill>
              <a:sysClr val="windowText" lastClr="000000"/>
            </a:solidFill>
            <a:latin typeface="Calibri"/>
            <a:cs typeface="Calibri"/>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16</xdr:col>
      <xdr:colOff>333376</xdr:colOff>
      <xdr:row>11</xdr:row>
      <xdr:rowOff>89958</xdr:rowOff>
    </xdr:from>
    <xdr:to>
      <xdr:col>25</xdr:col>
      <xdr:colOff>590550</xdr:colOff>
      <xdr:row>21</xdr:row>
      <xdr:rowOff>87313</xdr:rowOff>
    </xdr:to>
    <xdr:graphicFrame macro="">
      <xdr:nvGraphicFramePr>
        <xdr:cNvPr id="10" name="Gráfico 9">
          <a:extLst>
            <a:ext uri="{FF2B5EF4-FFF2-40B4-BE49-F238E27FC236}">
              <a16:creationId xmlns:a16="http://schemas.microsoft.com/office/drawing/2014/main" id="{00000000-0008-0000-2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25</xdr:row>
      <xdr:rowOff>0</xdr:rowOff>
    </xdr:from>
    <xdr:to>
      <xdr:col>25</xdr:col>
      <xdr:colOff>516846</xdr:colOff>
      <xdr:row>34</xdr:row>
      <xdr:rowOff>73025</xdr:rowOff>
    </xdr:to>
    <xdr:grpSp>
      <xdr:nvGrpSpPr>
        <xdr:cNvPr id="13" name="Agrupar 12">
          <a:extLst>
            <a:ext uri="{FF2B5EF4-FFF2-40B4-BE49-F238E27FC236}">
              <a16:creationId xmlns:a16="http://schemas.microsoft.com/office/drawing/2014/main" id="{00000000-0008-0000-2000-00000D000000}"/>
            </a:ext>
          </a:extLst>
        </xdr:cNvPr>
        <xdr:cNvGrpSpPr/>
      </xdr:nvGrpSpPr>
      <xdr:grpSpPr>
        <a:xfrm>
          <a:off x="10969625" y="3968750"/>
          <a:ext cx="6628721" cy="1501775"/>
          <a:chOff x="9525000" y="4636111"/>
          <a:chExt cx="8715370" cy="3506179"/>
        </a:xfrm>
      </xdr:grpSpPr>
      <xdr:graphicFrame macro="">
        <xdr:nvGraphicFramePr>
          <xdr:cNvPr id="15" name="Gráfico 14">
            <a:extLst>
              <a:ext uri="{FF2B5EF4-FFF2-40B4-BE49-F238E27FC236}">
                <a16:creationId xmlns:a16="http://schemas.microsoft.com/office/drawing/2014/main" id="{00000000-0008-0000-2000-00000F000000}"/>
              </a:ext>
            </a:extLst>
          </xdr:cNvPr>
          <xdr:cNvGraphicFramePr>
            <a:graphicFrameLocks/>
          </xdr:cNvGraphicFramePr>
        </xdr:nvGraphicFramePr>
        <xdr:xfrm>
          <a:off x="9525000" y="4754563"/>
          <a:ext cx="4746624" cy="337185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7" name="Gráfico 16">
            <a:extLst>
              <a:ext uri="{FF2B5EF4-FFF2-40B4-BE49-F238E27FC236}">
                <a16:creationId xmlns:a16="http://schemas.microsoft.com/office/drawing/2014/main" id="{00000000-0008-0000-2000-000011000000}"/>
              </a:ext>
            </a:extLst>
          </xdr:cNvPr>
          <xdr:cNvGraphicFramePr>
            <a:graphicFrameLocks/>
          </xdr:cNvGraphicFramePr>
        </xdr:nvGraphicFramePr>
        <xdr:xfrm>
          <a:off x="13493746" y="4636111"/>
          <a:ext cx="4746624" cy="350617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12</xdr:col>
      <xdr:colOff>179917</xdr:colOff>
      <xdr:row>35</xdr:row>
      <xdr:rowOff>148167</xdr:rowOff>
    </xdr:from>
    <xdr:to>
      <xdr:col>33</xdr:col>
      <xdr:colOff>299029</xdr:colOff>
      <xdr:row>37</xdr:row>
      <xdr:rowOff>76200</xdr:rowOff>
    </xdr:to>
    <xdr:pic>
      <xdr:nvPicPr>
        <xdr:cNvPr id="18" name="Imagem 17">
          <a:extLst>
            <a:ext uri="{FF2B5EF4-FFF2-40B4-BE49-F238E27FC236}">
              <a16:creationId xmlns:a16="http://schemas.microsoft.com/office/drawing/2014/main" id="{00000000-0008-0000-2000-000012000000}"/>
            </a:ext>
          </a:extLst>
        </xdr:cNvPr>
        <xdr:cNvPicPr>
          <a:picLocks noChangeAspect="1"/>
        </xdr:cNvPicPr>
      </xdr:nvPicPr>
      <xdr:blipFill>
        <a:blip xmlns:r="http://schemas.openxmlformats.org/officeDocument/2006/relationships" r:embed="rId4"/>
        <a:stretch>
          <a:fillRect/>
        </a:stretch>
      </xdr:blipFill>
      <xdr:spPr>
        <a:xfrm>
          <a:off x="9255125" y="5815542"/>
          <a:ext cx="12898487" cy="250825"/>
        </a:xfrm>
        <a:prstGeom prst="rect">
          <a:avLst/>
        </a:prstGeom>
      </xdr:spPr>
    </xdr:pic>
    <xdr:clientData/>
  </xdr:twoCellAnchor>
  <xdr:twoCellAnchor>
    <xdr:from>
      <xdr:col>24</xdr:col>
      <xdr:colOff>476251</xdr:colOff>
      <xdr:row>57</xdr:row>
      <xdr:rowOff>121709</xdr:rowOff>
    </xdr:from>
    <xdr:to>
      <xdr:col>30</xdr:col>
      <xdr:colOff>316924</xdr:colOff>
      <xdr:row>60</xdr:row>
      <xdr:rowOff>118727</xdr:rowOff>
    </xdr:to>
    <xdr:sp macro="" textlink="">
      <xdr:nvSpPr>
        <xdr:cNvPr id="9" name="CaixaDeTexto 8">
          <a:extLst>
            <a:ext uri="{FF2B5EF4-FFF2-40B4-BE49-F238E27FC236}">
              <a16:creationId xmlns:a16="http://schemas.microsoft.com/office/drawing/2014/main" id="{00000000-0008-0000-2000-000009000000}"/>
            </a:ext>
          </a:extLst>
        </xdr:cNvPr>
        <xdr:cNvSpPr txBox="1"/>
      </xdr:nvSpPr>
      <xdr:spPr>
        <a:xfrm>
          <a:off x="17335501" y="9366251"/>
          <a:ext cx="3491923" cy="489143"/>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2023 - Remuneração média mensal Base</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90,6%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18,6%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24</xdr:col>
      <xdr:colOff>518773</xdr:colOff>
      <xdr:row>73</xdr:row>
      <xdr:rowOff>18085</xdr:rowOff>
    </xdr:from>
    <xdr:to>
      <xdr:col>30</xdr:col>
      <xdr:colOff>369259</xdr:colOff>
      <xdr:row>76</xdr:row>
      <xdr:rowOff>36269</xdr:rowOff>
    </xdr:to>
    <xdr:sp macro="" textlink="">
      <xdr:nvSpPr>
        <xdr:cNvPr id="11" name="CaixaDeTexto 10">
          <a:extLst>
            <a:ext uri="{FF2B5EF4-FFF2-40B4-BE49-F238E27FC236}">
              <a16:creationId xmlns:a16="http://schemas.microsoft.com/office/drawing/2014/main" id="{00000000-0008-0000-2000-00000B000000}"/>
            </a:ext>
          </a:extLst>
        </xdr:cNvPr>
        <xdr:cNvSpPr txBox="1"/>
      </xdr:nvSpPr>
      <xdr:spPr>
        <a:xfrm>
          <a:off x="17378023" y="11860835"/>
          <a:ext cx="3501736" cy="494434"/>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2023 - Remuneração média mensal Ganho</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89,3%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15,6%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21</xdr:col>
      <xdr:colOff>0</xdr:colOff>
      <xdr:row>40</xdr:row>
      <xdr:rowOff>0</xdr:rowOff>
    </xdr:from>
    <xdr:to>
      <xdr:col>28</xdr:col>
      <xdr:colOff>238538</xdr:colOff>
      <xdr:row>43</xdr:row>
      <xdr:rowOff>15490</xdr:rowOff>
    </xdr:to>
    <xdr:sp macro="" textlink="">
      <xdr:nvSpPr>
        <xdr:cNvPr id="12" name="CaixaDeTexto 11">
          <a:extLst>
            <a:ext uri="{FF2B5EF4-FFF2-40B4-BE49-F238E27FC236}">
              <a16:creationId xmlns:a16="http://schemas.microsoft.com/office/drawing/2014/main" id="{00000000-0008-0000-2000-00000C000000}"/>
            </a:ext>
          </a:extLst>
        </xdr:cNvPr>
        <xdr:cNvSpPr txBox="1"/>
      </xdr:nvSpPr>
      <xdr:spPr>
        <a:xfrm>
          <a:off x="15033625" y="6471708"/>
          <a:ext cx="4498330" cy="497032"/>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Calibri"/>
              <a:ea typeface="+mn-ea"/>
              <a:cs typeface="Calibri"/>
            </a:rPr>
            <a:t>2023: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abrangidos por </a:t>
          </a:r>
          <a:r>
            <a:rPr lang="en-US" sz="800" b="0" i="0" baseline="0">
              <a:effectLst/>
              <a:latin typeface="+mn-lt"/>
              <a:ea typeface="+mn-ea"/>
              <a:cs typeface="+mn-cs"/>
            </a:rPr>
            <a:t>Contratos Coletivos de Trabalho</a:t>
          </a: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69,3% (-4,2 p.p. face a 2013);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não abrangidos por IRCT: 16,7% (+5,9 p.p. face a 2013).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23</xdr:col>
      <xdr:colOff>354542</xdr:colOff>
      <xdr:row>52</xdr:row>
      <xdr:rowOff>42333</xdr:rowOff>
    </xdr:from>
    <xdr:to>
      <xdr:col>30</xdr:col>
      <xdr:colOff>593080</xdr:colOff>
      <xdr:row>55</xdr:row>
      <xdr:rowOff>52532</xdr:rowOff>
    </xdr:to>
    <xdr:sp macro="" textlink="$Z$45">
      <xdr:nvSpPr>
        <xdr:cNvPr id="14" name="CaixaDeTexto 13">
          <a:extLst>
            <a:ext uri="{FF2B5EF4-FFF2-40B4-BE49-F238E27FC236}">
              <a16:creationId xmlns:a16="http://schemas.microsoft.com/office/drawing/2014/main" id="{00000000-0008-0000-2000-00000E000000}"/>
            </a:ext>
          </a:extLst>
        </xdr:cNvPr>
        <xdr:cNvSpPr txBox="1"/>
      </xdr:nvSpPr>
      <xdr:spPr>
        <a:xfrm>
          <a:off x="16605250" y="8471958"/>
          <a:ext cx="4498330" cy="497032"/>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7382368A-6C49-4C52-B44F-250F6D11BD0E}"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defTabSz="914400" eaLnBrk="1" fontAlgn="auto" latinLnBrk="0" hangingPunct="1">
              <a:lnSpc>
                <a:spcPct val="100000"/>
              </a:lnSpc>
              <a:spcBef>
                <a:spcPts val="0"/>
              </a:spcBef>
              <a:spcAft>
                <a:spcPts val="0"/>
              </a:spcAft>
              <a:buClrTx/>
              <a:buSzTx/>
              <a:buFontTx/>
              <a:buNone/>
              <a:tabLst/>
              <a:defRPr/>
            </a:pPr>
            <a:t>2023:
TCO abrangidos por  Contrato Coletivo de Trabalho (CCT): 69,3% (-4,2 p.p.face a 2013);
TCO não abrangidos por IRCT: 16,7% (+5,9 p.p. face a 2013).</a:t>
          </a:fld>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24</xdr:col>
      <xdr:colOff>248710</xdr:colOff>
      <xdr:row>67</xdr:row>
      <xdr:rowOff>137583</xdr:rowOff>
    </xdr:from>
    <xdr:to>
      <xdr:col>31</xdr:col>
      <xdr:colOff>216960</xdr:colOff>
      <xdr:row>70</xdr:row>
      <xdr:rowOff>134601</xdr:rowOff>
    </xdr:to>
    <xdr:sp macro="" textlink="$Z$63">
      <xdr:nvSpPr>
        <xdr:cNvPr id="16" name="CaixaDeTexto 15">
          <a:extLst>
            <a:ext uri="{FF2B5EF4-FFF2-40B4-BE49-F238E27FC236}">
              <a16:creationId xmlns:a16="http://schemas.microsoft.com/office/drawing/2014/main" id="{00000000-0008-0000-2000-000010000000}"/>
            </a:ext>
          </a:extLst>
        </xdr:cNvPr>
        <xdr:cNvSpPr txBox="1"/>
      </xdr:nvSpPr>
      <xdr:spPr>
        <a:xfrm>
          <a:off x="17107960" y="11001375"/>
          <a:ext cx="4228042" cy="489143"/>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72BDEBDE-CFD5-4F05-B17D-59993B657981}"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defTabSz="914400" eaLnBrk="1" fontAlgn="auto" latinLnBrk="0" hangingPunct="1">
              <a:lnSpc>
                <a:spcPct val="100000"/>
              </a:lnSpc>
              <a:spcBef>
                <a:spcPts val="0"/>
              </a:spcBef>
              <a:spcAft>
                <a:spcPts val="0"/>
              </a:spcAft>
              <a:buClrTx/>
              <a:buSzTx/>
              <a:buFontTx/>
              <a:buNone/>
              <a:tabLst/>
              <a:defRPr/>
            </a:pPr>
            <a:t>2023 - Remuneração média mensal Base:
TCO abrangidos por  Contrato Coletivo de Trabalho (CCT): 90,6% da remuneração média total;
TCO não abrangidos por IRCT: 18,6% superior à remuneração média total.</a:t>
          </a:fld>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25</xdr:col>
      <xdr:colOff>0</xdr:colOff>
      <xdr:row>85</xdr:row>
      <xdr:rowOff>0</xdr:rowOff>
    </xdr:from>
    <xdr:to>
      <xdr:col>31</xdr:col>
      <xdr:colOff>576792</xdr:colOff>
      <xdr:row>88</xdr:row>
      <xdr:rowOff>12893</xdr:rowOff>
    </xdr:to>
    <xdr:sp macro="" textlink="$Z$80">
      <xdr:nvSpPr>
        <xdr:cNvPr id="19" name="CaixaDeTexto 18">
          <a:extLst>
            <a:ext uri="{FF2B5EF4-FFF2-40B4-BE49-F238E27FC236}">
              <a16:creationId xmlns:a16="http://schemas.microsoft.com/office/drawing/2014/main" id="{00000000-0008-0000-2000-000013000000}"/>
            </a:ext>
          </a:extLst>
        </xdr:cNvPr>
        <xdr:cNvSpPr txBox="1"/>
      </xdr:nvSpPr>
      <xdr:spPr>
        <a:xfrm>
          <a:off x="17467792" y="13753042"/>
          <a:ext cx="4228042" cy="489143"/>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87D13D7A-822D-4E80-A7CD-AAC00E14E98B}"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defTabSz="914400" eaLnBrk="1" fontAlgn="auto" latinLnBrk="0" hangingPunct="1">
              <a:lnSpc>
                <a:spcPct val="100000"/>
              </a:lnSpc>
              <a:spcBef>
                <a:spcPts val="0"/>
              </a:spcBef>
              <a:spcAft>
                <a:spcPts val="0"/>
              </a:spcAft>
              <a:buClrTx/>
              <a:buSzTx/>
              <a:buFontTx/>
              <a:buNone/>
              <a:tabLst/>
              <a:defRPr/>
            </a:pPr>
            <a:t>2023 - Remuneração média mensal Ganho:
TCO abrangidos por  Contrato Coletivo de Trabalho (CCT): 89,3% da remuneração média total;
TCO não abrangidos por IRCT: 15,6% superior à remuneração média total.</a:t>
          </a:fld>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376917</xdr:colOff>
      <xdr:row>14</xdr:row>
      <xdr:rowOff>149302</xdr:rowOff>
    </xdr:from>
    <xdr:to>
      <xdr:col>8</xdr:col>
      <xdr:colOff>121678</xdr:colOff>
      <xdr:row>16</xdr:row>
      <xdr:rowOff>11660</xdr:rowOff>
    </xdr:to>
    <xdr:grpSp>
      <xdr:nvGrpSpPr>
        <xdr:cNvPr id="5" name="Agrupar 4">
          <a:extLst>
            <a:ext uri="{FF2B5EF4-FFF2-40B4-BE49-F238E27FC236}">
              <a16:creationId xmlns:a16="http://schemas.microsoft.com/office/drawing/2014/main" id="{00000000-0008-0000-2100-000005000000}"/>
            </a:ext>
          </a:extLst>
        </xdr:cNvPr>
        <xdr:cNvGrpSpPr/>
      </xdr:nvGrpSpPr>
      <xdr:grpSpPr>
        <a:xfrm>
          <a:off x="6393542" y="2419427"/>
          <a:ext cx="355949" cy="179858"/>
          <a:chOff x="12471400" y="-18792954"/>
          <a:chExt cx="4940845" cy="28197304"/>
        </a:xfrm>
      </xdr:grpSpPr>
      <xdr:graphicFrame macro="">
        <xdr:nvGraphicFramePr>
          <xdr:cNvPr id="27" name="Gráfico 26">
            <a:extLst>
              <a:ext uri="{FF2B5EF4-FFF2-40B4-BE49-F238E27FC236}">
                <a16:creationId xmlns:a16="http://schemas.microsoft.com/office/drawing/2014/main" id="{00000000-0008-0000-2100-00001B000000}"/>
              </a:ext>
            </a:extLst>
          </xdr:cNvPr>
          <xdr:cNvGraphicFramePr/>
        </xdr:nvGraphicFramePr>
        <xdr:xfrm>
          <a:off x="12471400" y="6327775"/>
          <a:ext cx="4625974" cy="3076575"/>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2" name="Imagem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2786271" y="-18792954"/>
            <a:ext cx="4625974" cy="3076575"/>
          </a:xfrm>
          <a:prstGeom prst="rect">
            <a:avLst/>
          </a:prstGeom>
        </xdr:spPr>
      </xdr:pic>
      <xdr:pic>
        <xdr:nvPicPr>
          <xdr:cNvPr id="3" name="Imagem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3"/>
          <a:stretch>
            <a:fillRect/>
          </a:stretch>
        </xdr:blipFill>
        <xdr:spPr>
          <a:xfrm>
            <a:off x="15049499" y="6362701"/>
            <a:ext cx="1749005" cy="341874"/>
          </a:xfrm>
          <a:prstGeom prst="rect">
            <a:avLst/>
          </a:prstGeom>
        </xdr:spPr>
      </xdr:pic>
    </xdr:grpSp>
    <xdr:clientData/>
  </xdr:twoCellAnchor>
  <xdr:twoCellAnchor>
    <xdr:from>
      <xdr:col>15</xdr:col>
      <xdr:colOff>220542</xdr:colOff>
      <xdr:row>28</xdr:row>
      <xdr:rowOff>156596</xdr:rowOff>
    </xdr:from>
    <xdr:to>
      <xdr:col>26</xdr:col>
      <xdr:colOff>354596</xdr:colOff>
      <xdr:row>55</xdr:row>
      <xdr:rowOff>98347</xdr:rowOff>
    </xdr:to>
    <xdr:grpSp>
      <xdr:nvGrpSpPr>
        <xdr:cNvPr id="4" name="Agrupar 3">
          <a:extLst>
            <a:ext uri="{FF2B5EF4-FFF2-40B4-BE49-F238E27FC236}">
              <a16:creationId xmlns:a16="http://schemas.microsoft.com/office/drawing/2014/main" id="{00000000-0008-0000-2100-000004000000}"/>
            </a:ext>
          </a:extLst>
        </xdr:cNvPr>
        <xdr:cNvGrpSpPr/>
      </xdr:nvGrpSpPr>
      <xdr:grpSpPr>
        <a:xfrm>
          <a:off x="11340980" y="4649221"/>
          <a:ext cx="6857116" cy="4370876"/>
          <a:chOff x="11979588" y="4696211"/>
          <a:chExt cx="7182554" cy="4621183"/>
        </a:xfrm>
      </xdr:grpSpPr>
      <xdr:sp macro="" textlink="">
        <xdr:nvSpPr>
          <xdr:cNvPr id="97" name="CaixaDeTexto 1">
            <a:extLst>
              <a:ext uri="{FF2B5EF4-FFF2-40B4-BE49-F238E27FC236}">
                <a16:creationId xmlns:a16="http://schemas.microsoft.com/office/drawing/2014/main" id="{00000000-0008-0000-2100-000061000000}"/>
              </a:ext>
            </a:extLst>
          </xdr:cNvPr>
          <xdr:cNvSpPr txBox="1"/>
        </xdr:nvSpPr>
        <xdr:spPr>
          <a:xfrm>
            <a:off x="14022264" y="5510169"/>
            <a:ext cx="2577157" cy="248134"/>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800" b="1" i="0" u="none" strike="noStrike" kern="0" cap="none" spc="0" normalizeH="0" baseline="0" noProof="0">
                <a:ln>
                  <a:noFill/>
                </a:ln>
                <a:solidFill>
                  <a:srgbClr val="1F497D"/>
                </a:solidFill>
                <a:effectLst/>
                <a:uLnTx/>
                <a:uFillTx/>
                <a:latin typeface="Calibri"/>
              </a:rPr>
              <a:t>Ganho mensal - média por decil (share)</a:t>
            </a:r>
          </a:p>
        </xdr:txBody>
      </xdr:sp>
      <xdr:grpSp>
        <xdr:nvGrpSpPr>
          <xdr:cNvPr id="98" name="Agrupar 97">
            <a:extLst>
              <a:ext uri="{FF2B5EF4-FFF2-40B4-BE49-F238E27FC236}">
                <a16:creationId xmlns:a16="http://schemas.microsoft.com/office/drawing/2014/main" id="{00000000-0008-0000-2100-000062000000}"/>
              </a:ext>
            </a:extLst>
          </xdr:cNvPr>
          <xdr:cNvGrpSpPr/>
        </xdr:nvGrpSpPr>
        <xdr:grpSpPr>
          <a:xfrm>
            <a:off x="11985360" y="5121142"/>
            <a:ext cx="7182554" cy="4577251"/>
            <a:chOff x="41280657" y="498109"/>
            <a:chExt cx="7042547" cy="3855793"/>
          </a:xfrm>
        </xdr:grpSpPr>
        <xdr:graphicFrame macro="">
          <xdr:nvGraphicFramePr>
            <xdr:cNvPr id="112" name="Gráfico 111">
              <a:extLst>
                <a:ext uri="{FF2B5EF4-FFF2-40B4-BE49-F238E27FC236}">
                  <a16:creationId xmlns:a16="http://schemas.microsoft.com/office/drawing/2014/main" id="{00000000-0008-0000-2100-000070000000}"/>
                </a:ext>
              </a:extLst>
            </xdr:cNvPr>
            <xdr:cNvGraphicFramePr>
              <a:graphicFrameLocks/>
            </xdr:cNvGraphicFramePr>
          </xdr:nvGraphicFramePr>
          <xdr:xfrm>
            <a:off x="41280657" y="498109"/>
            <a:ext cx="7042547" cy="385579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100" name="Agrupar 99">
              <a:extLst>
                <a:ext uri="{FF2B5EF4-FFF2-40B4-BE49-F238E27FC236}">
                  <a16:creationId xmlns:a16="http://schemas.microsoft.com/office/drawing/2014/main" id="{00000000-0008-0000-2100-000064000000}"/>
                </a:ext>
              </a:extLst>
            </xdr:cNvPr>
            <xdr:cNvGrpSpPr/>
          </xdr:nvGrpSpPr>
          <xdr:grpSpPr>
            <a:xfrm>
              <a:off x="47167078" y="612444"/>
              <a:ext cx="884892" cy="3010707"/>
              <a:chOff x="47167078" y="612444"/>
              <a:chExt cx="884892" cy="3010707"/>
            </a:xfrm>
          </xdr:grpSpPr>
          <xdr:grpSp>
            <xdr:nvGrpSpPr>
              <xdr:cNvPr id="101" name="Agrupar 100">
                <a:extLst>
                  <a:ext uri="{FF2B5EF4-FFF2-40B4-BE49-F238E27FC236}">
                    <a16:creationId xmlns:a16="http://schemas.microsoft.com/office/drawing/2014/main" id="{00000000-0008-0000-2100-000065000000}"/>
                  </a:ext>
                </a:extLst>
              </xdr:cNvPr>
              <xdr:cNvGrpSpPr/>
            </xdr:nvGrpSpPr>
            <xdr:grpSpPr>
              <a:xfrm>
                <a:off x="47621043" y="612444"/>
                <a:ext cx="430927" cy="3010707"/>
                <a:chOff x="48732293" y="237794"/>
                <a:chExt cx="430927" cy="3010707"/>
              </a:xfrm>
            </xdr:grpSpPr>
            <xdr:sp macro="" textlink="">
              <xdr:nvSpPr>
                <xdr:cNvPr id="107" name="Retângulo: Cantos Diagonais Arredondados 106">
                  <a:extLst>
                    <a:ext uri="{FF2B5EF4-FFF2-40B4-BE49-F238E27FC236}">
                      <a16:creationId xmlns:a16="http://schemas.microsoft.com/office/drawing/2014/main" id="{00000000-0008-0000-2100-00006B000000}"/>
                    </a:ext>
                  </a:extLst>
                </xdr:cNvPr>
                <xdr:cNvSpPr/>
              </xdr:nvSpPr>
              <xdr:spPr>
                <a:xfrm>
                  <a:off x="48732293" y="237794"/>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D10</a:t>
                  </a:r>
                </a:p>
              </xdr:txBody>
            </xdr:sp>
            <xdr:sp macro="" textlink="">
              <xdr:nvSpPr>
                <xdr:cNvPr id="108" name="Retângulo: Cantos Diagonais Arredondados 107">
                  <a:extLst>
                    <a:ext uri="{FF2B5EF4-FFF2-40B4-BE49-F238E27FC236}">
                      <a16:creationId xmlns:a16="http://schemas.microsoft.com/office/drawing/2014/main" id="{00000000-0008-0000-2100-00006C000000}"/>
                    </a:ext>
                  </a:extLst>
                </xdr:cNvPr>
                <xdr:cNvSpPr/>
              </xdr:nvSpPr>
              <xdr:spPr>
                <a:xfrm>
                  <a:off x="48733037" y="1744645"/>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D9</a:t>
                  </a:r>
                </a:p>
              </xdr:txBody>
            </xdr:sp>
            <xdr:sp macro="" textlink="">
              <xdr:nvSpPr>
                <xdr:cNvPr id="109" name="Retângulo: Cantos Diagonais Arredondados 108">
                  <a:extLst>
                    <a:ext uri="{FF2B5EF4-FFF2-40B4-BE49-F238E27FC236}">
                      <a16:creationId xmlns:a16="http://schemas.microsoft.com/office/drawing/2014/main" id="{00000000-0008-0000-2100-00006D000000}"/>
                    </a:ext>
                  </a:extLst>
                </xdr:cNvPr>
                <xdr:cNvSpPr/>
              </xdr:nvSpPr>
              <xdr:spPr>
                <a:xfrm>
                  <a:off x="48749178" y="2417956"/>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D5</a:t>
                  </a:r>
                </a:p>
              </xdr:txBody>
            </xdr:sp>
            <xdr:sp macro="" textlink="">
              <xdr:nvSpPr>
                <xdr:cNvPr id="110" name="Retângulo: Cantos Diagonais Arredondados 109">
                  <a:extLst>
                    <a:ext uri="{FF2B5EF4-FFF2-40B4-BE49-F238E27FC236}">
                      <a16:creationId xmlns:a16="http://schemas.microsoft.com/office/drawing/2014/main" id="{00000000-0008-0000-2100-00006E000000}"/>
                    </a:ext>
                  </a:extLst>
                </xdr:cNvPr>
                <xdr:cNvSpPr/>
              </xdr:nvSpPr>
              <xdr:spPr>
                <a:xfrm>
                  <a:off x="48756206" y="2813131"/>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D2</a:t>
                  </a:r>
                </a:p>
              </xdr:txBody>
            </xdr:sp>
            <xdr:sp macro="" textlink="">
              <xdr:nvSpPr>
                <xdr:cNvPr id="111" name="Retângulo: Cantos Diagonais Arredondados 110">
                  <a:extLst>
                    <a:ext uri="{FF2B5EF4-FFF2-40B4-BE49-F238E27FC236}">
                      <a16:creationId xmlns:a16="http://schemas.microsoft.com/office/drawing/2014/main" id="{00000000-0008-0000-2100-00006F000000}"/>
                    </a:ext>
                  </a:extLst>
                </xdr:cNvPr>
                <xdr:cNvSpPr/>
              </xdr:nvSpPr>
              <xdr:spPr>
                <a:xfrm>
                  <a:off x="48754505" y="3093040"/>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D1</a:t>
                  </a:r>
                </a:p>
              </xdr:txBody>
            </xdr:sp>
          </xdr:grpSp>
          <xdr:cxnSp macro="">
            <xdr:nvCxnSpPr>
              <xdr:cNvPr id="102" name="Conexão reta 101">
                <a:extLst>
                  <a:ext uri="{FF2B5EF4-FFF2-40B4-BE49-F238E27FC236}">
                    <a16:creationId xmlns:a16="http://schemas.microsoft.com/office/drawing/2014/main" id="{00000000-0008-0000-2100-000066000000}"/>
                  </a:ext>
                </a:extLst>
              </xdr:cNvPr>
              <xdr:cNvCxnSpPr>
                <a:endCxn id="107" idx="2"/>
              </xdr:cNvCxnSpPr>
            </xdr:nvCxnSpPr>
            <xdr:spPr>
              <a:xfrm flipV="1">
                <a:off x="47167078" y="690175"/>
                <a:ext cx="453965" cy="117470"/>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103" name="Conexão reta 102">
                <a:extLst>
                  <a:ext uri="{FF2B5EF4-FFF2-40B4-BE49-F238E27FC236}">
                    <a16:creationId xmlns:a16="http://schemas.microsoft.com/office/drawing/2014/main" id="{00000000-0008-0000-2100-000067000000}"/>
                  </a:ext>
                </a:extLst>
              </xdr:cNvPr>
              <xdr:cNvCxnSpPr>
                <a:endCxn id="108" idx="2"/>
              </xdr:cNvCxnSpPr>
            </xdr:nvCxnSpPr>
            <xdr:spPr>
              <a:xfrm flipV="1">
                <a:off x="47180861" y="2197024"/>
                <a:ext cx="440926" cy="155007"/>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104" name="Conexão reta 103">
                <a:extLst>
                  <a:ext uri="{FF2B5EF4-FFF2-40B4-BE49-F238E27FC236}">
                    <a16:creationId xmlns:a16="http://schemas.microsoft.com/office/drawing/2014/main" id="{00000000-0008-0000-2100-000068000000}"/>
                  </a:ext>
                </a:extLst>
              </xdr:cNvPr>
              <xdr:cNvCxnSpPr/>
            </xdr:nvCxnSpPr>
            <xdr:spPr>
              <a:xfrm flipV="1">
                <a:off x="47214300" y="2945844"/>
                <a:ext cx="522836" cy="237394"/>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105" name="Conexão reta 104">
                <a:extLst>
                  <a:ext uri="{FF2B5EF4-FFF2-40B4-BE49-F238E27FC236}">
                    <a16:creationId xmlns:a16="http://schemas.microsoft.com/office/drawing/2014/main" id="{00000000-0008-0000-2100-000069000000}"/>
                  </a:ext>
                </a:extLst>
              </xdr:cNvPr>
              <xdr:cNvCxnSpPr/>
            </xdr:nvCxnSpPr>
            <xdr:spPr>
              <a:xfrm flipV="1">
                <a:off x="47191707" y="3267484"/>
                <a:ext cx="459992" cy="78008"/>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106" name="Conexão reta 105">
                <a:extLst>
                  <a:ext uri="{FF2B5EF4-FFF2-40B4-BE49-F238E27FC236}">
                    <a16:creationId xmlns:a16="http://schemas.microsoft.com/office/drawing/2014/main" id="{00000000-0008-0000-2100-00006A000000}"/>
                  </a:ext>
                </a:extLst>
              </xdr:cNvPr>
              <xdr:cNvCxnSpPr/>
            </xdr:nvCxnSpPr>
            <xdr:spPr>
              <a:xfrm>
                <a:off x="47224045" y="3402150"/>
                <a:ext cx="443236" cy="76546"/>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grpSp>
      </xdr:grpSp>
    </xdr:grpSp>
    <xdr:clientData/>
  </xdr:twoCellAnchor>
  <xdr:twoCellAnchor>
    <xdr:from>
      <xdr:col>12</xdr:col>
      <xdr:colOff>184728</xdr:colOff>
      <xdr:row>83</xdr:row>
      <xdr:rowOff>150091</xdr:rowOff>
    </xdr:from>
    <xdr:to>
      <xdr:col>21</xdr:col>
      <xdr:colOff>174625</xdr:colOff>
      <xdr:row>90</xdr:row>
      <xdr:rowOff>11545</xdr:rowOff>
    </xdr:to>
    <xdr:sp macro="" textlink="">
      <xdr:nvSpPr>
        <xdr:cNvPr id="28" name="CaixaDeTexto 27">
          <a:extLst>
            <a:ext uri="{FF2B5EF4-FFF2-40B4-BE49-F238E27FC236}">
              <a16:creationId xmlns:a16="http://schemas.microsoft.com/office/drawing/2014/main" id="{00000000-0008-0000-2100-00001C000000}"/>
            </a:ext>
          </a:extLst>
        </xdr:cNvPr>
        <xdr:cNvSpPr txBox="1"/>
      </xdr:nvSpPr>
      <xdr:spPr>
        <a:xfrm>
          <a:off x="9257291" y="13540654"/>
          <a:ext cx="5704897" cy="97270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ea typeface="+mn-ea"/>
              <a:cs typeface="Calibri"/>
            </a:rPr>
            <a:t>Ganho mediano:     </a:t>
          </a:r>
          <a:r>
            <a:rPr lang="en-US" sz="800" b="1" i="0" u="none" strike="noStrike" baseline="0">
              <a:solidFill>
                <a:sysClr val="windowText" lastClr="000000"/>
              </a:solidFill>
              <a:latin typeface="+mn-lt"/>
              <a:ea typeface="+mn-ea"/>
              <a:cs typeface="Calibri"/>
            </a:rPr>
            <a:t>                                                                                                 Incidência de baixos salários:</a:t>
          </a:r>
          <a:endParaRPr lang="en-US" sz="800" b="1" i="0" u="none" strike="noStrike">
            <a:solidFill>
              <a:sysClr val="windowText" lastClr="000000"/>
            </a:solidFill>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u="sng" strike="noStrike">
              <a:solidFill>
                <a:sysClr val="windowText" lastClr="000000"/>
              </a:solidFill>
              <a:latin typeface="+mn-lt"/>
              <a:ea typeface="+mn-ea"/>
              <a:cs typeface="Calibri"/>
            </a:rPr>
            <a:t>2023:</a:t>
          </a:r>
          <a:r>
            <a:rPr lang="en-US" sz="800" b="0" i="0" u="none" strike="noStrike">
              <a:solidFill>
                <a:sysClr val="windowText" lastClr="000000"/>
              </a:solidFill>
              <a:latin typeface="+mn-lt"/>
              <a:ea typeface="+mn-ea"/>
              <a:cs typeface="Calibri"/>
            </a:rPr>
            <a:t> Metade dos TCO ganhava até 1.100 euros (+40,1% face a 2013).       </a:t>
          </a:r>
          <a:r>
            <a:rPr lang="en-US" sz="800" b="0" i="0" u="sng" strike="noStrike">
              <a:solidFill>
                <a:sysClr val="windowText" lastClr="000000"/>
              </a:solidFill>
              <a:latin typeface="+mn-lt"/>
              <a:ea typeface="+mn-ea"/>
              <a:cs typeface="Calibri"/>
            </a:rPr>
            <a:t>2013 - 2016</a:t>
          </a:r>
          <a:r>
            <a:rPr lang="en-US" sz="800" b="0" i="0" u="none" strike="noStrike">
              <a:solidFill>
                <a:sysClr val="windowText" lastClr="000000"/>
              </a:solidFill>
              <a:latin typeface="+mn-lt"/>
              <a:ea typeface="+mn-ea"/>
              <a:cs typeface="Calibri"/>
            </a:rPr>
            <a:t>: Total</a:t>
          </a:r>
          <a:r>
            <a:rPr lang="en-US" sz="800" b="0" i="0" u="none" strike="noStrike" baseline="0">
              <a:solidFill>
                <a:sysClr val="windowText" lastClr="000000"/>
              </a:solidFill>
              <a:latin typeface="+mn-lt"/>
              <a:ea typeface="+mn-ea"/>
              <a:cs typeface="Calibri"/>
            </a:rPr>
            <a:t> entre 7,59% e 5,86%;</a:t>
          </a:r>
          <a:r>
            <a:rPr lang="en-US" sz="800" b="0" i="0" u="none" strike="noStrike">
              <a:solidFill>
                <a:sysClr val="windowText" lastClr="000000"/>
              </a:solidFill>
              <a:latin typeface="+mn-lt"/>
              <a:ea typeface="+mn-ea"/>
              <a:cs typeface="Calibri"/>
            </a:rPr>
            <a:t> </a:t>
          </a:r>
        </a:p>
        <a:p>
          <a:r>
            <a:rPr lang="en-US" sz="800" b="1" i="0" u="none" strike="noStrike">
              <a:solidFill>
                <a:sysClr val="windowText" lastClr="000000"/>
              </a:solidFill>
              <a:latin typeface="+mn-lt"/>
              <a:ea typeface="+mn-ea"/>
              <a:cs typeface="Calibri"/>
            </a:rPr>
            <a:t>RMMG:			</a:t>
          </a:r>
          <a:r>
            <a:rPr lang="en-US" sz="800" b="1" i="0" u="none" strike="noStrike" baseline="0">
              <a:solidFill>
                <a:sysClr val="windowText" lastClr="000000"/>
              </a:solidFill>
              <a:latin typeface="+mn-lt"/>
              <a:ea typeface="+mn-ea"/>
              <a:cs typeface="Calibri"/>
            </a:rPr>
            <a:t>                                      </a:t>
          </a:r>
          <a:r>
            <a:rPr lang="en-US" sz="800" b="0" i="0" u="none" strike="noStrike" baseline="0">
              <a:solidFill>
                <a:sysClr val="windowText" lastClr="000000"/>
              </a:solidFill>
              <a:latin typeface="+mn-lt"/>
              <a:ea typeface="+mn-ea"/>
              <a:cs typeface="Calibri"/>
            </a:rPr>
            <a:t>Homens: entre 5,46% e 4,38%;</a:t>
          </a:r>
          <a:endParaRPr lang="en-US" sz="800" b="0" i="0" u="none" strike="noStrike">
            <a:solidFill>
              <a:sysClr val="windowText" lastClr="000000"/>
            </a:solidFill>
            <a:latin typeface="+mn-lt"/>
            <a:ea typeface="+mn-ea"/>
            <a:cs typeface="Calibri"/>
          </a:endParaRPr>
        </a:p>
        <a:p>
          <a:r>
            <a:rPr lang="en-US" sz="800" b="0" i="0" u="sng" strike="noStrike">
              <a:solidFill>
                <a:sysClr val="windowText" lastClr="000000"/>
              </a:solidFill>
              <a:latin typeface="+mn-lt"/>
              <a:cs typeface="Calibri"/>
            </a:rPr>
            <a:t>2013 -</a:t>
          </a:r>
          <a:r>
            <a:rPr lang="en-US" sz="800" b="0" i="0" u="sng" strike="noStrike" baseline="0">
              <a:solidFill>
                <a:sysClr val="windowText" lastClr="000000"/>
              </a:solidFill>
              <a:latin typeface="+mn-lt"/>
              <a:cs typeface="Calibri"/>
            </a:rPr>
            <a:t> </a:t>
          </a:r>
          <a:r>
            <a:rPr lang="en-US" sz="800" b="0" i="0" u="sng" strike="noStrike">
              <a:solidFill>
                <a:sysClr val="windowText" lastClr="000000"/>
              </a:solidFill>
              <a:latin typeface="+mn-lt"/>
              <a:cs typeface="Calibri"/>
            </a:rPr>
            <a:t>2016</a:t>
          </a:r>
          <a:r>
            <a:rPr lang="en-US" sz="800" b="0" i="0" u="none" strike="noStrike">
              <a:solidFill>
                <a:sysClr val="windowText" lastClr="000000"/>
              </a:solidFill>
              <a:latin typeface="+mn-lt"/>
              <a:cs typeface="Calibri"/>
            </a:rPr>
            <a:t>:</a:t>
          </a:r>
          <a:r>
            <a:rPr lang="en-US" sz="800" b="0" i="0" u="none" strike="noStrike" baseline="0">
              <a:solidFill>
                <a:sysClr val="windowText" lastClr="000000"/>
              </a:solidFill>
              <a:latin typeface="+mn-lt"/>
              <a:cs typeface="Calibri"/>
            </a:rPr>
            <a:t> aumento de 4,1%;		                                      Mulheres: entre 10,09% e 7,59%</a:t>
          </a:r>
        </a:p>
        <a:p>
          <a:r>
            <a:rPr lang="en-US" sz="800" b="0" i="0" u="sng" strike="noStrike">
              <a:solidFill>
                <a:sysClr val="windowText" lastClr="000000"/>
              </a:solidFill>
              <a:latin typeface="+mn-lt"/>
              <a:cs typeface="Calibri"/>
            </a:rPr>
            <a:t>2016 - 2023</a:t>
          </a:r>
          <a:r>
            <a:rPr lang="en-US" sz="800" b="0" i="0" u="none" strike="noStrike">
              <a:solidFill>
                <a:sysClr val="windowText" lastClr="000000"/>
              </a:solidFill>
              <a:latin typeface="+mn-lt"/>
              <a:cs typeface="Calibri"/>
            </a:rPr>
            <a:t>: aumento de 39,6%;		</a:t>
          </a:r>
          <a:r>
            <a:rPr lang="en-US" sz="800" b="0" i="0" u="none" strike="noStrike" baseline="0">
              <a:solidFill>
                <a:sysClr val="windowText" lastClr="000000"/>
              </a:solidFill>
              <a:latin typeface="+mn-lt"/>
              <a:cs typeface="Calibri"/>
            </a:rPr>
            <a:t>              </a:t>
          </a:r>
          <a:r>
            <a:rPr lang="en-US" sz="800" b="0" i="0" u="sng" strike="noStrike" baseline="0">
              <a:solidFill>
                <a:sysClr val="windowText" lastClr="000000"/>
              </a:solidFill>
              <a:latin typeface="+mn-lt"/>
              <a:cs typeface="Calibri"/>
            </a:rPr>
            <a:t>2017 - 2023</a:t>
          </a:r>
          <a:r>
            <a:rPr lang="en-US" sz="800" b="0" i="0" u="none" strike="noStrike" baseline="0">
              <a:solidFill>
                <a:sysClr val="windowText" lastClr="000000"/>
              </a:solidFill>
              <a:latin typeface="+mn-lt"/>
              <a:cs typeface="Calibri"/>
            </a:rPr>
            <a:t>: Total entre 0,19% e 0,10%;</a:t>
          </a:r>
          <a:endParaRPr lang="en-US" sz="800" b="0" i="0" u="none" strike="noStrike">
            <a:solidFill>
              <a:sysClr val="windowText" lastClr="000000"/>
            </a:solidFill>
            <a:latin typeface="+mn-lt"/>
            <a:cs typeface="Calibri"/>
          </a:endParaRPr>
        </a:p>
        <a:p>
          <a:r>
            <a:rPr lang="en-US" sz="800" b="0" i="0" u="sng" strike="noStrike">
              <a:solidFill>
                <a:sysClr val="windowText" lastClr="000000"/>
              </a:solidFill>
              <a:latin typeface="+mn-lt"/>
              <a:cs typeface="Calibri"/>
            </a:rPr>
            <a:t>2017:</a:t>
          </a:r>
          <a:r>
            <a:rPr lang="en-US" sz="800" b="0" i="0" u="sng" strike="noStrike" baseline="0">
              <a:solidFill>
                <a:sysClr val="windowText" lastClr="000000"/>
              </a:solidFill>
              <a:latin typeface="+mn-lt"/>
              <a:cs typeface="Calibri"/>
            </a:rPr>
            <a:t> </a:t>
          </a:r>
          <a:r>
            <a:rPr lang="en-US" sz="800" b="0" i="0" u="none" strike="noStrike" baseline="0">
              <a:solidFill>
                <a:sysClr val="windowText" lastClr="000000"/>
              </a:solidFill>
              <a:latin typeface="+mn-lt"/>
              <a:cs typeface="Calibri"/>
            </a:rPr>
            <a:t>RMMG &gt; limiar de baixos salários, </a:t>
          </a:r>
          <a:r>
            <a:rPr lang="en-US" sz="800" b="0" i="0" u="none" strike="noStrike">
              <a:solidFill>
                <a:sysClr val="windowText" lastClr="000000"/>
              </a:solidFill>
              <a:latin typeface="+mn-lt"/>
              <a:cs typeface="Calibri"/>
            </a:rPr>
            <a:t>pela primeira vez.                                                    Homens entre 0,10% e 0,07% (2020 e 2021);</a:t>
          </a:r>
        </a:p>
        <a:p>
          <a:r>
            <a:rPr lang="en-US" sz="800" b="0" i="0" u="none" strike="noStrike">
              <a:solidFill>
                <a:sysClr val="windowText" lastClr="000000"/>
              </a:solidFill>
              <a:latin typeface="+mn-lt"/>
              <a:cs typeface="Calibri"/>
            </a:rPr>
            <a:t>			</a:t>
          </a:r>
          <a:r>
            <a:rPr lang="en-US" sz="800" b="0" i="0" u="none" strike="noStrike" baseline="0">
              <a:solidFill>
                <a:sysClr val="windowText" lastClr="000000"/>
              </a:solidFill>
              <a:latin typeface="+mn-lt"/>
              <a:cs typeface="Calibri"/>
            </a:rPr>
            <a:t>                                      </a:t>
          </a:r>
          <a:r>
            <a:rPr lang="en-US" sz="800" b="0" i="0" u="none" strike="noStrike">
              <a:solidFill>
                <a:sysClr val="windowText" lastClr="000000"/>
              </a:solidFill>
              <a:latin typeface="+mn-lt"/>
              <a:cs typeface="Calibri"/>
            </a:rPr>
            <a:t>Mulheres entre 0,29% e 0,13%    </a:t>
          </a:r>
        </a:p>
        <a:p>
          <a:endParaRPr lang="en-US" sz="800" b="0" i="0" u="none" strike="noStrike">
            <a:solidFill>
              <a:sysClr val="windowText" lastClr="000000"/>
            </a:solidFill>
            <a:latin typeface="+mn-lt"/>
            <a:cs typeface="Calibri"/>
          </a:endParaRPr>
        </a:p>
      </xdr:txBody>
    </xdr:sp>
    <xdr:clientData/>
  </xdr:twoCellAnchor>
  <xdr:twoCellAnchor>
    <xdr:from>
      <xdr:col>16</xdr:col>
      <xdr:colOff>568614</xdr:colOff>
      <xdr:row>59</xdr:row>
      <xdr:rowOff>88755</xdr:rowOff>
    </xdr:from>
    <xdr:to>
      <xdr:col>27</xdr:col>
      <xdr:colOff>474159</xdr:colOff>
      <xdr:row>60</xdr:row>
      <xdr:rowOff>66374</xdr:rowOff>
    </xdr:to>
    <xdr:sp macro="" textlink="">
      <xdr:nvSpPr>
        <xdr:cNvPr id="29" name="CaixaDeTexto 28">
          <a:extLst>
            <a:ext uri="{FF2B5EF4-FFF2-40B4-BE49-F238E27FC236}">
              <a16:creationId xmlns:a16="http://schemas.microsoft.com/office/drawing/2014/main" id="{00000000-0008-0000-2100-00001D000000}"/>
            </a:ext>
          </a:extLst>
        </xdr:cNvPr>
        <xdr:cNvSpPr txBox="1"/>
      </xdr:nvSpPr>
      <xdr:spPr>
        <a:xfrm>
          <a:off x="12300239" y="9669318"/>
          <a:ext cx="6628608" cy="136369"/>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Nota: D</a:t>
          </a:r>
          <a:r>
            <a:rPr lang="pt-PT" sz="600" b="0" i="0" baseline="-25000">
              <a:solidFill>
                <a:schemeClr val="tx1">
                  <a:lumMod val="50000"/>
                  <a:lumOff val="50000"/>
                </a:schemeClr>
              </a:solidFill>
              <a:effectLst/>
              <a:latin typeface="+mn-lt"/>
              <a:ea typeface="+mn-ea"/>
              <a:cs typeface="+mn-cs"/>
            </a:rPr>
            <a:t>k</a:t>
          </a:r>
          <a:r>
            <a:rPr lang="pt-PT" sz="600" b="0" i="0" baseline="0">
              <a:solidFill>
                <a:schemeClr val="tx1">
                  <a:lumMod val="50000"/>
                  <a:lumOff val="50000"/>
                </a:schemeClr>
              </a:solidFill>
              <a:effectLst/>
              <a:latin typeface="+mn-lt"/>
              <a:ea typeface="+mn-ea"/>
              <a:cs typeface="+mn-cs"/>
            </a:rPr>
            <a:t> representa a média do ganho recebido pelos 10% da população no decil k, por exemplo, D1 representa a média do ganho recebido pelos 10% da população com menor remuneração ganho. </a:t>
          </a:r>
          <a:endPar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endParaRPr>
        </a:p>
      </xdr:txBody>
    </xdr:sp>
    <xdr:clientData/>
  </xdr:twoCellAnchor>
  <xdr:twoCellAnchor>
    <xdr:from>
      <xdr:col>1</xdr:col>
      <xdr:colOff>583046</xdr:colOff>
      <xdr:row>49</xdr:row>
      <xdr:rowOff>138545</xdr:rowOff>
    </xdr:from>
    <xdr:to>
      <xdr:col>11</xdr:col>
      <xdr:colOff>608157</xdr:colOff>
      <xdr:row>55</xdr:row>
      <xdr:rowOff>7938</xdr:rowOff>
    </xdr:to>
    <xdr:sp macro="" textlink="">
      <xdr:nvSpPr>
        <xdr:cNvPr id="30" name="CaixaDeTexto 29">
          <a:extLst>
            <a:ext uri="{FF2B5EF4-FFF2-40B4-BE49-F238E27FC236}">
              <a16:creationId xmlns:a16="http://schemas.microsoft.com/office/drawing/2014/main" id="{00000000-0008-0000-2100-00001E000000}"/>
            </a:ext>
          </a:extLst>
        </xdr:cNvPr>
        <xdr:cNvSpPr txBox="1"/>
      </xdr:nvSpPr>
      <xdr:spPr>
        <a:xfrm>
          <a:off x="2900796" y="8107795"/>
          <a:ext cx="6168736" cy="821893"/>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2"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2013 - 2023</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S80/S20</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Em 2013, as remunerações dos 20% de TCO que mais ganhavam, era 4,5 vezes o valor das remunerações dos 20% que menos auferiam. O mesmo rácio era 3,6 em 2023.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S90/S10</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Em 2013, as remunerações dos 10% de TCO que mais ganhavam, era 6,4 vezes o vlor das remunerações dos 10% que menos auferiam. O mesmo rácio era 5,0 em 2023.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5</xdr:col>
      <xdr:colOff>340590</xdr:colOff>
      <xdr:row>45</xdr:row>
      <xdr:rowOff>149370</xdr:rowOff>
    </xdr:from>
    <xdr:to>
      <xdr:col>14</xdr:col>
      <xdr:colOff>54263</xdr:colOff>
      <xdr:row>48</xdr:row>
      <xdr:rowOff>111126</xdr:rowOff>
    </xdr:to>
    <xdr:sp macro="" textlink="">
      <xdr:nvSpPr>
        <xdr:cNvPr id="31" name="CaixaDeTexto 30">
          <a:extLst>
            <a:ext uri="{FF2B5EF4-FFF2-40B4-BE49-F238E27FC236}">
              <a16:creationId xmlns:a16="http://schemas.microsoft.com/office/drawing/2014/main" id="{00000000-0008-0000-2100-00001F000000}"/>
            </a:ext>
          </a:extLst>
        </xdr:cNvPr>
        <xdr:cNvSpPr txBox="1"/>
      </xdr:nvSpPr>
      <xdr:spPr>
        <a:xfrm>
          <a:off x="5118965" y="7483620"/>
          <a:ext cx="5444548" cy="438006"/>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900" b="1" i="0" u="sng" strike="noStrike" kern="0" cap="none" spc="0" normalizeH="0" baseline="0" noProof="0">
              <a:ln>
                <a:noFill/>
              </a:ln>
              <a:solidFill>
                <a:sysClr val="windowText" lastClr="000000"/>
              </a:solidFill>
              <a:effectLst/>
              <a:uLnTx/>
              <a:uFillTx/>
              <a:latin typeface="+mn-lt"/>
              <a:ea typeface="+mn-ea"/>
              <a:cs typeface="Calibri"/>
            </a:rPr>
            <a:t>2013 - 2023</a:t>
          </a:r>
          <a:r>
            <a:rPr kumimoji="0" lang="en-US" sz="9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ysClr val="windowText" lastClr="000000"/>
              </a:solidFill>
              <a:effectLst/>
              <a:uLnTx/>
              <a:uFillTx/>
              <a:latin typeface="+mn-lt"/>
              <a:ea typeface="+mn-ea"/>
              <a:cs typeface="Calibri"/>
            </a:rPr>
            <a:t>S80/S20</a:t>
          </a:r>
          <a:r>
            <a:rPr kumimoji="0" lang="en-US" sz="900" b="0" i="0" u="none" strike="noStrike" kern="0" cap="none" spc="0" normalizeH="0" baseline="0" noProof="0">
              <a:ln>
                <a:noFill/>
              </a:ln>
              <a:solidFill>
                <a:sysClr val="windowText" lastClr="000000"/>
              </a:solidFill>
              <a:effectLst/>
              <a:uLnTx/>
              <a:uFillTx/>
              <a:latin typeface="+mn-lt"/>
              <a:ea typeface="+mn-ea"/>
              <a:cs typeface="Calibri"/>
            </a:rPr>
            <a:t>: entre 4,5 (2013) e 3,6 (2023)                                    </a:t>
          </a:r>
          <a:r>
            <a:rPr kumimoji="0" lang="en-US" sz="900" b="1" i="0" u="none" strike="noStrike" kern="0" cap="none" spc="0" normalizeH="0" baseline="0" noProof="0">
              <a:ln>
                <a:noFill/>
              </a:ln>
              <a:solidFill>
                <a:sysClr val="windowText" lastClr="000000"/>
              </a:solidFill>
              <a:effectLst/>
              <a:uLnTx/>
              <a:uFillTx/>
              <a:latin typeface="+mn-lt"/>
              <a:ea typeface="+mn-ea"/>
              <a:cs typeface="Calibri"/>
            </a:rPr>
            <a:t>S90/S10</a:t>
          </a:r>
          <a:r>
            <a:rPr kumimoji="0" lang="en-US" sz="900" b="0" i="0" u="none" strike="noStrike" kern="0" cap="none" spc="0" normalizeH="0" baseline="0" noProof="0">
              <a:ln>
                <a:noFill/>
              </a:ln>
              <a:solidFill>
                <a:sysClr val="windowText" lastClr="000000"/>
              </a:solidFill>
              <a:effectLst/>
              <a:uLnTx/>
              <a:uFillTx/>
              <a:latin typeface="+mn-lt"/>
              <a:ea typeface="+mn-ea"/>
              <a:cs typeface="Calibri"/>
            </a:rPr>
            <a:t>: entre 6,4 (2013) e 5,0 (2023)</a:t>
          </a:r>
        </a:p>
      </xdr:txBody>
    </xdr:sp>
    <xdr:clientData/>
  </xdr:twoCellAnchor>
  <xdr:twoCellAnchor>
    <xdr:from>
      <xdr:col>0</xdr:col>
      <xdr:colOff>2147455</xdr:colOff>
      <xdr:row>84</xdr:row>
      <xdr:rowOff>57727</xdr:rowOff>
    </xdr:from>
    <xdr:to>
      <xdr:col>10</xdr:col>
      <xdr:colOff>106693</xdr:colOff>
      <xdr:row>99</xdr:row>
      <xdr:rowOff>58615</xdr:rowOff>
    </xdr:to>
    <xdr:grpSp>
      <xdr:nvGrpSpPr>
        <xdr:cNvPr id="8" name="Agrupar 7">
          <a:extLst>
            <a:ext uri="{FF2B5EF4-FFF2-40B4-BE49-F238E27FC236}">
              <a16:creationId xmlns:a16="http://schemas.microsoft.com/office/drawing/2014/main" id="{00000000-0008-0000-2100-000008000000}"/>
            </a:ext>
          </a:extLst>
        </xdr:cNvPr>
        <xdr:cNvGrpSpPr/>
      </xdr:nvGrpSpPr>
      <xdr:grpSpPr>
        <a:xfrm>
          <a:off x="2147455" y="13607040"/>
          <a:ext cx="5809426" cy="2382138"/>
          <a:chOff x="2147455" y="14193804"/>
          <a:chExt cx="6184930" cy="2492042"/>
        </a:xfrm>
      </xdr:grpSpPr>
      <xdr:grpSp>
        <xdr:nvGrpSpPr>
          <xdr:cNvPr id="99" name="Agrupar 98">
            <a:extLst>
              <a:ext uri="{FF2B5EF4-FFF2-40B4-BE49-F238E27FC236}">
                <a16:creationId xmlns:a16="http://schemas.microsoft.com/office/drawing/2014/main" id="{00000000-0008-0000-2100-000063000000}"/>
              </a:ext>
            </a:extLst>
          </xdr:cNvPr>
          <xdr:cNvGrpSpPr/>
        </xdr:nvGrpSpPr>
        <xdr:grpSpPr>
          <a:xfrm>
            <a:off x="2147455" y="14193804"/>
            <a:ext cx="6184930" cy="2428299"/>
            <a:chOff x="82547" y="5042476"/>
            <a:chExt cx="4535398" cy="2473663"/>
          </a:xfrm>
        </xdr:grpSpPr>
        <xdr:sp macro="" textlink="">
          <xdr:nvSpPr>
            <xdr:cNvPr id="113" name="CaixaDeTexto 1">
              <a:extLst>
                <a:ext uri="{FF2B5EF4-FFF2-40B4-BE49-F238E27FC236}">
                  <a16:creationId xmlns:a16="http://schemas.microsoft.com/office/drawing/2014/main" id="{00000000-0008-0000-2100-000071000000}"/>
                </a:ext>
              </a:extLst>
            </xdr:cNvPr>
            <xdr:cNvSpPr txBox="1"/>
          </xdr:nvSpPr>
          <xdr:spPr>
            <a:xfrm>
              <a:off x="445001" y="5071651"/>
              <a:ext cx="3752999" cy="200278"/>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rgbClr val="1F497D"/>
                  </a:solidFill>
                  <a:effectLst/>
                  <a:uLnTx/>
                  <a:uFillTx/>
                  <a:latin typeface="Calibri"/>
                </a:rPr>
                <a:t>Ganho mensal mediano, limiar de baixos salários*, retribuição mínima mensal garantida e Incidência de baixos salários</a:t>
              </a:r>
            </a:p>
          </xdr:txBody>
        </xdr:sp>
        <xdr:grpSp>
          <xdr:nvGrpSpPr>
            <xdr:cNvPr id="114" name="Agrupar 113">
              <a:extLst>
                <a:ext uri="{FF2B5EF4-FFF2-40B4-BE49-F238E27FC236}">
                  <a16:creationId xmlns:a16="http://schemas.microsoft.com/office/drawing/2014/main" id="{00000000-0008-0000-2100-000072000000}"/>
                </a:ext>
              </a:extLst>
            </xdr:cNvPr>
            <xdr:cNvGrpSpPr/>
          </xdr:nvGrpSpPr>
          <xdr:grpSpPr>
            <a:xfrm>
              <a:off x="82547" y="5042476"/>
              <a:ext cx="4535398" cy="2473663"/>
              <a:chOff x="15468383" y="13077031"/>
              <a:chExt cx="4547872" cy="2466158"/>
            </a:xfrm>
          </xdr:grpSpPr>
          <xdr:graphicFrame macro="">
            <xdr:nvGraphicFramePr>
              <xdr:cNvPr id="115" name="Gráfico 114">
                <a:extLst>
                  <a:ext uri="{FF2B5EF4-FFF2-40B4-BE49-F238E27FC236}">
                    <a16:creationId xmlns:a16="http://schemas.microsoft.com/office/drawing/2014/main" id="{00000000-0008-0000-2100-000073000000}"/>
                  </a:ext>
                </a:extLst>
              </xdr:cNvPr>
              <xdr:cNvGraphicFramePr>
                <a:graphicFrameLocks/>
              </xdr:cNvGraphicFramePr>
            </xdr:nvGraphicFramePr>
            <xdr:xfrm>
              <a:off x="15468383" y="13077031"/>
              <a:ext cx="4420041" cy="2466158"/>
            </xdr:xfrm>
            <a:graphic>
              <a:graphicData uri="http://schemas.openxmlformats.org/drawingml/2006/chart">
                <c:chart xmlns:c="http://schemas.openxmlformats.org/drawingml/2006/chart" xmlns:r="http://schemas.openxmlformats.org/officeDocument/2006/relationships" r:id="rId5"/>
              </a:graphicData>
            </a:graphic>
          </xdr:graphicFrame>
          <xdr:pic>
            <xdr:nvPicPr>
              <xdr:cNvPr id="116" name="Imagem 115">
                <a:extLst>
                  <a:ext uri="{FF2B5EF4-FFF2-40B4-BE49-F238E27FC236}">
                    <a16:creationId xmlns:a16="http://schemas.microsoft.com/office/drawing/2014/main" id="{00000000-0008-0000-2100-000074000000}"/>
                  </a:ext>
                </a:extLst>
              </xdr:cNvPr>
              <xdr:cNvPicPr>
                <a:picLocks noChangeAspect="1"/>
              </xdr:cNvPicPr>
            </xdr:nvPicPr>
            <xdr:blipFill>
              <a:blip xmlns:r="http://schemas.openxmlformats.org/officeDocument/2006/relationships" r:embed="rId6"/>
              <a:stretch>
                <a:fillRect/>
              </a:stretch>
            </xdr:blipFill>
            <xdr:spPr>
              <a:xfrm>
                <a:off x="15471858" y="15069524"/>
                <a:ext cx="2333729" cy="337980"/>
              </a:xfrm>
              <a:prstGeom prst="rect">
                <a:avLst/>
              </a:prstGeom>
            </xdr:spPr>
          </xdr:pic>
          <xdr:pic>
            <xdr:nvPicPr>
              <xdr:cNvPr id="117" name="Imagem 116">
                <a:extLst>
                  <a:ext uri="{FF2B5EF4-FFF2-40B4-BE49-F238E27FC236}">
                    <a16:creationId xmlns:a16="http://schemas.microsoft.com/office/drawing/2014/main" id="{00000000-0008-0000-2100-000075000000}"/>
                  </a:ext>
                </a:extLst>
              </xdr:cNvPr>
              <xdr:cNvPicPr>
                <a:picLocks noChangeAspect="1"/>
              </xdr:cNvPicPr>
            </xdr:nvPicPr>
            <xdr:blipFill>
              <a:blip xmlns:r="http://schemas.openxmlformats.org/officeDocument/2006/relationships" r:embed="rId7"/>
              <a:stretch>
                <a:fillRect/>
              </a:stretch>
            </xdr:blipFill>
            <xdr:spPr>
              <a:xfrm>
                <a:off x="18381691" y="15081276"/>
                <a:ext cx="1634564" cy="317182"/>
              </a:xfrm>
              <a:prstGeom prst="rect">
                <a:avLst/>
              </a:prstGeom>
            </xdr:spPr>
          </xdr:pic>
        </xdr:grpSp>
      </xdr:grpSp>
      <xdr:sp macro="" textlink="">
        <xdr:nvSpPr>
          <xdr:cNvPr id="6" name="CaixaDeTexto 5">
            <a:extLst>
              <a:ext uri="{FF2B5EF4-FFF2-40B4-BE49-F238E27FC236}">
                <a16:creationId xmlns:a16="http://schemas.microsoft.com/office/drawing/2014/main" id="{00000000-0008-0000-2100-000006000000}"/>
              </a:ext>
            </a:extLst>
          </xdr:cNvPr>
          <xdr:cNvSpPr txBox="1"/>
        </xdr:nvSpPr>
        <xdr:spPr>
          <a:xfrm>
            <a:off x="2188306" y="16485576"/>
            <a:ext cx="3341079" cy="2002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PT" sz="600"/>
              <a:t>*Limiar</a:t>
            </a:r>
            <a:r>
              <a:rPr lang="pt-PT" sz="600" baseline="0"/>
              <a:t> de baixos salários - </a:t>
            </a:r>
            <a:r>
              <a:rPr lang="pt-PT" sz="600"/>
              <a:t>considerado como sendo 2/3 da mediana do ganho mensal do Continente.</a:t>
            </a:r>
          </a:p>
        </xdr:txBody>
      </xdr:sp>
    </xdr:grpSp>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171450</xdr:colOff>
      <xdr:row>7</xdr:row>
      <xdr:rowOff>219075</xdr:rowOff>
    </xdr:from>
    <xdr:to>
      <xdr:col>10</xdr:col>
      <xdr:colOff>123825</xdr:colOff>
      <xdr:row>26</xdr:row>
      <xdr:rowOff>95250</xdr:rowOff>
    </xdr:to>
    <xdr:pic>
      <xdr:nvPicPr>
        <xdr:cNvPr id="2" name="Imagem 1" descr="https://ninjadoexcel.com.br/wp-content/uploads/2019/04/Indo-na-guia-desenvolvedor-para-criar-Gr%C3%A1fico-com-caixa-de-combina%C3%A7%C3%A3o-no-Excel.png">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438275"/>
          <a:ext cx="6048375" cy="310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0</xdr:rowOff>
    </xdr:from>
    <xdr:to>
      <xdr:col>9</xdr:col>
      <xdr:colOff>323850</xdr:colOff>
      <xdr:row>42</xdr:row>
      <xdr:rowOff>114300</xdr:rowOff>
    </xdr:to>
    <xdr:pic>
      <xdr:nvPicPr>
        <xdr:cNvPr id="3" name="Imagem 2" descr="https://ninjadoexcel.com.br/wp-content/uploads/2019/04/Desenhando-caixa-de-combina%C3%A7%C3%A3o-para-Gr%C3%A1fico-com-caixa-de-combina%C3%A7%C3%A3o-no-Excel.png">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744450"/>
          <a:ext cx="581025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3</xdr:col>
      <xdr:colOff>409575</xdr:colOff>
      <xdr:row>62</xdr:row>
      <xdr:rowOff>152400</xdr:rowOff>
    </xdr:to>
    <xdr:pic>
      <xdr:nvPicPr>
        <xdr:cNvPr id="4" name="Imagem 3" descr="https://ninjadoexcel.com.br/wp-content/uploads/2019/04/Clicando-em-formatar-controle-para-Gr%C3%A1fico-com-caixa-de-combina%C3%A7%C3%A3o-no-Excel.png">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764375"/>
          <a:ext cx="2238375"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12</xdr:col>
      <xdr:colOff>466725</xdr:colOff>
      <xdr:row>95</xdr:row>
      <xdr:rowOff>133350</xdr:rowOff>
    </xdr:to>
    <xdr:pic>
      <xdr:nvPicPr>
        <xdr:cNvPr id="5" name="Imagem 4" descr="https://ninjadoexcel.com.br/wp-content/uploads/2019/04/Intervalo-de-entrada-para-Gr%C3%A1fico-com-caixa-de-combina%C3%A7%C3%A3o-no-Excel.png">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972925"/>
          <a:ext cx="7781925"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8</xdr:col>
      <xdr:colOff>342900</xdr:colOff>
      <xdr:row>119</xdr:row>
      <xdr:rowOff>0</xdr:rowOff>
    </xdr:to>
    <xdr:pic>
      <xdr:nvPicPr>
        <xdr:cNvPr id="6" name="Imagem 5" descr="https://ninjadoexcel.com.br/wp-content/uploads/2019/04/Vinculando-c%C3%A9lula-para-Gr%C3%A1fico-com-caixa-de-combina%C3%A7%C3%A3o-no-Excel.png">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668750"/>
          <a:ext cx="521970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5</xdr:col>
      <xdr:colOff>581025</xdr:colOff>
      <xdr:row>135</xdr:row>
      <xdr:rowOff>0</xdr:rowOff>
    </xdr:to>
    <xdr:pic>
      <xdr:nvPicPr>
        <xdr:cNvPr id="7" name="Imagem 6" descr="https://ninjadoexcel.com.br/wp-content/uploads/2019/04/Tamanho-da-lista-suspensa-Gr%C3%A1fico-com-caixa-de-combina%C3%A7%C3%A3o-no-Excel.png">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0554950"/>
          <a:ext cx="362902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142</xdr:row>
      <xdr:rowOff>0</xdr:rowOff>
    </xdr:from>
    <xdr:to>
      <xdr:col>14</xdr:col>
      <xdr:colOff>76200</xdr:colOff>
      <xdr:row>156</xdr:row>
      <xdr:rowOff>95250</xdr:rowOff>
    </xdr:to>
    <xdr:pic>
      <xdr:nvPicPr>
        <xdr:cNvPr id="8" name="Imagem 7" descr="https://ninjadoexcel.com.br/wp-content/uploads/2019/04/Confirmando-nomes-na-lista-suspensa-para-Gr%C3%A1fico-com-caixa-de-combina%C3%A7%C3%A3o-no-Excel.png">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3793450"/>
          <a:ext cx="8610600"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xdr:row>
      <xdr:rowOff>0</xdr:rowOff>
    </xdr:from>
    <xdr:to>
      <xdr:col>14</xdr:col>
      <xdr:colOff>295275</xdr:colOff>
      <xdr:row>173</xdr:row>
      <xdr:rowOff>47625</xdr:rowOff>
    </xdr:to>
    <xdr:pic>
      <xdr:nvPicPr>
        <xdr:cNvPr id="9" name="Imagem 8" descr="https://ninjadoexcel.com.br/wp-content/uploads/2019/04/Selecionando-nome-na-lista-para-Gr%C3%A1fico-com-caixa-de-combina%C3%A7%C3%A3o-no-Excel.png">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6546175"/>
          <a:ext cx="8829675"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0</xdr:rowOff>
    </xdr:from>
    <xdr:to>
      <xdr:col>8</xdr:col>
      <xdr:colOff>238125</xdr:colOff>
      <xdr:row>189</xdr:row>
      <xdr:rowOff>66675</xdr:rowOff>
    </xdr:to>
    <xdr:pic>
      <xdr:nvPicPr>
        <xdr:cNvPr id="10" name="Imagem 9" descr="https://ninjadoexcel.com.br/wp-content/uploads/2019/04/Chamando-%C3%8DNDICE-para-Gr%C3%A1fico-com-caixa-de-combina%C3%A7%C3%A3o-no-Excel.png">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9622750"/>
          <a:ext cx="5114925"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192</xdr:row>
      <xdr:rowOff>0</xdr:rowOff>
    </xdr:from>
    <xdr:to>
      <xdr:col>8</xdr:col>
      <xdr:colOff>342900</xdr:colOff>
      <xdr:row>206</xdr:row>
      <xdr:rowOff>114300</xdr:rowOff>
    </xdr:to>
    <xdr:pic>
      <xdr:nvPicPr>
        <xdr:cNvPr id="11" name="Imagem 10" descr="https://ninjadoexcel.com.br/wp-content/uploads/2019/04/Matriz-de-%C3%8DNDICE-para-Gr%C3%A1fico-com-caixa-de-combina%C3%A7%C3%A3o-no-Excel.png">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1889700"/>
          <a:ext cx="5219700"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209</xdr:row>
      <xdr:rowOff>0</xdr:rowOff>
    </xdr:from>
    <xdr:to>
      <xdr:col>7</xdr:col>
      <xdr:colOff>0</xdr:colOff>
      <xdr:row>220</xdr:row>
      <xdr:rowOff>0</xdr:rowOff>
    </xdr:to>
    <xdr:pic>
      <xdr:nvPicPr>
        <xdr:cNvPr id="12" name="Imagem 11" descr="https://ninjadoexcel.com.br/wp-content/uploads/2019/04/Num_linha-%C3%8DNDICE-para-Gr%C3%A1fico-com-caixa-de-combina%C3%A7%C3%A3o-no-Excel.png">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4642425"/>
          <a:ext cx="4267200"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223</xdr:row>
      <xdr:rowOff>0</xdr:rowOff>
    </xdr:from>
    <xdr:to>
      <xdr:col>9</xdr:col>
      <xdr:colOff>161925</xdr:colOff>
      <xdr:row>236</xdr:row>
      <xdr:rowOff>114300</xdr:rowOff>
    </xdr:to>
    <xdr:pic>
      <xdr:nvPicPr>
        <xdr:cNvPr id="13" name="Imagem 12" descr="https://ninjadoexcel.com.br/wp-content/uploads/2019/04/Observe-nomes-iguais-para-Gr%C3%A1fico-com-caixa-de-combina%C3%A7%C3%A3o-no-Excel.png">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36909375"/>
          <a:ext cx="5648325"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241</xdr:row>
      <xdr:rowOff>0</xdr:rowOff>
    </xdr:from>
    <xdr:to>
      <xdr:col>6</xdr:col>
      <xdr:colOff>371475</xdr:colOff>
      <xdr:row>249</xdr:row>
      <xdr:rowOff>104775</xdr:rowOff>
    </xdr:to>
    <xdr:pic>
      <xdr:nvPicPr>
        <xdr:cNvPr id="14" name="Imagem 13" descr="https://ninjadoexcel.com.br/wp-content/uploads/2019/04/Chamando-PROCV-para-Gr%C3%A1fico-com-caixa-de-combina%C3%A7%C3%A3o-no-Excel.png">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39824025"/>
          <a:ext cx="40290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xdr:row>
      <xdr:rowOff>0</xdr:rowOff>
    </xdr:from>
    <xdr:to>
      <xdr:col>18</xdr:col>
      <xdr:colOff>0</xdr:colOff>
      <xdr:row>304</xdr:row>
      <xdr:rowOff>133350</xdr:rowOff>
    </xdr:to>
    <xdr:pic>
      <xdr:nvPicPr>
        <xdr:cNvPr id="15" name="Imagem 14" descr="https://ninjadoexcel.com.br/wp-content/uploads/2019/04/Gr%C3%A1fico-com-caixa-de-combina%C3%A7%C3%A3o-no-Excel.gif">
          <a:extLst>
            <a:ext uri="{FF2B5EF4-FFF2-40B4-BE49-F238E27FC236}">
              <a16:creationId xmlns:a16="http://schemas.microsoft.com/office/drawing/2014/main" id="{00000000-0008-0000-2300-00000F000000}"/>
            </a:ext>
          </a:extLst>
        </xdr:cNvPr>
        <xdr:cNvPicPr>
          <a:picLocks noChangeAspect="1" noChangeArrowheads="1" noCrop="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41929050"/>
          <a:ext cx="109728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307</xdr:row>
      <xdr:rowOff>0</xdr:rowOff>
    </xdr:from>
    <xdr:to>
      <xdr:col>9</xdr:col>
      <xdr:colOff>247650</xdr:colOff>
      <xdr:row>316</xdr:row>
      <xdr:rowOff>47625</xdr:rowOff>
    </xdr:to>
    <xdr:pic>
      <xdr:nvPicPr>
        <xdr:cNvPr id="16" name="Imagem 15" descr="https://ninjadoexcel.com.br/wp-content/uploads/2019/04/Trocando-pela-ultima-vez-nome-na-lista-para-Gr%C3%A1fico-com-caixa-de-combina%C3%A7%C3%A3o-no-Excel.png">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50511075"/>
          <a:ext cx="5734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319</xdr:row>
      <xdr:rowOff>0</xdr:rowOff>
    </xdr:from>
    <xdr:to>
      <xdr:col>7</xdr:col>
      <xdr:colOff>47625</xdr:colOff>
      <xdr:row>328</xdr:row>
      <xdr:rowOff>133350</xdr:rowOff>
    </xdr:to>
    <xdr:pic>
      <xdr:nvPicPr>
        <xdr:cNvPr id="17" name="Imagem 16" descr="https://ninjadoexcel.com.br/wp-content/uploads/2019/04/Screenshot_1-1.png">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52454175"/>
          <a:ext cx="4314825" cy="159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331</xdr:row>
      <xdr:rowOff>0</xdr:rowOff>
    </xdr:from>
    <xdr:to>
      <xdr:col>10</xdr:col>
      <xdr:colOff>352425</xdr:colOff>
      <xdr:row>368</xdr:row>
      <xdr:rowOff>0</xdr:rowOff>
    </xdr:to>
    <xdr:pic>
      <xdr:nvPicPr>
        <xdr:cNvPr id="18" name="Imagem 17" descr="https://ninjadoexcel.com.br/wp-content/uploads/2019/04/Gr%C3%A1fico-com-caixa-de-combina%C3%A7%C3%A3o-no-Excel.png">
          <a:extLst>
            <a:ext uri="{FF2B5EF4-FFF2-40B4-BE49-F238E27FC236}">
              <a16:creationId xmlns:a16="http://schemas.microsoft.com/office/drawing/2014/main" id="{00000000-0008-0000-23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54397275"/>
          <a:ext cx="6448425" cy="599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371</xdr:row>
      <xdr:rowOff>0</xdr:rowOff>
    </xdr:from>
    <xdr:to>
      <xdr:col>9</xdr:col>
      <xdr:colOff>285750</xdr:colOff>
      <xdr:row>391</xdr:row>
      <xdr:rowOff>0</xdr:rowOff>
    </xdr:to>
    <xdr:pic>
      <xdr:nvPicPr>
        <xdr:cNvPr id="19" name="Imagem 18" descr="https://ninjadoexcel.com.br/wp-content/uploads/2019/04/Gr%C3%A1fico-com-caixa-de-combina%C3%A7%C3%A3o-no-Excel-02.png">
          <a:extLst>
            <a:ext uri="{FF2B5EF4-FFF2-40B4-BE49-F238E27FC236}">
              <a16:creationId xmlns:a16="http://schemas.microsoft.com/office/drawing/2014/main" id="{00000000-0008-0000-23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60874275"/>
          <a:ext cx="577215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394</xdr:row>
      <xdr:rowOff>0</xdr:rowOff>
    </xdr:from>
    <xdr:to>
      <xdr:col>9</xdr:col>
      <xdr:colOff>314325</xdr:colOff>
      <xdr:row>415</xdr:row>
      <xdr:rowOff>57150</xdr:rowOff>
    </xdr:to>
    <xdr:pic>
      <xdr:nvPicPr>
        <xdr:cNvPr id="20" name="Imagem 19" descr="https://ninjadoexcel.com.br/wp-content/uploads/2019/04/Gr%C3%A1fico-com-caixa-de-combina%C3%A7%C3%A3o-no-Excel-03.png">
          <a:extLst>
            <a:ext uri="{FF2B5EF4-FFF2-40B4-BE49-F238E27FC236}">
              <a16:creationId xmlns:a16="http://schemas.microsoft.com/office/drawing/2014/main" id="{00000000-0008-0000-23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64598550"/>
          <a:ext cx="5800725"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oneCellAnchor>
    <xdr:from>
      <xdr:col>11</xdr:col>
      <xdr:colOff>38099</xdr:colOff>
      <xdr:row>0</xdr:row>
      <xdr:rowOff>295275</xdr:rowOff>
    </xdr:from>
    <xdr:ext cx="790476" cy="276190"/>
    <xdr:pic>
      <xdr:nvPicPr>
        <xdr:cNvPr id="4" name="Picture 5">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657849" y="295275"/>
          <a:ext cx="790476" cy="276190"/>
        </a:xfrm>
        <a:prstGeom prst="rect">
          <a:avLst/>
        </a:prstGeom>
        <a:noFill/>
        <a:ln w="1">
          <a:noFill/>
          <a:miter lim="800000"/>
          <a:headEnd/>
          <a:tailEnd type="none" w="med" len="med"/>
        </a:ln>
        <a:effectLst/>
      </xdr:spPr>
    </xdr:pic>
    <xdr:clientData fPrintsWithSheet="0"/>
  </xdr:oneCellAnchor>
</xdr:wsDr>
</file>

<file path=xl/drawings/drawing67.xml><?xml version="1.0" encoding="utf-8"?>
<xdr:wsDr xmlns:xdr="http://schemas.openxmlformats.org/drawingml/2006/spreadsheetDrawing" xmlns:a="http://schemas.openxmlformats.org/drawingml/2006/main">
  <xdr:oneCellAnchor>
    <xdr:from>
      <xdr:col>10</xdr:col>
      <xdr:colOff>142874</xdr:colOff>
      <xdr:row>0</xdr:row>
      <xdr:rowOff>342900</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24474" y="342900"/>
          <a:ext cx="790476" cy="276190"/>
        </a:xfrm>
        <a:prstGeom prst="rect">
          <a:avLst/>
        </a:prstGeom>
        <a:noFill/>
        <a:ln w="1">
          <a:noFill/>
          <a:miter lim="800000"/>
          <a:headEnd/>
          <a:tailEnd type="none" w="med" len="med"/>
        </a:ln>
        <a:effectLst/>
      </xdr:spPr>
    </xdr:pic>
    <xdr:clientData fPrintsWithSheet="0"/>
  </xdr:oneCellAnchor>
</xdr:wsDr>
</file>

<file path=xl/drawings/drawing68.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53049" y="304800"/>
          <a:ext cx="790476" cy="276190"/>
        </a:xfrm>
        <a:prstGeom prst="rect">
          <a:avLst/>
        </a:prstGeom>
        <a:noFill/>
        <a:ln w="1">
          <a:noFill/>
          <a:miter lim="800000"/>
          <a:headEnd/>
          <a:tailEnd type="none" w="med" len="med"/>
        </a:ln>
        <a:effectLst/>
      </xdr:spPr>
    </xdr:pic>
    <xdr:clientData fPrintsWithSheet="0"/>
  </xdr:oneCellAnchor>
</xdr:wsDr>
</file>

<file path=xl/drawings/drawing69.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2" name="Picture 5">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603999" y="304800"/>
          <a:ext cx="790476" cy="276190"/>
        </a:xfrm>
        <a:prstGeom prst="rect">
          <a:avLst/>
        </a:prstGeom>
        <a:noFill/>
        <a:ln w="1">
          <a:noFill/>
          <a:miter lim="800000"/>
          <a:headEnd/>
          <a:tailEnd type="none" w="med" len="med"/>
        </a:ln>
        <a:effectLst/>
      </xdr:spPr>
    </xdr:pic>
    <xdr:clientData fPrintsWithSheet="0"/>
  </xdr:oneCellAnchor>
</xdr:wsDr>
</file>

<file path=xl/drawings/drawing7.xml><?xml version="1.0" encoding="utf-8"?>
<xdr:wsDr xmlns:xdr="http://schemas.openxmlformats.org/drawingml/2006/spreadsheetDrawing" xmlns:a="http://schemas.openxmlformats.org/drawingml/2006/main">
  <xdr:twoCellAnchor>
    <xdr:from>
      <xdr:col>0</xdr:col>
      <xdr:colOff>47624</xdr:colOff>
      <xdr:row>2</xdr:row>
      <xdr:rowOff>152125</xdr:rowOff>
    </xdr:from>
    <xdr:to>
      <xdr:col>22</xdr:col>
      <xdr:colOff>596899</xdr:colOff>
      <xdr:row>4</xdr:row>
      <xdr:rowOff>77125</xdr:rowOff>
    </xdr:to>
    <xdr:grpSp>
      <xdr:nvGrpSpPr>
        <xdr:cNvPr id="2" name="Agrupar 1">
          <a:extLst>
            <a:ext uri="{FF2B5EF4-FFF2-40B4-BE49-F238E27FC236}">
              <a16:creationId xmlns:a16="http://schemas.microsoft.com/office/drawing/2014/main" id="{00000000-0008-0000-0700-000002000000}"/>
            </a:ext>
          </a:extLst>
        </xdr:cNvPr>
        <xdr:cNvGrpSpPr/>
      </xdr:nvGrpSpPr>
      <xdr:grpSpPr>
        <a:xfrm>
          <a:off x="47624" y="533125"/>
          <a:ext cx="12988925" cy="306000"/>
          <a:chOff x="230187" y="595689"/>
          <a:chExt cx="5846763" cy="515561"/>
        </a:xfrm>
      </xdr:grpSpPr>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 name="Text Box 10">
            <a:extLst>
              <a:ext uri="{FF2B5EF4-FFF2-40B4-BE49-F238E27FC236}">
                <a16:creationId xmlns:a16="http://schemas.microsoft.com/office/drawing/2014/main" id="{00000000-0008-0000-0700-000004000000}"/>
              </a:ext>
            </a:extLst>
          </xdr:cNvPr>
          <xdr:cNvSpPr txBox="1">
            <a:spLocks noChangeArrowheads="1"/>
          </xdr:cNvSpPr>
        </xdr:nvSpPr>
        <xdr:spPr bwMode="auto">
          <a:xfrm>
            <a:off x="307901" y="595689"/>
            <a:ext cx="802767" cy="40002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editAs="oneCell">
    <xdr:from>
      <xdr:col>0</xdr:col>
      <xdr:colOff>66675</xdr:colOff>
      <xdr:row>0</xdr:row>
      <xdr:rowOff>0</xdr:rowOff>
    </xdr:from>
    <xdr:to>
      <xdr:col>1</xdr:col>
      <xdr:colOff>383503</xdr:colOff>
      <xdr:row>2</xdr:row>
      <xdr:rowOff>52161</xdr:rowOff>
    </xdr:to>
    <xdr:pic>
      <xdr:nvPicPr>
        <xdr:cNvPr id="5" name="Imagem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66675" y="0"/>
          <a:ext cx="907378" cy="417286"/>
        </a:xfrm>
        <a:prstGeom prst="rect">
          <a:avLst/>
        </a:prstGeom>
      </xdr:spPr>
    </xdr:pic>
    <xdr:clientData/>
  </xdr:twoCellAnchor>
  <xdr:twoCellAnchor>
    <xdr:from>
      <xdr:col>1</xdr:col>
      <xdr:colOff>469834</xdr:colOff>
      <xdr:row>0</xdr:row>
      <xdr:rowOff>41276</xdr:rowOff>
    </xdr:from>
    <xdr:to>
      <xdr:col>22</xdr:col>
      <xdr:colOff>596836</xdr:colOff>
      <xdr:row>2</xdr:row>
      <xdr:rowOff>165100</xdr:rowOff>
    </xdr:to>
    <xdr:sp macro="" textlink="">
      <xdr:nvSpPr>
        <xdr:cNvPr id="7" name="Rectangle 17">
          <a:extLst>
            <a:ext uri="{FF2B5EF4-FFF2-40B4-BE49-F238E27FC236}">
              <a16:creationId xmlns:a16="http://schemas.microsoft.com/office/drawing/2014/main" id="{00000000-0008-0000-0700-000007000000}"/>
            </a:ext>
          </a:extLst>
        </xdr:cNvPr>
        <xdr:cNvSpPr>
          <a:spLocks noChangeArrowheads="1"/>
        </xdr:cNvSpPr>
      </xdr:nvSpPr>
      <xdr:spPr bwMode="auto">
        <a:xfrm>
          <a:off x="1060384" y="41276"/>
          <a:ext cx="12617452" cy="49212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2013 - 2023: Quadros de Pessoal</a:t>
          </a:r>
        </a:p>
        <a:p>
          <a:pPr defTabSz="988538">
            <a:defRPr/>
          </a:pPr>
          <a:r>
            <a:rPr lang="pt-PT" sz="1600" b="1" i="1">
              <a:solidFill>
                <a:srgbClr val="FFE600"/>
              </a:solidFill>
              <a:effectLst>
                <a:outerShdw blurRad="38100" dist="38100" dir="2700000" algn="tl">
                  <a:srgbClr val="000000"/>
                </a:outerShdw>
              </a:effectLst>
              <a:latin typeface="Arial" charset="0"/>
            </a:rPr>
            <a:t>Estrutura Empresarial</a:t>
          </a:r>
        </a:p>
      </xdr:txBody>
    </xdr:sp>
    <xdr:clientData/>
  </xdr:twoCellAnchor>
  <xdr:twoCellAnchor>
    <xdr:from>
      <xdr:col>4</xdr:col>
      <xdr:colOff>46094</xdr:colOff>
      <xdr:row>27</xdr:row>
      <xdr:rowOff>130484</xdr:rowOff>
    </xdr:from>
    <xdr:to>
      <xdr:col>5</xdr:col>
      <xdr:colOff>64908</xdr:colOff>
      <xdr:row>28</xdr:row>
      <xdr:rowOff>132156</xdr:rowOff>
    </xdr:to>
    <xdr:grpSp>
      <xdr:nvGrpSpPr>
        <xdr:cNvPr id="31" name="Agrupar 30">
          <a:extLst>
            <a:ext uri="{FF2B5EF4-FFF2-40B4-BE49-F238E27FC236}">
              <a16:creationId xmlns:a16="http://schemas.microsoft.com/office/drawing/2014/main" id="{00000000-0008-0000-0700-00001F000000}"/>
            </a:ext>
          </a:extLst>
        </xdr:cNvPr>
        <xdr:cNvGrpSpPr/>
      </xdr:nvGrpSpPr>
      <xdr:grpSpPr>
        <a:xfrm>
          <a:off x="2293994" y="5273984"/>
          <a:ext cx="580789" cy="192172"/>
          <a:chOff x="2408294" y="5054526"/>
          <a:chExt cx="609364" cy="179986"/>
        </a:xfrm>
      </xdr:grpSpPr>
      <xdr:sp macro="" textlink="">
        <xdr:nvSpPr>
          <xdr:cNvPr id="32" name="CaixaDeTexto 31">
            <a:extLst>
              <a:ext uri="{FF2B5EF4-FFF2-40B4-BE49-F238E27FC236}">
                <a16:creationId xmlns:a16="http://schemas.microsoft.com/office/drawing/2014/main" id="{00000000-0008-0000-0700-000020000000}"/>
              </a:ext>
            </a:extLst>
          </xdr:cNvPr>
          <xdr:cNvSpPr txBox="1"/>
        </xdr:nvSpPr>
        <xdr:spPr>
          <a:xfrm>
            <a:off x="2408294" y="5054526"/>
            <a:ext cx="609364" cy="1799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endParaRPr lang="pt-PT" sz="800" b="1"/>
          </a:p>
        </xdr:txBody>
      </xdr:sp>
    </xdr:grpSp>
    <xdr:clientData/>
  </xdr:twoCellAnchor>
  <xdr:twoCellAnchor>
    <xdr:from>
      <xdr:col>8</xdr:col>
      <xdr:colOff>182882</xdr:colOff>
      <xdr:row>25</xdr:row>
      <xdr:rowOff>70922</xdr:rowOff>
    </xdr:from>
    <xdr:to>
      <xdr:col>15</xdr:col>
      <xdr:colOff>248215</xdr:colOff>
      <xdr:row>26</xdr:row>
      <xdr:rowOff>93879</xdr:rowOff>
    </xdr:to>
    <xdr:sp macro="" textlink="">
      <xdr:nvSpPr>
        <xdr:cNvPr id="58" name="CaixaDeTexto 57">
          <a:hlinkClick xmlns:r="http://schemas.openxmlformats.org/officeDocument/2006/relationships" r:id="rId2"/>
          <a:extLst>
            <a:ext uri="{FF2B5EF4-FFF2-40B4-BE49-F238E27FC236}">
              <a16:creationId xmlns:a16="http://schemas.microsoft.com/office/drawing/2014/main" id="{00000000-0008-0000-0700-00003A000000}"/>
            </a:ext>
          </a:extLst>
        </xdr:cNvPr>
        <xdr:cNvSpPr txBox="1"/>
      </xdr:nvSpPr>
      <xdr:spPr>
        <a:xfrm>
          <a:off x="4670215" y="4833422"/>
          <a:ext cx="3960000" cy="2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800"/>
            <a:t>* - </a:t>
          </a:r>
          <a:r>
            <a:rPr lang="pt-PT" sz="800" i="0"/>
            <a:t>Consultar códigos</a:t>
          </a:r>
          <a:r>
            <a:rPr lang="pt-PT" sz="800" i="0" baseline="0"/>
            <a:t> de Secção de Atividade Económica em </a:t>
          </a:r>
          <a:r>
            <a:rPr lang="pt-PT" sz="800" i="0" u="sng" baseline="0">
              <a:solidFill>
                <a:schemeClr val="accent1"/>
              </a:solidFill>
            </a:rPr>
            <a:t>Introdução e Metainformação</a:t>
          </a:r>
          <a:endParaRPr lang="pt-PT" sz="800" i="0" u="sng">
            <a:solidFill>
              <a:schemeClr val="accent1"/>
            </a:solidFill>
          </a:endParaRPr>
        </a:p>
      </xdr:txBody>
    </xdr:sp>
    <xdr:clientData/>
  </xdr:twoCellAnchor>
  <xdr:twoCellAnchor>
    <xdr:from>
      <xdr:col>8</xdr:col>
      <xdr:colOff>23091</xdr:colOff>
      <xdr:row>9</xdr:row>
      <xdr:rowOff>160194</xdr:rowOff>
    </xdr:from>
    <xdr:to>
      <xdr:col>15</xdr:col>
      <xdr:colOff>207027</xdr:colOff>
      <xdr:row>27</xdr:row>
      <xdr:rowOff>75785</xdr:rowOff>
    </xdr:to>
    <xdr:graphicFrame macro="">
      <xdr:nvGraphicFramePr>
        <xdr:cNvPr id="84" name="Gráfico 83">
          <a:extLst>
            <a:ext uri="{FF2B5EF4-FFF2-40B4-BE49-F238E27FC236}">
              <a16:creationId xmlns:a16="http://schemas.microsoft.com/office/drawing/2014/main" id="{00000000-0008-0000-07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577079</xdr:colOff>
      <xdr:row>10</xdr:row>
      <xdr:rowOff>61607</xdr:rowOff>
    </xdr:from>
    <xdr:to>
      <xdr:col>22</xdr:col>
      <xdr:colOff>422915</xdr:colOff>
      <xdr:row>26</xdr:row>
      <xdr:rowOff>163798</xdr:rowOff>
    </xdr:to>
    <xdr:graphicFrame macro="">
      <xdr:nvGraphicFramePr>
        <xdr:cNvPr id="85" name="Gráfico 84">
          <a:extLst>
            <a:ext uri="{FF2B5EF4-FFF2-40B4-BE49-F238E27FC236}">
              <a16:creationId xmlns:a16="http://schemas.microsoft.com/office/drawing/2014/main" id="{00000000-0008-0000-07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207919</xdr:colOff>
      <xdr:row>34</xdr:row>
      <xdr:rowOff>99029</xdr:rowOff>
    </xdr:from>
    <xdr:to>
      <xdr:col>15</xdr:col>
      <xdr:colOff>360971</xdr:colOff>
      <xdr:row>52</xdr:row>
      <xdr:rowOff>31938</xdr:rowOff>
    </xdr:to>
    <xdr:graphicFrame macro="">
      <xdr:nvGraphicFramePr>
        <xdr:cNvPr id="94" name="Gráfico 93">
          <a:extLst>
            <a:ext uri="{FF2B5EF4-FFF2-40B4-BE49-F238E27FC236}">
              <a16:creationId xmlns:a16="http://schemas.microsoft.com/office/drawing/2014/main" id="{00000000-0008-0000-07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553425</xdr:colOff>
      <xdr:row>34</xdr:row>
      <xdr:rowOff>49949</xdr:rowOff>
    </xdr:from>
    <xdr:to>
      <xdr:col>22</xdr:col>
      <xdr:colOff>399261</xdr:colOff>
      <xdr:row>50</xdr:row>
      <xdr:rowOff>163685</xdr:rowOff>
    </xdr:to>
    <xdr:graphicFrame macro="">
      <xdr:nvGraphicFramePr>
        <xdr:cNvPr id="96" name="Gráfico 95">
          <a:extLst>
            <a:ext uri="{FF2B5EF4-FFF2-40B4-BE49-F238E27FC236}">
              <a16:creationId xmlns:a16="http://schemas.microsoft.com/office/drawing/2014/main" id="{00000000-0008-0000-07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116320</xdr:colOff>
      <xdr:row>2</xdr:row>
      <xdr:rowOff>180990</xdr:rowOff>
    </xdr:from>
    <xdr:to>
      <xdr:col>16</xdr:col>
      <xdr:colOff>570345</xdr:colOff>
      <xdr:row>4</xdr:row>
      <xdr:rowOff>51956</xdr:rowOff>
    </xdr:to>
    <xdr:grpSp>
      <xdr:nvGrpSpPr>
        <xdr:cNvPr id="12" name="Agrupar 11">
          <a:extLst>
            <a:ext uri="{FF2B5EF4-FFF2-40B4-BE49-F238E27FC236}">
              <a16:creationId xmlns:a16="http://schemas.microsoft.com/office/drawing/2014/main" id="{00000000-0008-0000-0700-00000C000000}"/>
            </a:ext>
          </a:extLst>
        </xdr:cNvPr>
        <xdr:cNvGrpSpPr/>
      </xdr:nvGrpSpPr>
      <xdr:grpSpPr>
        <a:xfrm>
          <a:off x="6764770" y="561990"/>
          <a:ext cx="2778125" cy="251966"/>
          <a:chOff x="8689399" y="579308"/>
          <a:chExt cx="2699055" cy="240420"/>
        </a:xfrm>
      </xdr:grpSpPr>
      <mc:AlternateContent xmlns:mc="http://schemas.openxmlformats.org/markup-compatibility/2006">
        <mc:Choice xmlns:a14="http://schemas.microsoft.com/office/drawing/2010/main" Requires="a14">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700-000004140000}"/>
                  </a:ext>
                </a:extLst>
              </xdr:cNvPr>
              <xdr:cNvSpPr/>
            </xdr:nvSpPr>
            <xdr:spPr bwMode="auto">
              <a:xfrm>
                <a:off x="10132880" y="593437"/>
                <a:ext cx="1255574" cy="204354"/>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13" name="Text Box 10">
            <a:extLst>
              <a:ext uri="{FF2B5EF4-FFF2-40B4-BE49-F238E27FC236}">
                <a16:creationId xmlns:a16="http://schemas.microsoft.com/office/drawing/2014/main" id="{00000000-0008-0000-0700-000071000000}"/>
              </a:ext>
            </a:extLst>
          </xdr:cNvPr>
          <xdr:cNvSpPr txBox="1">
            <a:spLocks noChangeArrowheads="1"/>
          </xdr:cNvSpPr>
        </xdr:nvSpPr>
        <xdr:spPr bwMode="auto">
          <a:xfrm>
            <a:off x="8689399" y="579308"/>
            <a:ext cx="1387009" cy="240420"/>
          </a:xfrm>
          <a:prstGeom prst="rect">
            <a:avLst/>
          </a:prstGeom>
          <a:solidFill>
            <a:srgbClr val="FFE600"/>
          </a:solidFill>
          <a:ln w="9525">
            <a:solidFill>
              <a:srgbClr val="000000"/>
            </a:solidFill>
            <a:miter lim="800000"/>
            <a:headEnd/>
            <a:tailEnd/>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uma opção:</a:t>
            </a:r>
            <a:endParaRPr lang="en-US" altLang="pt-PT" sz="1200" b="1">
              <a:solidFill>
                <a:schemeClr val="tx2">
                  <a:lumMod val="75000"/>
                </a:schemeClr>
              </a:solidFill>
              <a:latin typeface="Arial" charset="0"/>
            </a:endParaRPr>
          </a:p>
        </xdr:txBody>
      </xdr:sp>
    </xdr:grpSp>
    <xdr:clientData/>
  </xdr:twoCellAnchor>
  <xdr:twoCellAnchor>
    <xdr:from>
      <xdr:col>8</xdr:col>
      <xdr:colOff>128061</xdr:colOff>
      <xdr:row>4</xdr:row>
      <xdr:rowOff>154710</xdr:rowOff>
    </xdr:from>
    <xdr:to>
      <xdr:col>15</xdr:col>
      <xdr:colOff>228336</xdr:colOff>
      <xdr:row>9</xdr:row>
      <xdr:rowOff>38100</xdr:rowOff>
    </xdr:to>
    <xdr:sp macro="" textlink="q1_q2_q5_q6_Fig!$R$62">
      <xdr:nvSpPr>
        <xdr:cNvPr id="67" name="CaixaDeTexto 66">
          <a:extLst>
            <a:ext uri="{FF2B5EF4-FFF2-40B4-BE49-F238E27FC236}">
              <a16:creationId xmlns:a16="http://schemas.microsoft.com/office/drawing/2014/main" id="{00000000-0008-0000-0700-000043000000}"/>
            </a:ext>
          </a:extLst>
        </xdr:cNvPr>
        <xdr:cNvSpPr txBox="1"/>
      </xdr:nvSpPr>
      <xdr:spPr>
        <a:xfrm>
          <a:off x="4869394" y="888488"/>
          <a:ext cx="4185442" cy="81472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fld id="{96BA8799-5AEB-48FE-A345-32827F783336}" type="TxLink">
            <a:rPr lang="en-US" sz="900" b="0" i="0" u="none" strike="noStrike">
              <a:solidFill>
                <a:srgbClr val="000000"/>
              </a:solidFill>
              <a:effectLst/>
              <a:latin typeface="+mn-lt"/>
              <a:cs typeface="Arial"/>
            </a:rPr>
            <a:pPr eaLnBrk="1" fontAlgn="auto" latinLnBrk="0" hangingPunct="1"/>
            <a:t>3 CAE com mais Estabelecimentos:
2013: G - Com. por grosso e ret. (…) (29,8%); C - Ind. transf. (11,5%); I - Alojamento, rest. e sim. (10,8%).
2023: G - Com. por grosso e ret. (…) (26,6%); I - Alojamento, rest. e sim. (11,9%); F - Construção (10,5%).</a:t>
          </a:fld>
          <a:endParaRPr lang="en-US" sz="900" b="1" i="0" u="none" strike="noStrike">
            <a:solidFill>
              <a:srgbClr val="17375E"/>
            </a:solidFill>
            <a:latin typeface="+mn-lt"/>
            <a:cs typeface="Calibri"/>
          </a:endParaRPr>
        </a:p>
      </xdr:txBody>
    </xdr:sp>
    <xdr:clientData/>
  </xdr:twoCellAnchor>
  <xdr:twoCellAnchor>
    <xdr:from>
      <xdr:col>8</xdr:col>
      <xdr:colOff>270448</xdr:colOff>
      <xdr:row>29</xdr:row>
      <xdr:rowOff>97721</xdr:rowOff>
    </xdr:from>
    <xdr:to>
      <xdr:col>15</xdr:col>
      <xdr:colOff>370723</xdr:colOff>
      <xdr:row>33</xdr:row>
      <xdr:rowOff>180272</xdr:rowOff>
    </xdr:to>
    <xdr:sp macro="" textlink="q11_q13_q15_q17_Fig!$R$62">
      <xdr:nvSpPr>
        <xdr:cNvPr id="68" name="CaixaDeTexto 67">
          <a:extLst>
            <a:ext uri="{FF2B5EF4-FFF2-40B4-BE49-F238E27FC236}">
              <a16:creationId xmlns:a16="http://schemas.microsoft.com/office/drawing/2014/main" id="{00000000-0008-0000-0700-000044000000}"/>
            </a:ext>
          </a:extLst>
        </xdr:cNvPr>
        <xdr:cNvSpPr txBox="1"/>
      </xdr:nvSpPr>
      <xdr:spPr>
        <a:xfrm>
          <a:off x="5011781" y="5445832"/>
          <a:ext cx="4185442" cy="816329"/>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F28CE3A0-BFCF-4FEC-9E8B-546D80A6E85B}" type="TxLink">
            <a:rPr lang="en-US" sz="900" b="0" i="0" u="none" strike="noStrike" baseline="0">
              <a:solidFill>
                <a:srgbClr val="000000"/>
              </a:solidFill>
              <a:effectLst/>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3 CAE com mais pessoas:
2013: C - Ind. transf. (22,2%); G - Com. por grosso e ret. (…) (19,6%); N - Ativ. Admin. e dos serv. apoio (9,0%).
2023: C - Ind. transf. (19,4%); G - Com. por grosso e ret. (…) (17,9%); N - Ativ. Admin. e dos serv. apoio (9,4%).</a:t>
          </a:fld>
          <a:endParaRPr lang="en-US" sz="900" b="0" baseline="0">
            <a:solidFill>
              <a:schemeClr val="dk1"/>
            </a:solidFill>
            <a:effectLst/>
            <a:latin typeface="+mn-lt"/>
            <a:ea typeface="+mn-ea"/>
            <a:cs typeface="+mn-cs"/>
          </a:endParaRPr>
        </a:p>
      </xdr:txBody>
    </xdr:sp>
    <xdr:clientData/>
  </xdr:twoCellAnchor>
  <xdr:twoCellAnchor>
    <xdr:from>
      <xdr:col>0</xdr:col>
      <xdr:colOff>24823</xdr:colOff>
      <xdr:row>10</xdr:row>
      <xdr:rowOff>157596</xdr:rowOff>
    </xdr:from>
    <xdr:to>
      <xdr:col>8</xdr:col>
      <xdr:colOff>198005</xdr:colOff>
      <xdr:row>27</xdr:row>
      <xdr:rowOff>174914</xdr:rowOff>
    </xdr:to>
    <xdr:grpSp>
      <xdr:nvGrpSpPr>
        <xdr:cNvPr id="72" name="Agrupar 71">
          <a:extLst>
            <a:ext uri="{FF2B5EF4-FFF2-40B4-BE49-F238E27FC236}">
              <a16:creationId xmlns:a16="http://schemas.microsoft.com/office/drawing/2014/main" id="{00000000-0008-0000-0700-000048000000}"/>
            </a:ext>
          </a:extLst>
        </xdr:cNvPr>
        <xdr:cNvGrpSpPr/>
      </xdr:nvGrpSpPr>
      <xdr:grpSpPr>
        <a:xfrm>
          <a:off x="24823" y="2062596"/>
          <a:ext cx="4668982" cy="3255818"/>
          <a:chOff x="36040924" y="8426450"/>
          <a:chExt cx="4819650" cy="2597244"/>
        </a:xfrm>
      </xdr:grpSpPr>
      <xdr:graphicFrame macro="">
        <xdr:nvGraphicFramePr>
          <xdr:cNvPr id="73" name="Gráfico 72">
            <a:extLst>
              <a:ext uri="{FF2B5EF4-FFF2-40B4-BE49-F238E27FC236}">
                <a16:creationId xmlns:a16="http://schemas.microsoft.com/office/drawing/2014/main" id="{00000000-0008-0000-0700-000049000000}"/>
              </a:ext>
            </a:extLst>
          </xdr:cNvPr>
          <xdr:cNvGraphicFramePr>
            <a:graphicFrameLocks/>
          </xdr:cNvGraphicFramePr>
        </xdr:nvGraphicFramePr>
        <xdr:xfrm>
          <a:off x="36040924" y="8426450"/>
          <a:ext cx="4819650" cy="2597244"/>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75" name="CaixaDeTexto 74">
            <a:extLst>
              <a:ext uri="{FF2B5EF4-FFF2-40B4-BE49-F238E27FC236}">
                <a16:creationId xmlns:a16="http://schemas.microsoft.com/office/drawing/2014/main" id="{00000000-0008-0000-0700-00004B000000}"/>
              </a:ext>
            </a:extLst>
          </xdr:cNvPr>
          <xdr:cNvSpPr txBox="1"/>
        </xdr:nvSpPr>
        <xdr:spPr>
          <a:xfrm>
            <a:off x="39425587" y="9090837"/>
            <a:ext cx="97637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Empresas</a:t>
            </a:r>
          </a:p>
        </xdr:txBody>
      </xdr:sp>
      <xdr:sp macro="" textlink="">
        <xdr:nvSpPr>
          <xdr:cNvPr id="76" name="CaixaDeTexto 75">
            <a:extLst>
              <a:ext uri="{FF2B5EF4-FFF2-40B4-BE49-F238E27FC236}">
                <a16:creationId xmlns:a16="http://schemas.microsoft.com/office/drawing/2014/main" id="{00000000-0008-0000-0700-00004C000000}"/>
              </a:ext>
            </a:extLst>
          </xdr:cNvPr>
          <xdr:cNvSpPr txBox="1"/>
        </xdr:nvSpPr>
        <xdr:spPr>
          <a:xfrm>
            <a:off x="39437830" y="9814607"/>
            <a:ext cx="97454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Estabelecimentos</a:t>
            </a:r>
          </a:p>
        </xdr:txBody>
      </xdr:sp>
      <xdr:sp macro="" textlink="q1_q2_q5_q6_Fig!$BH$5">
        <xdr:nvSpPr>
          <xdr:cNvPr id="77" name="CaixaDeTexto 76">
            <a:extLst>
              <a:ext uri="{FF2B5EF4-FFF2-40B4-BE49-F238E27FC236}">
                <a16:creationId xmlns:a16="http://schemas.microsoft.com/office/drawing/2014/main" id="{00000000-0008-0000-0700-00004D000000}"/>
              </a:ext>
            </a:extLst>
          </xdr:cNvPr>
          <xdr:cNvSpPr txBox="1"/>
        </xdr:nvSpPr>
        <xdr:spPr>
          <a:xfrm>
            <a:off x="39438920" y="10117573"/>
            <a:ext cx="976378" cy="2592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B3BF183-0A7B-4E9A-9519-4413FAA583EA}" type="TxLink">
              <a:rPr lang="en-US" sz="1000" b="1" i="0" u="none" strike="noStrike">
                <a:solidFill>
                  <a:schemeClr val="bg1"/>
                </a:solidFill>
                <a:latin typeface="Arial"/>
                <a:ea typeface="+mn-ea"/>
                <a:cs typeface="Arial"/>
              </a:rPr>
              <a:pPr marL="0" indent="0" algn="ctr"/>
              <a:t>8,0%</a:t>
            </a:fld>
            <a:endParaRPr lang="pt-PT" sz="1000" b="1" i="0" u="none" strike="noStrike">
              <a:solidFill>
                <a:schemeClr val="bg1"/>
              </a:solidFill>
              <a:latin typeface="+mn-lt"/>
              <a:ea typeface="+mn-ea"/>
              <a:cs typeface="Arial"/>
            </a:endParaRPr>
          </a:p>
        </xdr:txBody>
      </xdr:sp>
      <xdr:sp macro="" textlink="q1_q2_q5_q6_Fig!$BH$4">
        <xdr:nvSpPr>
          <xdr:cNvPr id="78" name="CaixaDeTexto 77">
            <a:extLst>
              <a:ext uri="{FF2B5EF4-FFF2-40B4-BE49-F238E27FC236}">
                <a16:creationId xmlns:a16="http://schemas.microsoft.com/office/drawing/2014/main" id="{00000000-0008-0000-0700-00004E000000}"/>
              </a:ext>
            </a:extLst>
          </xdr:cNvPr>
          <xdr:cNvSpPr txBox="1"/>
        </xdr:nvSpPr>
        <xdr:spPr>
          <a:xfrm>
            <a:off x="39428763" y="9383789"/>
            <a:ext cx="976378" cy="2592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9C7EAD2-6A40-48E9-B770-012A6C6E2AEE}" type="TxLink">
              <a:rPr lang="en-US" sz="1000" b="1" i="0" u="none" strike="noStrike">
                <a:solidFill>
                  <a:schemeClr val="bg1"/>
                </a:solidFill>
                <a:latin typeface="Arial"/>
                <a:cs typeface="Arial"/>
              </a:rPr>
              <a:pPr algn="ctr"/>
              <a:t>9,6%</a:t>
            </a:fld>
            <a:endParaRPr lang="pt-PT" sz="1000" b="1">
              <a:solidFill>
                <a:schemeClr val="bg1"/>
              </a:solidFill>
              <a:latin typeface="+mn-lt"/>
            </a:endParaRPr>
          </a:p>
        </xdr:txBody>
      </xdr:sp>
    </xdr:grpSp>
    <xdr:clientData/>
  </xdr:twoCellAnchor>
  <xdr:twoCellAnchor>
    <xdr:from>
      <xdr:col>15</xdr:col>
      <xdr:colOff>601140</xdr:colOff>
      <xdr:row>4</xdr:row>
      <xdr:rowOff>169238</xdr:rowOff>
    </xdr:from>
    <xdr:to>
      <xdr:col>22</xdr:col>
      <xdr:colOff>529965</xdr:colOff>
      <xdr:row>8</xdr:row>
      <xdr:rowOff>163238</xdr:rowOff>
    </xdr:to>
    <xdr:sp macro="" textlink="q1_q2_q5_q6_Fig!$R$110">
      <xdr:nvSpPr>
        <xdr:cNvPr id="44" name="CaixaDeTexto 43">
          <a:extLst>
            <a:ext uri="{FF2B5EF4-FFF2-40B4-BE49-F238E27FC236}">
              <a16:creationId xmlns:a16="http://schemas.microsoft.com/office/drawing/2014/main" id="{00000000-0008-0000-0700-00002C000000}"/>
            </a:ext>
          </a:extLst>
        </xdr:cNvPr>
        <xdr:cNvSpPr txBox="1"/>
      </xdr:nvSpPr>
      <xdr:spPr>
        <a:xfrm>
          <a:off x="9427640" y="903016"/>
          <a:ext cx="4176269" cy="73483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fld id="{B0EE5A97-A150-42F4-9B53-DA5174FCEFEF}" type="TxLink">
            <a:rPr lang="en-US" sz="900" b="0" i="0" u="none" strike="noStrike">
              <a:solidFill>
                <a:srgbClr val="000000"/>
              </a:solidFill>
              <a:latin typeface="+mn-lt"/>
              <a:cs typeface="Arial"/>
            </a:rPr>
            <a:pPr eaLnBrk="1" fontAlgn="auto" latinLnBrk="0" hangingPunct="1"/>
            <a:t>Entre 2013 e 2023:
Micro e Pequenos estabelecimentos representam cerca de 97% das estruturas;
Micro estabelecimentos (1-9 pessoas): entre 81,3% (2023) e 85,3% (2013) ;
Pequenos estabelecimentos (10 - 49 pessoas): entre 12,1% (2013) e 15,3% (2023).</a:t>
          </a:fld>
          <a:endParaRPr lang="en-US" sz="900" b="1" i="0" u="none" strike="noStrike">
            <a:solidFill>
              <a:srgbClr val="17375E"/>
            </a:solidFill>
            <a:latin typeface="+mn-lt"/>
            <a:cs typeface="Calibri"/>
          </a:endParaRPr>
        </a:p>
      </xdr:txBody>
    </xdr:sp>
    <xdr:clientData/>
  </xdr:twoCellAnchor>
  <xdr:twoCellAnchor>
    <xdr:from>
      <xdr:col>0</xdr:col>
      <xdr:colOff>92364</xdr:colOff>
      <xdr:row>35</xdr:row>
      <xdr:rowOff>98137</xdr:rowOff>
    </xdr:from>
    <xdr:to>
      <xdr:col>8</xdr:col>
      <xdr:colOff>267019</xdr:colOff>
      <xdr:row>52</xdr:row>
      <xdr:rowOff>125773</xdr:rowOff>
    </xdr:to>
    <xdr:grpSp>
      <xdr:nvGrpSpPr>
        <xdr:cNvPr id="45" name="Agrupar 44">
          <a:extLst>
            <a:ext uri="{FF2B5EF4-FFF2-40B4-BE49-F238E27FC236}">
              <a16:creationId xmlns:a16="http://schemas.microsoft.com/office/drawing/2014/main" id="{00000000-0008-0000-0700-00002D000000}"/>
            </a:ext>
          </a:extLst>
        </xdr:cNvPr>
        <xdr:cNvGrpSpPr/>
      </xdr:nvGrpSpPr>
      <xdr:grpSpPr>
        <a:xfrm>
          <a:off x="92364" y="6765637"/>
          <a:ext cx="4670455" cy="3266136"/>
          <a:chOff x="36182300" y="8426450"/>
          <a:chExt cx="4819650" cy="2597244"/>
        </a:xfrm>
      </xdr:grpSpPr>
      <xdr:graphicFrame macro="">
        <xdr:nvGraphicFramePr>
          <xdr:cNvPr id="46" name="Gráfico 45">
            <a:extLst>
              <a:ext uri="{FF2B5EF4-FFF2-40B4-BE49-F238E27FC236}">
                <a16:creationId xmlns:a16="http://schemas.microsoft.com/office/drawing/2014/main" id="{00000000-0008-0000-0700-00002E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47" name="CaixaDeTexto 46">
            <a:extLst>
              <a:ext uri="{FF2B5EF4-FFF2-40B4-BE49-F238E27FC236}">
                <a16:creationId xmlns:a16="http://schemas.microsoft.com/office/drawing/2014/main" id="{00000000-0008-0000-0700-00002F000000}"/>
              </a:ext>
            </a:extLst>
          </xdr:cNvPr>
          <xdr:cNvSpPr txBox="1"/>
        </xdr:nvSpPr>
        <xdr:spPr>
          <a:xfrm>
            <a:off x="39514016" y="908596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Pessoas ao serviço</a:t>
            </a:r>
          </a:p>
        </xdr:txBody>
      </xdr:sp>
      <xdr:sp macro="" textlink="">
        <xdr:nvSpPr>
          <xdr:cNvPr id="48" name="CaixaDeTexto 47">
            <a:extLst>
              <a:ext uri="{FF2B5EF4-FFF2-40B4-BE49-F238E27FC236}">
                <a16:creationId xmlns:a16="http://schemas.microsoft.com/office/drawing/2014/main" id="{00000000-0008-0000-0700-000030000000}"/>
              </a:ext>
            </a:extLst>
          </xdr:cNvPr>
          <xdr:cNvSpPr txBox="1"/>
        </xdr:nvSpPr>
        <xdr:spPr>
          <a:xfrm>
            <a:off x="39530506" y="988677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TCO</a:t>
            </a:r>
          </a:p>
        </xdr:txBody>
      </xdr:sp>
      <xdr:sp macro="" textlink="q11_q13_q15_q17_Fig!$BH$5">
        <xdr:nvSpPr>
          <xdr:cNvPr id="49" name="CaixaDeTexto 48">
            <a:extLst>
              <a:ext uri="{FF2B5EF4-FFF2-40B4-BE49-F238E27FC236}">
                <a16:creationId xmlns:a16="http://schemas.microsoft.com/office/drawing/2014/main" id="{00000000-0008-0000-0700-000031000000}"/>
              </a:ext>
            </a:extLst>
          </xdr:cNvPr>
          <xdr:cNvSpPr txBox="1"/>
        </xdr:nvSpPr>
        <xdr:spPr>
          <a:xfrm>
            <a:off x="39525173" y="10159489"/>
            <a:ext cx="977045" cy="2576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CB4B404-2108-4C4D-A04B-A6D5F7F0544E}" type="TxLink">
              <a:rPr lang="en-US" sz="1000" b="1" i="0" u="none" strike="noStrike">
                <a:solidFill>
                  <a:schemeClr val="bg1"/>
                </a:solidFill>
                <a:latin typeface="Arial"/>
                <a:ea typeface="+mn-ea"/>
                <a:cs typeface="Arial"/>
              </a:rPr>
              <a:pPr marL="0" indent="0" algn="ctr"/>
              <a:t>38,3%</a:t>
            </a:fld>
            <a:endParaRPr lang="pt-PT" sz="1000" b="1" i="0" u="none" strike="noStrike">
              <a:solidFill>
                <a:schemeClr val="bg1"/>
              </a:solidFill>
              <a:latin typeface="+mn-lt"/>
              <a:ea typeface="+mn-ea"/>
              <a:cs typeface="Arial"/>
            </a:endParaRPr>
          </a:p>
        </xdr:txBody>
      </xdr:sp>
      <xdr:sp macro="" textlink="q11_q13_q15_q17_Fig!$BH$4">
        <xdr:nvSpPr>
          <xdr:cNvPr id="50" name="CaixaDeTexto 49">
            <a:extLst>
              <a:ext uri="{FF2B5EF4-FFF2-40B4-BE49-F238E27FC236}">
                <a16:creationId xmlns:a16="http://schemas.microsoft.com/office/drawing/2014/main" id="{00000000-0008-0000-0700-000032000000}"/>
              </a:ext>
            </a:extLst>
          </xdr:cNvPr>
          <xdr:cNvSpPr txBox="1"/>
        </xdr:nvSpPr>
        <xdr:spPr>
          <a:xfrm>
            <a:off x="39527026" y="9368566"/>
            <a:ext cx="977045" cy="2576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4234B1-07DF-4947-B48B-976B47D35BDC}" type="TxLink">
              <a:rPr lang="en-US" sz="1000" b="1" i="0" u="none" strike="noStrike">
                <a:solidFill>
                  <a:schemeClr val="bg1"/>
                </a:solidFill>
                <a:latin typeface="Arial"/>
                <a:cs typeface="Arial"/>
              </a:rPr>
              <a:pPr algn="ctr"/>
              <a:t>36,5%</a:t>
            </a:fld>
            <a:endParaRPr lang="pt-PT" sz="1000" b="1">
              <a:solidFill>
                <a:schemeClr val="bg1"/>
              </a:solidFill>
              <a:latin typeface="+mn-lt"/>
            </a:endParaRPr>
          </a:p>
        </xdr:txBody>
      </xdr:sp>
    </xdr:grpSp>
    <xdr:clientData/>
  </xdr:twoCellAnchor>
  <xdr:twoCellAnchor>
    <xdr:from>
      <xdr:col>0</xdr:col>
      <xdr:colOff>27383</xdr:colOff>
      <xdr:row>27</xdr:row>
      <xdr:rowOff>80564</xdr:rowOff>
    </xdr:from>
    <xdr:to>
      <xdr:col>22</xdr:col>
      <xdr:colOff>574675</xdr:colOff>
      <xdr:row>28</xdr:row>
      <xdr:rowOff>186003</xdr:rowOff>
    </xdr:to>
    <xdr:grpSp>
      <xdr:nvGrpSpPr>
        <xdr:cNvPr id="51" name="Agrupar 50">
          <a:extLst>
            <a:ext uri="{FF2B5EF4-FFF2-40B4-BE49-F238E27FC236}">
              <a16:creationId xmlns:a16="http://schemas.microsoft.com/office/drawing/2014/main" id="{00000000-0008-0000-0700-000033000000}"/>
            </a:ext>
          </a:extLst>
        </xdr:cNvPr>
        <xdr:cNvGrpSpPr/>
      </xdr:nvGrpSpPr>
      <xdr:grpSpPr>
        <a:xfrm>
          <a:off x="27383" y="5224064"/>
          <a:ext cx="13005992" cy="295939"/>
          <a:chOff x="0" y="3905035"/>
          <a:chExt cx="13591566" cy="304035"/>
        </a:xfrm>
      </xdr:grpSpPr>
      <xdr:grpSp>
        <xdr:nvGrpSpPr>
          <xdr:cNvPr id="52" name="Agrupar 51">
            <a:extLst>
              <a:ext uri="{FF2B5EF4-FFF2-40B4-BE49-F238E27FC236}">
                <a16:creationId xmlns:a16="http://schemas.microsoft.com/office/drawing/2014/main" id="{00000000-0008-0000-0700-000034000000}"/>
              </a:ext>
            </a:extLst>
          </xdr:cNvPr>
          <xdr:cNvGrpSpPr/>
        </xdr:nvGrpSpPr>
        <xdr:grpSpPr>
          <a:xfrm>
            <a:off x="0" y="3905035"/>
            <a:ext cx="13591566" cy="304035"/>
            <a:chOff x="230187" y="612160"/>
            <a:chExt cx="5846763" cy="499090"/>
          </a:xfrm>
        </xdr:grpSpPr>
        <xdr:sp macro="" textlink="">
          <xdr:nvSpPr>
            <xdr:cNvPr id="56" name="Rectangle 3">
              <a:extLst>
                <a:ext uri="{FF2B5EF4-FFF2-40B4-BE49-F238E27FC236}">
                  <a16:creationId xmlns:a16="http://schemas.microsoft.com/office/drawing/2014/main" id="{00000000-0008-0000-0700-000038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61" name="Text Box 10">
              <a:extLst>
                <a:ext uri="{FF2B5EF4-FFF2-40B4-BE49-F238E27FC236}">
                  <a16:creationId xmlns:a16="http://schemas.microsoft.com/office/drawing/2014/main" id="{00000000-0008-0000-0700-00003D000000}"/>
                </a:ext>
              </a:extLst>
            </xdr:cNvPr>
            <xdr:cNvSpPr txBox="1">
              <a:spLocks noChangeArrowheads="1"/>
            </xdr:cNvSpPr>
          </xdr:nvSpPr>
          <xdr:spPr bwMode="auto">
            <a:xfrm>
              <a:off x="273050" y="612160"/>
              <a:ext cx="805289" cy="415292"/>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grpSp>
        <xdr:nvGrpSpPr>
          <xdr:cNvPr id="53" name="Agrupar 52">
            <a:extLst>
              <a:ext uri="{FF2B5EF4-FFF2-40B4-BE49-F238E27FC236}">
                <a16:creationId xmlns:a16="http://schemas.microsoft.com/office/drawing/2014/main" id="{00000000-0008-0000-0700-000035000000}"/>
              </a:ext>
            </a:extLst>
          </xdr:cNvPr>
          <xdr:cNvGrpSpPr/>
        </xdr:nvGrpSpPr>
        <xdr:grpSpPr>
          <a:xfrm>
            <a:off x="7195259" y="3946443"/>
            <a:ext cx="2821173" cy="222758"/>
            <a:chOff x="5945143" y="4242122"/>
            <a:chExt cx="2688263" cy="235546"/>
          </a:xfrm>
        </xdr:grpSpPr>
        <mc:AlternateContent xmlns:mc="http://schemas.openxmlformats.org/markup-compatibility/2006">
          <mc:Choice xmlns:a14="http://schemas.microsoft.com/office/drawing/2010/main" Requires="a14">
            <xdr:sp macro="" textlink="">
              <xdr:nvSpPr>
                <xdr:cNvPr id="5125" name="Drop Down 5" hidden="1">
                  <a:extLst>
                    <a:ext uri="{63B3BB69-23CF-44E3-9099-C40C66FF867C}">
                      <a14:compatExt spid="_x0000_s5125"/>
                    </a:ext>
                    <a:ext uri="{FF2B5EF4-FFF2-40B4-BE49-F238E27FC236}">
                      <a16:creationId xmlns:a16="http://schemas.microsoft.com/office/drawing/2014/main" id="{00000000-0008-0000-0700-000005140000}"/>
                    </a:ext>
                  </a:extLst>
                </xdr:cNvPr>
                <xdr:cNvSpPr/>
              </xdr:nvSpPr>
              <xdr:spPr bwMode="auto">
                <a:xfrm>
                  <a:off x="7393138" y="4254325"/>
                  <a:ext cx="1240268" cy="203873"/>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5" name="Text Box 10">
              <a:extLst>
                <a:ext uri="{FF2B5EF4-FFF2-40B4-BE49-F238E27FC236}">
                  <a16:creationId xmlns:a16="http://schemas.microsoft.com/office/drawing/2014/main" id="{00000000-0008-0000-0700-000037000000}"/>
                </a:ext>
              </a:extLst>
            </xdr:cNvPr>
            <xdr:cNvSpPr txBox="1">
              <a:spLocks noChangeArrowheads="1"/>
            </xdr:cNvSpPr>
          </xdr:nvSpPr>
          <xdr:spPr bwMode="auto">
            <a:xfrm>
              <a:off x="5945143" y="4242122"/>
              <a:ext cx="1421051" cy="235546"/>
            </a:xfrm>
            <a:prstGeom prst="rect">
              <a:avLst/>
            </a:prstGeom>
            <a:solidFill>
              <a:srgbClr val="FFE600"/>
            </a:solidFill>
            <a:ln w="9525">
              <a:solidFill>
                <a:srgbClr val="000000"/>
              </a:solidFill>
              <a:miter lim="800000"/>
              <a:headEnd/>
              <a:tailEnd/>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uma opção:</a:t>
              </a:r>
              <a:endParaRPr lang="en-US" altLang="pt-PT" sz="1200" b="1">
                <a:solidFill>
                  <a:schemeClr val="tx2">
                    <a:lumMod val="75000"/>
                  </a:schemeClr>
                </a:solidFill>
                <a:latin typeface="Arial" charset="0"/>
              </a:endParaRPr>
            </a:p>
          </xdr:txBody>
        </xdr:sp>
      </xdr:grpSp>
    </xdr:grpSp>
    <xdr:clientData/>
  </xdr:twoCellAnchor>
  <xdr:twoCellAnchor>
    <xdr:from>
      <xdr:col>15</xdr:col>
      <xdr:colOff>572076</xdr:colOff>
      <xdr:row>29</xdr:row>
      <xdr:rowOff>98140</xdr:rowOff>
    </xdr:from>
    <xdr:to>
      <xdr:col>22</xdr:col>
      <xdr:colOff>500901</xdr:colOff>
      <xdr:row>34</xdr:row>
      <xdr:rowOff>5046</xdr:rowOff>
    </xdr:to>
    <xdr:sp macro="" textlink="q11_q13_q15_q17_Fig!$R$110">
      <xdr:nvSpPr>
        <xdr:cNvPr id="62" name="CaixaDeTexto 61">
          <a:extLst>
            <a:ext uri="{FF2B5EF4-FFF2-40B4-BE49-F238E27FC236}">
              <a16:creationId xmlns:a16="http://schemas.microsoft.com/office/drawing/2014/main" id="{00000000-0008-0000-0700-00003E000000}"/>
            </a:ext>
          </a:extLst>
        </xdr:cNvPr>
        <xdr:cNvSpPr txBox="1"/>
      </xdr:nvSpPr>
      <xdr:spPr>
        <a:xfrm>
          <a:off x="9398576" y="5446251"/>
          <a:ext cx="4176269" cy="824128"/>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B6EB5655-C640-488E-84BF-C9F5455959BF}" type="TxLink">
            <a:rPr lang="en-US" sz="900" b="0" i="0" u="none" strike="noStrike" baseline="0">
              <a:solidFill>
                <a:srgbClr val="000000"/>
              </a:solidFill>
              <a:effectLst/>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Entre 2013 e 2023:
Micro e Pequenos estabelecimentos têm ao serviço mais de 55% das pessoas (entre 55,9% em 2023, e 61,1% em 2013)
Micro estabelecimentos: entre 25,6% (2023) e 31,6% (2013).
Pequenos estabelecimentos: entre 29,5% (2013) e 30,3% (2023).</a:t>
          </a:fld>
          <a:endParaRPr lang="en-US" sz="900" b="0" baseline="0">
            <a:solidFill>
              <a:schemeClr val="dk1"/>
            </a:solidFill>
            <a:effectLst/>
            <a:latin typeface="+mn-lt"/>
            <a:ea typeface="+mn-ea"/>
            <a:cs typeface="+mn-cs"/>
          </a:endParaRPr>
        </a:p>
      </xdr:txBody>
    </xdr:sp>
    <xdr:clientData/>
  </xdr:twoCellAnchor>
  <xdr:twoCellAnchor>
    <xdr:from>
      <xdr:col>21</xdr:col>
      <xdr:colOff>19050</xdr:colOff>
      <xdr:row>0</xdr:row>
      <xdr:rowOff>98426</xdr:rowOff>
    </xdr:from>
    <xdr:to>
      <xdr:col>22</xdr:col>
      <xdr:colOff>471541</xdr:colOff>
      <xdr:row>1</xdr:row>
      <xdr:rowOff>145353</xdr:rowOff>
    </xdr:to>
    <xdr:sp macro="" textlink="">
      <xdr:nvSpPr>
        <xdr:cNvPr id="42" name="Text Box 10">
          <a:hlinkClick xmlns:r="http://schemas.openxmlformats.org/officeDocument/2006/relationships" r:id="rId9"/>
          <a:extLst>
            <a:ext uri="{FF2B5EF4-FFF2-40B4-BE49-F238E27FC236}">
              <a16:creationId xmlns:a16="http://schemas.microsoft.com/office/drawing/2014/main" id="{00000000-0008-0000-0700-00002A000000}"/>
            </a:ext>
          </a:extLst>
        </xdr:cNvPr>
        <xdr:cNvSpPr txBox="1">
          <a:spLocks noChangeArrowheads="1"/>
        </xdr:cNvSpPr>
      </xdr:nvSpPr>
      <xdr:spPr bwMode="auto">
        <a:xfrm>
          <a:off x="11896725" y="98426"/>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0</xdr:col>
      <xdr:colOff>169334</xdr:colOff>
      <xdr:row>4</xdr:row>
      <xdr:rowOff>134055</xdr:rowOff>
    </xdr:from>
    <xdr:to>
      <xdr:col>7</xdr:col>
      <xdr:colOff>73817</xdr:colOff>
      <xdr:row>8</xdr:row>
      <xdr:rowOff>133347</xdr:rowOff>
    </xdr:to>
    <xdr:sp macro="" textlink="">
      <xdr:nvSpPr>
        <xdr:cNvPr id="43" name="CaixaDeTexto 42">
          <a:extLst>
            <a:ext uri="{FF2B5EF4-FFF2-40B4-BE49-F238E27FC236}">
              <a16:creationId xmlns:a16="http://schemas.microsoft.com/office/drawing/2014/main" id="{00000000-0008-0000-0700-00002B000000}"/>
            </a:ext>
          </a:extLst>
        </xdr:cNvPr>
        <xdr:cNvSpPr txBox="1"/>
      </xdr:nvSpPr>
      <xdr:spPr>
        <a:xfrm>
          <a:off x="169334" y="867833"/>
          <a:ext cx="4053150" cy="740125"/>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900" b="1" u="sng" baseline="0">
              <a:solidFill>
                <a:schemeClr val="dk1"/>
              </a:solidFill>
              <a:effectLst/>
              <a:latin typeface="+mn-lt"/>
              <a:ea typeface="+mn-ea"/>
              <a:cs typeface="+mn-cs"/>
            </a:rPr>
            <a:t>2023:</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2023 vs. 2022</a:t>
          </a:r>
          <a:r>
            <a:rPr lang="en-US" sz="900" b="1" baseline="0">
              <a:solidFill>
                <a:schemeClr val="dk1"/>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291.252 empresas                                         + 6.392 empresas (+2,2%)</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340.364 estabelecimentos                           + 7.681 stabelecimentos (+2,3%)</a:t>
          </a:r>
        </a:p>
      </xdr:txBody>
    </xdr:sp>
    <xdr:clientData/>
  </xdr:twoCellAnchor>
  <xdr:twoCellAnchor>
    <xdr:from>
      <xdr:col>0</xdr:col>
      <xdr:colOff>303389</xdr:colOff>
      <xdr:row>29</xdr:row>
      <xdr:rowOff>98778</xdr:rowOff>
    </xdr:from>
    <xdr:to>
      <xdr:col>7</xdr:col>
      <xdr:colOff>207872</xdr:colOff>
      <xdr:row>33</xdr:row>
      <xdr:rowOff>105125</xdr:rowOff>
    </xdr:to>
    <xdr:sp macro="" textlink="">
      <xdr:nvSpPr>
        <xdr:cNvPr id="54" name="CaixaDeTexto 53">
          <a:extLst>
            <a:ext uri="{FF2B5EF4-FFF2-40B4-BE49-F238E27FC236}">
              <a16:creationId xmlns:a16="http://schemas.microsoft.com/office/drawing/2014/main" id="{00000000-0008-0000-0700-000036000000}"/>
            </a:ext>
          </a:extLst>
        </xdr:cNvPr>
        <xdr:cNvSpPr txBox="1"/>
      </xdr:nvSpPr>
      <xdr:spPr>
        <a:xfrm>
          <a:off x="303389" y="5446889"/>
          <a:ext cx="4053150" cy="740125"/>
        </a:xfrm>
        <a:prstGeom prst="rect">
          <a:avLst/>
        </a:prstGeom>
        <a:noFill/>
        <a:ln w="28575" cmpd="sng">
          <a:solidFill>
            <a:srgbClr val="4F81BD"/>
          </a:solidFill>
        </a:ln>
        <a:effectLst/>
      </xdr:spPr>
      <xdr:txBody>
        <a:bodyPr vertOverflow="clip" horzOverflow="clip" wrap="square" rtlCol="0" anchor="ctr"/>
        <a:lstStyle/>
        <a:p>
          <a:pPr eaLnBrk="1" fontAlgn="auto" latinLnBrk="0" hangingPunct="1"/>
          <a:r>
            <a:rPr lang="en-US" sz="900" b="1" u="sng" baseline="0">
              <a:effectLst/>
              <a:latin typeface="+mn-lt"/>
              <a:ea typeface="+mn-ea"/>
              <a:cs typeface="+mn-cs"/>
            </a:rPr>
            <a:t>2023:</a:t>
          </a:r>
          <a:r>
            <a:rPr lang="en-US" sz="900" b="1" baseline="0">
              <a:effectLst/>
              <a:latin typeface="+mn-lt"/>
              <a:ea typeface="+mn-ea"/>
              <a:cs typeface="+mn-cs"/>
            </a:rPr>
            <a:t>                                                           </a:t>
          </a:r>
          <a:r>
            <a:rPr lang="en-US" sz="900" b="1" u="sng" baseline="0">
              <a:effectLst/>
              <a:latin typeface="+mn-lt"/>
              <a:ea typeface="+mn-ea"/>
              <a:cs typeface="+mn-cs"/>
            </a:rPr>
            <a:t>2023 vs. 2022</a:t>
          </a:r>
          <a:r>
            <a:rPr lang="en-US" sz="900" b="1" baseline="0">
              <a:effectLst/>
              <a:latin typeface="+mn-lt"/>
              <a:ea typeface="+mn-ea"/>
              <a:cs typeface="+mn-cs"/>
            </a:rPr>
            <a:t>: </a:t>
          </a:r>
        </a:p>
        <a:p>
          <a:pPr eaLnBrk="1" fontAlgn="auto" latinLnBrk="0" hangingPunct="1"/>
          <a:r>
            <a:rPr lang="en-US" sz="900" b="0" baseline="0">
              <a:effectLst/>
              <a:latin typeface="+mn-lt"/>
              <a:ea typeface="+mn-ea"/>
              <a:cs typeface="+mn-cs"/>
            </a:rPr>
            <a:t>3.489.583 pessoas ao serviço               + 152.501 pessoas ao serviço (+ 4,6%)</a:t>
          </a:r>
        </a:p>
        <a:p>
          <a:pPr eaLnBrk="1" fontAlgn="auto" latinLnBrk="0" hangingPunct="1"/>
          <a:r>
            <a:rPr lang="en-US" sz="900" b="0" baseline="0">
              <a:effectLst/>
              <a:latin typeface="+mn-lt"/>
              <a:ea typeface="+mn-ea"/>
              <a:cs typeface="+mn-cs"/>
            </a:rPr>
            <a:t>3.296.134 TCO                                         + 147.987 TCO (+ 4,7%)</a:t>
          </a:r>
        </a:p>
      </xdr:txBody>
    </xdr:sp>
    <xdr:clientData/>
  </xdr:twoCellAnchor>
</xdr:wsDr>
</file>

<file path=xl/drawings/drawing70.xml><?xml version="1.0" encoding="utf-8"?>
<xdr:wsDr xmlns:xdr="http://schemas.openxmlformats.org/drawingml/2006/spreadsheetDrawing" xmlns:a="http://schemas.openxmlformats.org/drawingml/2006/main">
  <xdr:oneCellAnchor>
    <xdr:from>
      <xdr:col>11</xdr:col>
      <xdr:colOff>0</xdr:colOff>
      <xdr:row>0</xdr:row>
      <xdr:rowOff>238125</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600700" y="238125"/>
          <a:ext cx="790476" cy="276190"/>
        </a:xfrm>
        <a:prstGeom prst="rect">
          <a:avLst/>
        </a:prstGeom>
        <a:noFill/>
        <a:ln w="1">
          <a:noFill/>
          <a:miter lim="800000"/>
          <a:headEnd/>
          <a:tailEnd type="none" w="med" len="med"/>
        </a:ln>
        <a:effectLst/>
      </xdr:spPr>
    </xdr:pic>
    <xdr:clientData fPrintsWithSheet="0"/>
  </xdr:oneCellAnchor>
</xdr:wsDr>
</file>

<file path=xl/drawings/drawing71.xml><?xml version="1.0" encoding="utf-8"?>
<xdr:wsDr xmlns:xdr="http://schemas.openxmlformats.org/drawingml/2006/spreadsheetDrawing" xmlns:a="http://schemas.openxmlformats.org/drawingml/2006/main">
  <xdr:oneCellAnchor>
    <xdr:from>
      <xdr:col>10</xdr:col>
      <xdr:colOff>142874</xdr:colOff>
      <xdr:row>0</xdr:row>
      <xdr:rowOff>323850</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24474" y="323850"/>
          <a:ext cx="790476" cy="276190"/>
        </a:xfrm>
        <a:prstGeom prst="rect">
          <a:avLst/>
        </a:prstGeom>
        <a:noFill/>
        <a:ln w="1">
          <a:noFill/>
          <a:miter lim="800000"/>
          <a:headEnd/>
          <a:tailEnd type="none" w="med" len="med"/>
        </a:ln>
        <a:effectLst/>
      </xdr:spPr>
    </xdr:pic>
    <xdr:clientData fPrintsWithSheet="0"/>
  </xdr:oneCellAnchor>
</xdr:wsDr>
</file>

<file path=xl/drawings/drawing72.xml><?xml version="1.0" encoding="utf-8"?>
<xdr:wsDr xmlns:xdr="http://schemas.openxmlformats.org/drawingml/2006/spreadsheetDrawing" xmlns:a="http://schemas.openxmlformats.org/drawingml/2006/main">
  <xdr:oneCellAnchor>
    <xdr:from>
      <xdr:col>10</xdr:col>
      <xdr:colOff>171449</xdr:colOff>
      <xdr:row>0</xdr:row>
      <xdr:rowOff>314325</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53049" y="314325"/>
          <a:ext cx="790476" cy="276190"/>
        </a:xfrm>
        <a:prstGeom prst="rect">
          <a:avLst/>
        </a:prstGeom>
        <a:noFill/>
        <a:ln w="1">
          <a:noFill/>
          <a:miter lim="800000"/>
          <a:headEnd/>
          <a:tailEnd type="none" w="med" len="med"/>
        </a:ln>
        <a:effectLst/>
      </xdr:spPr>
    </xdr:pic>
    <xdr:clientData fPrintsWithSheet="0"/>
  </xdr:oneCellAnchor>
</xdr:wsDr>
</file>

<file path=xl/drawings/drawing73.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2" name="Picture 5">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603999" y="304800"/>
          <a:ext cx="790476" cy="276190"/>
        </a:xfrm>
        <a:prstGeom prst="rect">
          <a:avLst/>
        </a:prstGeom>
        <a:noFill/>
        <a:ln w="1">
          <a:noFill/>
          <a:miter lim="800000"/>
          <a:headEnd/>
          <a:tailEnd type="none" w="med" len="med"/>
        </a:ln>
        <a:effectLst/>
      </xdr:spPr>
    </xdr:pic>
    <xdr:clientData fPrintsWithSheet="0"/>
  </xdr:oneCellAnchor>
</xdr:wsDr>
</file>

<file path=xl/drawings/drawing74.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2C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2C00-000003000000}"/>
            </a:ext>
          </a:extLst>
        </xdr:cNvPr>
        <xdr:cNvSpPr>
          <a:spLocks noChangeArrowheads="1"/>
        </xdr:cNvSpPr>
      </xdr:nvSpPr>
      <xdr:spPr bwMode="auto">
        <a:xfrm>
          <a:off x="5365750" y="1393825"/>
          <a:ext cx="219075" cy="1065213"/>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2C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57151</xdr:rowOff>
    </xdr:from>
    <xdr:to>
      <xdr:col>10</xdr:col>
      <xdr:colOff>533400</xdr:colOff>
      <xdr:row>7</xdr:row>
      <xdr:rowOff>58739</xdr:rowOff>
    </xdr:to>
    <xdr:sp macro="" textlink="">
      <xdr:nvSpPr>
        <xdr:cNvPr id="5" name="Line 7">
          <a:extLst>
            <a:ext uri="{FF2B5EF4-FFF2-40B4-BE49-F238E27FC236}">
              <a16:creationId xmlns:a16="http://schemas.microsoft.com/office/drawing/2014/main" id="{00000000-0008-0000-2C00-000005000000}"/>
            </a:ext>
          </a:extLst>
        </xdr:cNvPr>
        <xdr:cNvSpPr>
          <a:spLocks noChangeShapeType="1"/>
        </xdr:cNvSpPr>
      </xdr:nvSpPr>
      <xdr:spPr bwMode="auto">
        <a:xfrm flipV="1">
          <a:off x="4973637" y="1390651"/>
          <a:ext cx="1370013"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2C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2C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28</xdr:row>
      <xdr:rowOff>73025</xdr:rowOff>
    </xdr:from>
    <xdr:to>
      <xdr:col>10</xdr:col>
      <xdr:colOff>536575</xdr:colOff>
      <xdr:row>32</xdr:row>
      <xdr:rowOff>46038</xdr:rowOff>
    </xdr:to>
    <xdr:sp macro="" textlink="">
      <xdr:nvSpPr>
        <xdr:cNvPr id="8" name="Rectangle 2">
          <a:extLst>
            <a:ext uri="{FF2B5EF4-FFF2-40B4-BE49-F238E27FC236}">
              <a16:creationId xmlns:a16="http://schemas.microsoft.com/office/drawing/2014/main" id="{00000000-0008-0000-2C00-000008000000}"/>
            </a:ext>
          </a:extLst>
        </xdr:cNvPr>
        <xdr:cNvSpPr>
          <a:spLocks noChangeArrowheads="1"/>
        </xdr:cNvSpPr>
      </xdr:nvSpPr>
      <xdr:spPr bwMode="auto">
        <a:xfrm>
          <a:off x="0" y="44545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27</xdr:row>
      <xdr:rowOff>101600</xdr:rowOff>
    </xdr:from>
    <xdr:to>
      <xdr:col>5</xdr:col>
      <xdr:colOff>547687</xdr:colOff>
      <xdr:row>31</xdr:row>
      <xdr:rowOff>68263</xdr:rowOff>
    </xdr:to>
    <xdr:sp macro="" textlink="">
      <xdr:nvSpPr>
        <xdr:cNvPr id="9" name="Rectangle 3">
          <a:extLst>
            <a:ext uri="{FF2B5EF4-FFF2-40B4-BE49-F238E27FC236}">
              <a16:creationId xmlns:a16="http://schemas.microsoft.com/office/drawing/2014/main" id="{00000000-0008-0000-2C00-000009000000}"/>
            </a:ext>
          </a:extLst>
        </xdr:cNvPr>
        <xdr:cNvSpPr>
          <a:spLocks noChangeArrowheads="1"/>
        </xdr:cNvSpPr>
      </xdr:nvSpPr>
      <xdr:spPr bwMode="auto">
        <a:xfrm>
          <a:off x="147637" y="4292600"/>
          <a:ext cx="3305175" cy="728663"/>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158750</xdr:colOff>
      <xdr:row>28</xdr:row>
      <xdr:rowOff>147638</xdr:rowOff>
    </xdr:from>
    <xdr:to>
      <xdr:col>4</xdr:col>
      <xdr:colOff>277812</xdr:colOff>
      <xdr:row>30</xdr:row>
      <xdr:rowOff>84321</xdr:rowOff>
    </xdr:to>
    <xdr:sp macro="" textlink="">
      <xdr:nvSpPr>
        <xdr:cNvPr id="10" name="Text Box 10">
          <a:extLst>
            <a:ext uri="{FF2B5EF4-FFF2-40B4-BE49-F238E27FC236}">
              <a16:creationId xmlns:a16="http://schemas.microsoft.com/office/drawing/2014/main" id="{00000000-0008-0000-2C00-00000A000000}"/>
            </a:ext>
          </a:extLst>
        </xdr:cNvPr>
        <xdr:cNvSpPr txBox="1">
          <a:spLocks noChangeArrowheads="1"/>
        </xdr:cNvSpPr>
      </xdr:nvSpPr>
      <xdr:spPr bwMode="auto">
        <a:xfrm>
          <a:off x="158750" y="4529138"/>
          <a:ext cx="2443162"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Emprego</a:t>
          </a:r>
        </a:p>
      </xdr:txBody>
    </xdr:sp>
    <xdr:clientData/>
  </xdr:twoCellAnchor>
  <xdr:twoCellAnchor>
    <xdr:from>
      <xdr:col>10</xdr:col>
      <xdr:colOff>196850</xdr:colOff>
      <xdr:row>29</xdr:row>
      <xdr:rowOff>11113</xdr:rowOff>
    </xdr:from>
    <xdr:to>
      <xdr:col>10</xdr:col>
      <xdr:colOff>307975</xdr:colOff>
      <xdr:row>31</xdr:row>
      <xdr:rowOff>100013</xdr:rowOff>
    </xdr:to>
    <xdr:sp macro="" textlink="">
      <xdr:nvSpPr>
        <xdr:cNvPr id="11" name="WordArt 4">
          <a:extLst>
            <a:ext uri="{FF2B5EF4-FFF2-40B4-BE49-F238E27FC236}">
              <a16:creationId xmlns:a16="http://schemas.microsoft.com/office/drawing/2014/main" id="{00000000-0008-0000-2C00-00000B000000}"/>
            </a:ext>
          </a:extLst>
        </xdr:cNvPr>
        <xdr:cNvSpPr>
          <a:spLocks noChangeArrowheads="1" noChangeShapeType="1" noTextEdit="1"/>
        </xdr:cNvSpPr>
      </xdr:nvSpPr>
      <xdr:spPr bwMode="auto">
        <a:xfrm>
          <a:off x="6007100" y="4583113"/>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9</xdr:col>
      <xdr:colOff>552450</xdr:colOff>
      <xdr:row>29</xdr:row>
      <xdr:rowOff>0</xdr:rowOff>
    </xdr:from>
    <xdr:to>
      <xdr:col>10</xdr:col>
      <xdr:colOff>83025</xdr:colOff>
      <xdr:row>31</xdr:row>
      <xdr:rowOff>90600</xdr:rowOff>
    </xdr:to>
    <xdr:sp macro="" textlink="">
      <xdr:nvSpPr>
        <xdr:cNvPr id="40961" name="Text Box 1">
          <a:extLst>
            <a:ext uri="{FF2B5EF4-FFF2-40B4-BE49-F238E27FC236}">
              <a16:creationId xmlns:a16="http://schemas.microsoft.com/office/drawing/2014/main" id="{00000000-0008-0000-2C00-000001A00000}"/>
            </a:ext>
          </a:extLst>
        </xdr:cNvPr>
        <xdr:cNvSpPr txBox="1">
          <a:spLocks noChangeArrowheads="1"/>
        </xdr:cNvSpPr>
      </xdr:nvSpPr>
      <xdr:spPr bwMode="auto">
        <a:xfrm>
          <a:off x="5781675" y="4572000"/>
          <a:ext cx="111600" cy="471600"/>
        </a:xfrm>
        <a:prstGeom prst="rect">
          <a:avLst/>
        </a:prstGeom>
        <a:solidFill>
          <a:srgbClr val="00467A"/>
        </a:solidFill>
        <a:ln w="9525">
          <a:solidFill>
            <a:schemeClr val="bg1"/>
          </a:solid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editAs="absolute">
    <xdr:from>
      <xdr:col>11</xdr:col>
      <xdr:colOff>139700</xdr:colOff>
      <xdr:row>0</xdr:row>
      <xdr:rowOff>273050</xdr:rowOff>
    </xdr:from>
    <xdr:to>
      <xdr:col>12</xdr:col>
      <xdr:colOff>438050</xdr:colOff>
      <xdr:row>2</xdr:row>
      <xdr:rowOff>38061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677025" y="276225"/>
          <a:ext cx="800000" cy="314286"/>
        </a:xfrm>
        <a:prstGeom prst="rect">
          <a:avLst/>
        </a:prstGeom>
        <a:noFill/>
        <a:ln w="1">
          <a:noFill/>
          <a:miter lim="800000"/>
          <a:headEnd/>
          <a:tailEnd type="none" w="med" len="med"/>
        </a:ln>
        <a:effectLst/>
      </xdr:spPr>
    </xdr:pic>
    <xdr:clientData fPrintsWithSheet="0"/>
  </xdr:twoCellAnchor>
</xdr:wsDr>
</file>

<file path=xl/drawings/drawing76.xml><?xml version="1.0" encoding="utf-8"?>
<xdr:wsDr xmlns:xdr="http://schemas.openxmlformats.org/drawingml/2006/spreadsheetDrawing" xmlns:a="http://schemas.openxmlformats.org/drawingml/2006/main">
  <xdr:twoCellAnchor editAs="absolute">
    <xdr:from>
      <xdr:col>10</xdr:col>
      <xdr:colOff>152400</xdr:colOff>
      <xdr:row>0</xdr:row>
      <xdr:rowOff>285750</xdr:rowOff>
    </xdr:from>
    <xdr:to>
      <xdr:col>11</xdr:col>
      <xdr:colOff>450750</xdr:colOff>
      <xdr:row>2</xdr:row>
      <xdr:rowOff>50761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38825" y="285750"/>
          <a:ext cx="800000" cy="314286"/>
        </a:xfrm>
        <a:prstGeom prst="rect">
          <a:avLst/>
        </a:prstGeom>
        <a:noFill/>
        <a:ln w="1">
          <a:noFill/>
          <a:miter lim="800000"/>
          <a:headEnd/>
          <a:tailEnd type="none" w="med" len="med"/>
        </a:ln>
        <a:effectLst/>
      </xdr:spPr>
    </xdr:pic>
    <xdr:clientData fPrintsWithSheet="0"/>
  </xdr:twoCellAnchor>
</xdr:wsDr>
</file>

<file path=xl/drawings/drawing77.xml><?xml version="1.0" encoding="utf-8"?>
<xdr:wsDr xmlns:xdr="http://schemas.openxmlformats.org/drawingml/2006/spreadsheetDrawing" xmlns:a="http://schemas.openxmlformats.org/drawingml/2006/main">
  <xdr:twoCellAnchor editAs="absolute">
    <xdr:from>
      <xdr:col>10</xdr:col>
      <xdr:colOff>171450</xdr:colOff>
      <xdr:row>0</xdr:row>
      <xdr:rowOff>266700</xdr:rowOff>
    </xdr:from>
    <xdr:to>
      <xdr:col>11</xdr:col>
      <xdr:colOff>466625</xdr:colOff>
      <xdr:row>2</xdr:row>
      <xdr:rowOff>28536</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57875" y="266700"/>
          <a:ext cx="800000" cy="314286"/>
        </a:xfrm>
        <a:prstGeom prst="rect">
          <a:avLst/>
        </a:prstGeom>
        <a:noFill/>
        <a:ln w="1">
          <a:noFill/>
          <a:miter lim="800000"/>
          <a:headEnd/>
          <a:tailEnd type="none" w="med" len="med"/>
        </a:ln>
        <a:effectLst/>
      </xdr:spPr>
    </xdr:pic>
    <xdr:clientData fPrintsWithSheet="0"/>
  </xdr:twoCellAnchor>
</xdr:wsDr>
</file>

<file path=xl/drawings/drawing78.xml><?xml version="1.0" encoding="utf-8"?>
<xdr:wsDr xmlns:xdr="http://schemas.openxmlformats.org/drawingml/2006/spreadsheetDrawing" xmlns:a="http://schemas.openxmlformats.org/drawingml/2006/main">
  <xdr:twoCellAnchor editAs="absolute">
    <xdr:from>
      <xdr:col>10</xdr:col>
      <xdr:colOff>114300</xdr:colOff>
      <xdr:row>0</xdr:row>
      <xdr:rowOff>298450</xdr:rowOff>
    </xdr:from>
    <xdr:to>
      <xdr:col>11</xdr:col>
      <xdr:colOff>409475</xdr:colOff>
      <xdr:row>2</xdr:row>
      <xdr:rowOff>60286</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565900" y="298450"/>
          <a:ext cx="822225" cy="314286"/>
        </a:xfrm>
        <a:prstGeom prst="rect">
          <a:avLst/>
        </a:prstGeom>
        <a:noFill/>
        <a:ln w="1">
          <a:noFill/>
          <a:miter lim="800000"/>
          <a:headEnd/>
          <a:tailEnd type="none" w="med" len="med"/>
        </a:ln>
        <a:effectLst/>
      </xdr:spPr>
    </xdr:pic>
    <xdr:clientData fPrintsWithSheet="0"/>
  </xdr:twoCellAnchor>
</xdr:wsDr>
</file>

<file path=xl/drawings/drawing79.xml><?xml version="1.0" encoding="utf-8"?>
<xdr:wsDr xmlns:xdr="http://schemas.openxmlformats.org/drawingml/2006/spreadsheetDrawing" xmlns:a="http://schemas.openxmlformats.org/drawingml/2006/main">
  <xdr:twoCellAnchor editAs="absolute">
    <xdr:from>
      <xdr:col>11</xdr:col>
      <xdr:colOff>142875</xdr:colOff>
      <xdr:row>0</xdr:row>
      <xdr:rowOff>304800</xdr:rowOff>
    </xdr:from>
    <xdr:to>
      <xdr:col>12</xdr:col>
      <xdr:colOff>438150</xdr:colOff>
      <xdr:row>2</xdr:row>
      <xdr:rowOff>57150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715125" y="304800"/>
          <a:ext cx="800100" cy="314325"/>
        </a:xfrm>
        <a:prstGeom prst="rect">
          <a:avLst/>
        </a:prstGeom>
        <a:noFill/>
        <a:ln w="1">
          <a:noFill/>
          <a:miter lim="800000"/>
          <a:headEnd/>
          <a:tailEnd type="none" w="med" len="med"/>
        </a:ln>
        <a:effectLst/>
      </xdr:spPr>
    </xdr:pic>
    <xdr:clientData fPrintsWithSheet="0"/>
  </xdr:twoCellAnchor>
</xdr:wsDr>
</file>

<file path=xl/drawings/drawing8.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80.xml><?xml version="1.0" encoding="utf-8"?>
<xdr:wsDr xmlns:xdr="http://schemas.openxmlformats.org/drawingml/2006/spreadsheetDrawing" xmlns:a="http://schemas.openxmlformats.org/drawingml/2006/main">
  <xdr:twoCellAnchor editAs="absolute">
    <xdr:from>
      <xdr:col>11</xdr:col>
      <xdr:colOff>171450</xdr:colOff>
      <xdr:row>0</xdr:row>
      <xdr:rowOff>276225</xdr:rowOff>
    </xdr:from>
    <xdr:to>
      <xdr:col>12</xdr:col>
      <xdr:colOff>466725</xdr:colOff>
      <xdr:row>2</xdr:row>
      <xdr:rowOff>38100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57875" y="276225"/>
          <a:ext cx="800100" cy="314325"/>
        </a:xfrm>
        <a:prstGeom prst="rect">
          <a:avLst/>
        </a:prstGeom>
        <a:noFill/>
        <a:ln w="1">
          <a:noFill/>
          <a:miter lim="800000"/>
          <a:headEnd/>
          <a:tailEnd type="none" w="med" len="med"/>
        </a:ln>
        <a:effectLst/>
      </xdr:spPr>
    </xdr:pic>
    <xdr:clientData fPrintsWithSheet="0"/>
  </xdr:twoCellAnchor>
</xdr:wsDr>
</file>

<file path=xl/drawings/drawing81.xml><?xml version="1.0" encoding="utf-8"?>
<xdr:wsDr xmlns:xdr="http://schemas.openxmlformats.org/drawingml/2006/spreadsheetDrawing" xmlns:a="http://schemas.openxmlformats.org/drawingml/2006/main">
  <xdr:twoCellAnchor editAs="absolute">
    <xdr:from>
      <xdr:col>10</xdr:col>
      <xdr:colOff>200025</xdr:colOff>
      <xdr:row>0</xdr:row>
      <xdr:rowOff>266700</xdr:rowOff>
    </xdr:from>
    <xdr:to>
      <xdr:col>11</xdr:col>
      <xdr:colOff>495300</xdr:colOff>
      <xdr:row>2</xdr:row>
      <xdr:rowOff>28575</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24525" y="266700"/>
          <a:ext cx="800100" cy="314325"/>
        </a:xfrm>
        <a:prstGeom prst="rect">
          <a:avLst/>
        </a:prstGeom>
        <a:noFill/>
        <a:ln w="1">
          <a:noFill/>
          <a:miter lim="800000"/>
          <a:headEnd/>
          <a:tailEnd type="none" w="med" len="med"/>
        </a:ln>
        <a:effectLst/>
      </xdr:spPr>
    </xdr:pic>
    <xdr:clientData fPrintsWithSheet="0"/>
  </xdr:twoCellAnchor>
</xdr:wsDr>
</file>

<file path=xl/drawings/drawing82.xml><?xml version="1.0" encoding="utf-8"?>
<xdr:wsDr xmlns:xdr="http://schemas.openxmlformats.org/drawingml/2006/spreadsheetDrawing" xmlns:a="http://schemas.openxmlformats.org/drawingml/2006/main">
  <xdr:twoCellAnchor editAs="absolute">
    <xdr:from>
      <xdr:col>10</xdr:col>
      <xdr:colOff>38100</xdr:colOff>
      <xdr:row>0</xdr:row>
      <xdr:rowOff>276225</xdr:rowOff>
    </xdr:from>
    <xdr:to>
      <xdr:col>11</xdr:col>
      <xdr:colOff>333275</xdr:colOff>
      <xdr:row>2</xdr:row>
      <xdr:rowOff>38061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489700" y="276225"/>
          <a:ext cx="822225" cy="314286"/>
        </a:xfrm>
        <a:prstGeom prst="rect">
          <a:avLst/>
        </a:prstGeom>
        <a:noFill/>
        <a:ln w="1">
          <a:noFill/>
          <a:miter lim="800000"/>
          <a:headEnd/>
          <a:tailEnd type="none" w="med" len="med"/>
        </a:ln>
        <a:effectLst/>
      </xdr:spPr>
    </xdr:pic>
    <xdr:clientData fPrintsWithSheet="0"/>
  </xdr:twoCellAnchor>
</xdr:wsDr>
</file>

<file path=xl/drawings/drawing83.xml><?xml version="1.0" encoding="utf-8"?>
<xdr:wsDr xmlns:xdr="http://schemas.openxmlformats.org/drawingml/2006/spreadsheetDrawing" xmlns:a="http://schemas.openxmlformats.org/drawingml/2006/main">
  <xdr:twoCellAnchor editAs="absolute">
    <xdr:from>
      <xdr:col>11</xdr:col>
      <xdr:colOff>133350</xdr:colOff>
      <xdr:row>0</xdr:row>
      <xdr:rowOff>266700</xdr:rowOff>
    </xdr:from>
    <xdr:to>
      <xdr:col>12</xdr:col>
      <xdr:colOff>428625</xdr:colOff>
      <xdr:row>2</xdr:row>
      <xdr:rowOff>28575</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19775" y="266700"/>
          <a:ext cx="800100" cy="314325"/>
        </a:xfrm>
        <a:prstGeom prst="rect">
          <a:avLst/>
        </a:prstGeom>
        <a:noFill/>
        <a:ln w="1">
          <a:noFill/>
          <a:miter lim="800000"/>
          <a:headEnd/>
          <a:tailEnd type="none" w="med" len="med"/>
        </a:ln>
        <a:effectLst/>
      </xdr:spPr>
    </xdr:pic>
    <xdr:clientData fPrintsWithSheet="0"/>
  </xdr:twoCellAnchor>
</xdr:wsDr>
</file>

<file path=xl/drawings/drawing84.xml><?xml version="1.0" encoding="utf-8"?>
<xdr:wsDr xmlns:xdr="http://schemas.openxmlformats.org/drawingml/2006/spreadsheetDrawing" xmlns:a="http://schemas.openxmlformats.org/drawingml/2006/main">
  <xdr:twoCellAnchor editAs="absolute">
    <xdr:from>
      <xdr:col>11</xdr:col>
      <xdr:colOff>104775</xdr:colOff>
      <xdr:row>0</xdr:row>
      <xdr:rowOff>276225</xdr:rowOff>
    </xdr:from>
    <xdr:to>
      <xdr:col>12</xdr:col>
      <xdr:colOff>400050</xdr:colOff>
      <xdr:row>2</xdr:row>
      <xdr:rowOff>38100</xdr:rowOff>
    </xdr:to>
    <xdr:pic>
      <xdr:nvPicPr>
        <xdr:cNvPr id="3" name="Picture 4">
          <a:hlinkClick xmlns:r="http://schemas.openxmlformats.org/officeDocument/2006/relationships" r:id="rId1"/>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448425" y="276225"/>
          <a:ext cx="800100" cy="314325"/>
        </a:xfrm>
        <a:prstGeom prst="rect">
          <a:avLst/>
        </a:prstGeom>
        <a:noFill/>
        <a:ln w="1">
          <a:noFill/>
          <a:miter lim="800000"/>
          <a:headEnd/>
          <a:tailEnd type="none" w="med" len="med"/>
        </a:ln>
        <a:effectLst/>
      </xdr:spPr>
    </xdr:pic>
    <xdr:clientData fPrintsWithSheet="0"/>
  </xdr:twoCellAnchor>
</xdr:wsDr>
</file>

<file path=xl/drawings/drawing85.xml><?xml version="1.0" encoding="utf-8"?>
<xdr:wsDr xmlns:xdr="http://schemas.openxmlformats.org/drawingml/2006/spreadsheetDrawing" xmlns:a="http://schemas.openxmlformats.org/drawingml/2006/main">
  <xdr:twoCellAnchor editAs="absolute">
    <xdr:from>
      <xdr:col>11</xdr:col>
      <xdr:colOff>377825</xdr:colOff>
      <xdr:row>0</xdr:row>
      <xdr:rowOff>133350</xdr:rowOff>
    </xdr:from>
    <xdr:to>
      <xdr:col>13</xdr:col>
      <xdr:colOff>111125</xdr:colOff>
      <xdr:row>2</xdr:row>
      <xdr:rowOff>25400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543925" y="133350"/>
          <a:ext cx="812800" cy="304800"/>
        </a:xfrm>
        <a:prstGeom prst="rect">
          <a:avLst/>
        </a:prstGeom>
        <a:noFill/>
        <a:ln w="1">
          <a:noFill/>
          <a:miter lim="800000"/>
          <a:headEnd/>
          <a:tailEnd type="none" w="med" len="med"/>
        </a:ln>
        <a:effectLst/>
      </xdr:spPr>
    </xdr:pic>
    <xdr:clientData fPrintsWithSheet="0"/>
  </xdr:twoCellAnchor>
</xdr:wsDr>
</file>

<file path=xl/drawings/drawing86.xml><?xml version="1.0" encoding="utf-8"?>
<xdr:wsDr xmlns:xdr="http://schemas.openxmlformats.org/drawingml/2006/spreadsheetDrawing" xmlns:a="http://schemas.openxmlformats.org/drawingml/2006/main">
  <xdr:twoCellAnchor editAs="absolute">
    <xdr:from>
      <xdr:col>10</xdr:col>
      <xdr:colOff>57150</xdr:colOff>
      <xdr:row>0</xdr:row>
      <xdr:rowOff>257175</xdr:rowOff>
    </xdr:from>
    <xdr:to>
      <xdr:col>11</xdr:col>
      <xdr:colOff>352425</xdr:colOff>
      <xdr:row>2</xdr:row>
      <xdr:rowOff>19050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581775" y="257175"/>
          <a:ext cx="800100" cy="314325"/>
        </a:xfrm>
        <a:prstGeom prst="rect">
          <a:avLst/>
        </a:prstGeom>
        <a:noFill/>
        <a:ln w="1">
          <a:noFill/>
          <a:miter lim="800000"/>
          <a:headEnd/>
          <a:tailEnd type="none" w="med" len="med"/>
        </a:ln>
        <a:effectLst/>
      </xdr:spPr>
    </xdr:pic>
    <xdr:clientData fPrintsWithSheet="0"/>
  </xdr:twoCellAnchor>
</xdr:wsDr>
</file>

<file path=xl/drawings/drawing87.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39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3900-000003000000}"/>
            </a:ext>
          </a:extLst>
        </xdr:cNvPr>
        <xdr:cNvSpPr>
          <a:spLocks noChangeArrowheads="1"/>
        </xdr:cNvSpPr>
      </xdr:nvSpPr>
      <xdr:spPr bwMode="auto">
        <a:xfrm>
          <a:off x="5365750" y="1393825"/>
          <a:ext cx="219075" cy="1065213"/>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39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57151</xdr:rowOff>
    </xdr:from>
    <xdr:to>
      <xdr:col>10</xdr:col>
      <xdr:colOff>533400</xdr:colOff>
      <xdr:row>7</xdr:row>
      <xdr:rowOff>58739</xdr:rowOff>
    </xdr:to>
    <xdr:sp macro="" textlink="">
      <xdr:nvSpPr>
        <xdr:cNvPr id="5" name="Line 7">
          <a:extLst>
            <a:ext uri="{FF2B5EF4-FFF2-40B4-BE49-F238E27FC236}">
              <a16:creationId xmlns:a16="http://schemas.microsoft.com/office/drawing/2014/main" id="{00000000-0008-0000-3900-000005000000}"/>
            </a:ext>
          </a:extLst>
        </xdr:cNvPr>
        <xdr:cNvSpPr>
          <a:spLocks noChangeShapeType="1"/>
        </xdr:cNvSpPr>
      </xdr:nvSpPr>
      <xdr:spPr bwMode="auto">
        <a:xfrm flipV="1">
          <a:off x="4973637" y="1390651"/>
          <a:ext cx="1370013"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39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39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32</xdr:row>
      <xdr:rowOff>73025</xdr:rowOff>
    </xdr:from>
    <xdr:to>
      <xdr:col>10</xdr:col>
      <xdr:colOff>536575</xdr:colOff>
      <xdr:row>36</xdr:row>
      <xdr:rowOff>46038</xdr:rowOff>
    </xdr:to>
    <xdr:sp macro="" textlink="">
      <xdr:nvSpPr>
        <xdr:cNvPr id="8" name="Rectangle 2">
          <a:extLst>
            <a:ext uri="{FF2B5EF4-FFF2-40B4-BE49-F238E27FC236}">
              <a16:creationId xmlns:a16="http://schemas.microsoft.com/office/drawing/2014/main" id="{00000000-0008-0000-3900-000008000000}"/>
            </a:ext>
          </a:extLst>
        </xdr:cNvPr>
        <xdr:cNvSpPr>
          <a:spLocks noChangeArrowheads="1"/>
        </xdr:cNvSpPr>
      </xdr:nvSpPr>
      <xdr:spPr bwMode="auto">
        <a:xfrm>
          <a:off x="0" y="54070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31</xdr:row>
      <xdr:rowOff>101600</xdr:rowOff>
    </xdr:from>
    <xdr:to>
      <xdr:col>5</xdr:col>
      <xdr:colOff>547687</xdr:colOff>
      <xdr:row>35</xdr:row>
      <xdr:rowOff>68263</xdr:rowOff>
    </xdr:to>
    <xdr:sp macro="" textlink="">
      <xdr:nvSpPr>
        <xdr:cNvPr id="9" name="Rectangle 3">
          <a:extLst>
            <a:ext uri="{FF2B5EF4-FFF2-40B4-BE49-F238E27FC236}">
              <a16:creationId xmlns:a16="http://schemas.microsoft.com/office/drawing/2014/main" id="{00000000-0008-0000-3900-000009000000}"/>
            </a:ext>
          </a:extLst>
        </xdr:cNvPr>
        <xdr:cNvSpPr>
          <a:spLocks noChangeArrowheads="1"/>
        </xdr:cNvSpPr>
      </xdr:nvSpPr>
      <xdr:spPr bwMode="auto">
        <a:xfrm>
          <a:off x="147637" y="5245100"/>
          <a:ext cx="3305175" cy="728663"/>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158750</xdr:colOff>
      <xdr:row>32</xdr:row>
      <xdr:rowOff>147638</xdr:rowOff>
    </xdr:from>
    <xdr:to>
      <xdr:col>4</xdr:col>
      <xdr:colOff>277812</xdr:colOff>
      <xdr:row>34</xdr:row>
      <xdr:rowOff>84321</xdr:rowOff>
    </xdr:to>
    <xdr:sp macro="" textlink="">
      <xdr:nvSpPr>
        <xdr:cNvPr id="10" name="Text Box 10">
          <a:extLst>
            <a:ext uri="{FF2B5EF4-FFF2-40B4-BE49-F238E27FC236}">
              <a16:creationId xmlns:a16="http://schemas.microsoft.com/office/drawing/2014/main" id="{00000000-0008-0000-3900-00000A000000}"/>
            </a:ext>
          </a:extLst>
        </xdr:cNvPr>
        <xdr:cNvSpPr txBox="1">
          <a:spLocks noChangeArrowheads="1"/>
        </xdr:cNvSpPr>
      </xdr:nvSpPr>
      <xdr:spPr bwMode="auto">
        <a:xfrm>
          <a:off x="158750" y="5481638"/>
          <a:ext cx="2443162"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Remunerações</a:t>
          </a:r>
        </a:p>
      </xdr:txBody>
    </xdr:sp>
    <xdr:clientData/>
  </xdr:twoCellAnchor>
  <xdr:twoCellAnchor>
    <xdr:from>
      <xdr:col>10</xdr:col>
      <xdr:colOff>196850</xdr:colOff>
      <xdr:row>33</xdr:row>
      <xdr:rowOff>11113</xdr:rowOff>
    </xdr:from>
    <xdr:to>
      <xdr:col>10</xdr:col>
      <xdr:colOff>307975</xdr:colOff>
      <xdr:row>35</xdr:row>
      <xdr:rowOff>100013</xdr:rowOff>
    </xdr:to>
    <xdr:sp macro="" textlink="">
      <xdr:nvSpPr>
        <xdr:cNvPr id="11" name="WordArt 4">
          <a:extLst>
            <a:ext uri="{FF2B5EF4-FFF2-40B4-BE49-F238E27FC236}">
              <a16:creationId xmlns:a16="http://schemas.microsoft.com/office/drawing/2014/main" id="{00000000-0008-0000-3900-00000B000000}"/>
            </a:ext>
          </a:extLst>
        </xdr:cNvPr>
        <xdr:cNvSpPr>
          <a:spLocks noChangeArrowheads="1" noChangeShapeType="1" noTextEdit="1"/>
        </xdr:cNvSpPr>
      </xdr:nvSpPr>
      <xdr:spPr bwMode="auto">
        <a:xfrm>
          <a:off x="6007100" y="5535613"/>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9</xdr:col>
      <xdr:colOff>552450</xdr:colOff>
      <xdr:row>33</xdr:row>
      <xdr:rowOff>0</xdr:rowOff>
    </xdr:from>
    <xdr:to>
      <xdr:col>10</xdr:col>
      <xdr:colOff>83025</xdr:colOff>
      <xdr:row>35</xdr:row>
      <xdr:rowOff>90600</xdr:rowOff>
    </xdr:to>
    <xdr:sp macro="" textlink="">
      <xdr:nvSpPr>
        <xdr:cNvPr id="12" name="Text Box 1">
          <a:extLst>
            <a:ext uri="{FF2B5EF4-FFF2-40B4-BE49-F238E27FC236}">
              <a16:creationId xmlns:a16="http://schemas.microsoft.com/office/drawing/2014/main" id="{00000000-0008-0000-3900-00000C000000}"/>
            </a:ext>
          </a:extLst>
        </xdr:cNvPr>
        <xdr:cNvSpPr txBox="1">
          <a:spLocks noChangeArrowheads="1"/>
        </xdr:cNvSpPr>
      </xdr:nvSpPr>
      <xdr:spPr bwMode="auto">
        <a:xfrm>
          <a:off x="5781675" y="5524500"/>
          <a:ext cx="111600" cy="471600"/>
        </a:xfrm>
        <a:prstGeom prst="rect">
          <a:avLst/>
        </a:prstGeom>
        <a:solidFill>
          <a:srgbClr val="00467A"/>
        </a:solidFill>
        <a:ln w="9525">
          <a:solidFill>
            <a:schemeClr val="bg1"/>
          </a:solid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xdr:txBody>
    </xdr:sp>
    <xdr:clientData/>
  </xdr:twoCellAnchor>
  <xdr:twoCellAnchor>
    <xdr:from>
      <xdr:col>9</xdr:col>
      <xdr:colOff>333375</xdr:colOff>
      <xdr:row>33</xdr:row>
      <xdr:rowOff>0</xdr:rowOff>
    </xdr:from>
    <xdr:to>
      <xdr:col>9</xdr:col>
      <xdr:colOff>444975</xdr:colOff>
      <xdr:row>35</xdr:row>
      <xdr:rowOff>90600</xdr:rowOff>
    </xdr:to>
    <xdr:sp macro="" textlink="">
      <xdr:nvSpPr>
        <xdr:cNvPr id="41985" name="Text Box 1">
          <a:extLst>
            <a:ext uri="{FF2B5EF4-FFF2-40B4-BE49-F238E27FC236}">
              <a16:creationId xmlns:a16="http://schemas.microsoft.com/office/drawing/2014/main" id="{00000000-0008-0000-3900-000001A40000}"/>
            </a:ext>
          </a:extLst>
        </xdr:cNvPr>
        <xdr:cNvSpPr txBox="1">
          <a:spLocks noChangeArrowheads="1"/>
        </xdr:cNvSpPr>
      </xdr:nvSpPr>
      <xdr:spPr bwMode="auto">
        <a:xfrm>
          <a:off x="5562600" y="6286500"/>
          <a:ext cx="111600" cy="471600"/>
        </a:xfrm>
        <a:prstGeom prst="rect">
          <a:avLst/>
        </a:prstGeom>
        <a:solidFill>
          <a:srgbClr val="00467A"/>
        </a:solidFill>
        <a:ln w="9525">
          <a:solidFill>
            <a:schemeClr val="bg1"/>
          </a:solid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xdr:txBody>
    </xdr:sp>
    <xdr:clientData/>
  </xdr:twoCellAnchor>
</xdr:wsDr>
</file>

<file path=xl/drawings/drawing88.xml><?xml version="1.0" encoding="utf-8"?>
<xdr:wsDr xmlns:xdr="http://schemas.openxmlformats.org/drawingml/2006/spreadsheetDrawing" xmlns:a="http://schemas.openxmlformats.org/drawingml/2006/main">
  <xdr:oneCellAnchor>
    <xdr:from>
      <xdr:col>10</xdr:col>
      <xdr:colOff>152400</xdr:colOff>
      <xdr:row>0</xdr:row>
      <xdr:rowOff>323851</xdr:rowOff>
    </xdr:from>
    <xdr:ext cx="780952" cy="295274"/>
    <xdr:pic>
      <xdr:nvPicPr>
        <xdr:cNvPr id="3" name="Picture 6">
          <a:hlinkClick xmlns:r="http://schemas.openxmlformats.org/officeDocument/2006/relationships" r:id="rId1"/>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05425" y="323851"/>
          <a:ext cx="780952" cy="295274"/>
        </a:xfrm>
        <a:prstGeom prst="rect">
          <a:avLst/>
        </a:prstGeom>
        <a:noFill/>
        <a:ln w="1">
          <a:noFill/>
          <a:miter lim="800000"/>
          <a:headEnd/>
          <a:tailEnd type="none" w="med" len="med"/>
        </a:ln>
        <a:effectLst/>
      </xdr:spPr>
    </xdr:pic>
    <xdr:clientData fPrintsWithSheet="0"/>
  </xdr:oneCellAnchor>
</xdr:wsDr>
</file>

<file path=xl/drawings/drawing89.xml><?xml version="1.0" encoding="utf-8"?>
<xdr:wsDr xmlns:xdr="http://schemas.openxmlformats.org/drawingml/2006/spreadsheetDrawing" xmlns:a="http://schemas.openxmlformats.org/drawingml/2006/main">
  <xdr:twoCellAnchor editAs="absolute">
    <xdr:from>
      <xdr:col>10</xdr:col>
      <xdr:colOff>342900</xdr:colOff>
      <xdr:row>0</xdr:row>
      <xdr:rowOff>247651</xdr:rowOff>
    </xdr:from>
    <xdr:to>
      <xdr:col>12</xdr:col>
      <xdr:colOff>266602</xdr:colOff>
      <xdr:row>1</xdr:row>
      <xdr:rowOff>190463</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38825" y="247651"/>
          <a:ext cx="780952" cy="304762"/>
        </a:xfrm>
        <a:prstGeom prst="rect">
          <a:avLst/>
        </a:prstGeom>
        <a:noFill/>
        <a:ln w="1">
          <a:noFill/>
          <a:miter lim="800000"/>
          <a:headEnd/>
          <a:tailEnd type="none" w="med" len="med"/>
        </a:ln>
        <a:effectLst/>
      </xdr:spPr>
    </xdr:pic>
    <xdr:clientData fPrintsWithSheet="0"/>
  </xdr:twoCellAnchor>
</xdr:wsDr>
</file>

<file path=xl/drawings/drawing9.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90.xml><?xml version="1.0" encoding="utf-8"?>
<xdr:wsDr xmlns:xdr="http://schemas.openxmlformats.org/drawingml/2006/spreadsheetDrawing" xmlns:a="http://schemas.openxmlformats.org/drawingml/2006/main">
  <xdr:twoCellAnchor editAs="absolute">
    <xdr:from>
      <xdr:col>11</xdr:col>
      <xdr:colOff>19050</xdr:colOff>
      <xdr:row>0</xdr:row>
      <xdr:rowOff>238125</xdr:rowOff>
    </xdr:from>
    <xdr:to>
      <xdr:col>12</xdr:col>
      <xdr:colOff>371377</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38125"/>
          <a:ext cx="780952" cy="304762"/>
        </a:xfrm>
        <a:prstGeom prst="rect">
          <a:avLst/>
        </a:prstGeom>
        <a:noFill/>
        <a:ln w="1">
          <a:noFill/>
          <a:miter lim="800000"/>
          <a:headEnd/>
          <a:tailEnd type="none" w="med" len="med"/>
        </a:ln>
        <a:effectLst/>
      </xdr:spPr>
    </xdr:pic>
    <xdr:clientData fPrintsWithSheet="0"/>
  </xdr:twoCellAnchor>
</xdr:wsDr>
</file>

<file path=xl/drawings/drawing91.xml><?xml version="1.0" encoding="utf-8"?>
<xdr:wsDr xmlns:xdr="http://schemas.openxmlformats.org/drawingml/2006/spreadsheetDrawing" xmlns:a="http://schemas.openxmlformats.org/drawingml/2006/main">
  <xdr:twoCellAnchor editAs="absolute">
    <xdr:from>
      <xdr:col>10</xdr:col>
      <xdr:colOff>28574</xdr:colOff>
      <xdr:row>0</xdr:row>
      <xdr:rowOff>228600</xdr:rowOff>
    </xdr:from>
    <xdr:to>
      <xdr:col>11</xdr:col>
      <xdr:colOff>390524</xdr:colOff>
      <xdr:row>1</xdr:row>
      <xdr:rowOff>171412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29199" y="228600"/>
          <a:ext cx="790575" cy="304762"/>
        </a:xfrm>
        <a:prstGeom prst="rect">
          <a:avLst/>
        </a:prstGeom>
        <a:noFill/>
        <a:ln w="1">
          <a:noFill/>
          <a:miter lim="800000"/>
          <a:headEnd/>
          <a:tailEnd type="none" w="med" len="med"/>
        </a:ln>
        <a:effectLst/>
      </xdr:spPr>
    </xdr:pic>
    <xdr:clientData fPrintsWithSheet="0"/>
  </xdr:twoCellAnchor>
</xdr:wsDr>
</file>

<file path=xl/drawings/drawing92.xml><?xml version="1.0" encoding="utf-8"?>
<xdr:wsDr xmlns:xdr="http://schemas.openxmlformats.org/drawingml/2006/spreadsheetDrawing" xmlns:a="http://schemas.openxmlformats.org/drawingml/2006/main">
  <xdr:twoCellAnchor editAs="absolute">
    <xdr:from>
      <xdr:col>9</xdr:col>
      <xdr:colOff>384174</xdr:colOff>
      <xdr:row>0</xdr:row>
      <xdr:rowOff>279400</xdr:rowOff>
    </xdr:from>
    <xdr:to>
      <xdr:col>11</xdr:col>
      <xdr:colOff>295274</xdr:colOff>
      <xdr:row>2</xdr:row>
      <xdr:rowOff>31712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775324" y="279400"/>
          <a:ext cx="812800" cy="304762"/>
        </a:xfrm>
        <a:prstGeom prst="rect">
          <a:avLst/>
        </a:prstGeom>
        <a:noFill/>
        <a:ln w="1">
          <a:noFill/>
          <a:miter lim="800000"/>
          <a:headEnd/>
          <a:tailEnd type="none" w="med" len="med"/>
        </a:ln>
        <a:effectLst/>
      </xdr:spPr>
    </xdr:pic>
    <xdr:clientData fPrintsWithSheet="0"/>
  </xdr:twoCellAnchor>
</xdr:wsDr>
</file>

<file path=xl/drawings/drawing93.xml><?xml version="1.0" encoding="utf-8"?>
<xdr:wsDr xmlns:xdr="http://schemas.openxmlformats.org/drawingml/2006/spreadsheetDrawing" xmlns:a="http://schemas.openxmlformats.org/drawingml/2006/main">
  <xdr:twoCellAnchor editAs="absolute">
    <xdr:from>
      <xdr:col>11</xdr:col>
      <xdr:colOff>47625</xdr:colOff>
      <xdr:row>0</xdr:row>
      <xdr:rowOff>238125</xdr:rowOff>
    </xdr:from>
    <xdr:to>
      <xdr:col>12</xdr:col>
      <xdr:colOff>399952</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210175" y="238125"/>
          <a:ext cx="780952" cy="304762"/>
        </a:xfrm>
        <a:prstGeom prst="rect">
          <a:avLst/>
        </a:prstGeom>
        <a:noFill/>
        <a:ln w="1">
          <a:noFill/>
          <a:miter lim="800000"/>
          <a:headEnd/>
          <a:tailEnd type="none" w="med" len="med"/>
        </a:ln>
        <a:effectLst/>
      </xdr:spPr>
    </xdr:pic>
    <xdr:clientData fPrintsWithSheet="0"/>
  </xdr:twoCellAnchor>
</xdr:wsDr>
</file>

<file path=xl/drawings/drawing94.xml><?xml version="1.0" encoding="utf-8"?>
<xdr:wsDr xmlns:xdr="http://schemas.openxmlformats.org/drawingml/2006/spreadsheetDrawing" xmlns:a="http://schemas.openxmlformats.org/drawingml/2006/main">
  <xdr:twoCellAnchor editAs="absolute">
    <xdr:from>
      <xdr:col>10</xdr:col>
      <xdr:colOff>371475</xdr:colOff>
      <xdr:row>0</xdr:row>
      <xdr:rowOff>209550</xdr:rowOff>
    </xdr:from>
    <xdr:to>
      <xdr:col>12</xdr:col>
      <xdr:colOff>295177</xdr:colOff>
      <xdr:row>1</xdr:row>
      <xdr:rowOff>152362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562600" y="209550"/>
          <a:ext cx="780952" cy="304762"/>
        </a:xfrm>
        <a:prstGeom prst="rect">
          <a:avLst/>
        </a:prstGeom>
        <a:noFill/>
        <a:ln w="1">
          <a:noFill/>
          <a:miter lim="800000"/>
          <a:headEnd/>
          <a:tailEnd type="none" w="med" len="med"/>
        </a:ln>
        <a:effectLst/>
      </xdr:spPr>
    </xdr:pic>
    <xdr:clientData fPrintsWithSheet="0"/>
  </xdr:twoCellAnchor>
</xdr:wsDr>
</file>

<file path=xl/drawings/drawing95.xml><?xml version="1.0" encoding="utf-8"?>
<xdr:wsDr xmlns:xdr="http://schemas.openxmlformats.org/drawingml/2006/spreadsheetDrawing" xmlns:a="http://schemas.openxmlformats.org/drawingml/2006/main">
  <xdr:twoCellAnchor editAs="absolute">
    <xdr:from>
      <xdr:col>11</xdr:col>
      <xdr:colOff>120650</xdr:colOff>
      <xdr:row>0</xdr:row>
      <xdr:rowOff>219075</xdr:rowOff>
    </xdr:from>
    <xdr:to>
      <xdr:col>13</xdr:col>
      <xdr:colOff>79277</xdr:colOff>
      <xdr:row>1</xdr:row>
      <xdr:rowOff>161887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435850" y="219075"/>
          <a:ext cx="834927" cy="304762"/>
        </a:xfrm>
        <a:prstGeom prst="rect">
          <a:avLst/>
        </a:prstGeom>
        <a:noFill/>
        <a:ln w="1">
          <a:noFill/>
          <a:miter lim="800000"/>
          <a:headEnd/>
          <a:tailEnd type="none" w="med" len="med"/>
        </a:ln>
        <a:effectLst/>
      </xdr:spPr>
    </xdr:pic>
    <xdr:clientData fPrintsWithSheet="0"/>
  </xdr:twoCellAnchor>
</xdr:wsDr>
</file>

<file path=xl/drawings/drawing96.xml><?xml version="1.0" encoding="utf-8"?>
<xdr:wsDr xmlns:xdr="http://schemas.openxmlformats.org/drawingml/2006/spreadsheetDrawing" xmlns:a="http://schemas.openxmlformats.org/drawingml/2006/main">
  <xdr:twoCellAnchor editAs="absolute">
    <xdr:from>
      <xdr:col>11</xdr:col>
      <xdr:colOff>139700</xdr:colOff>
      <xdr:row>0</xdr:row>
      <xdr:rowOff>215900</xdr:rowOff>
    </xdr:from>
    <xdr:to>
      <xdr:col>13</xdr:col>
      <xdr:colOff>88802</xdr:colOff>
      <xdr:row>1</xdr:row>
      <xdr:rowOff>165062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454900" y="215900"/>
          <a:ext cx="825402" cy="311112"/>
        </a:xfrm>
        <a:prstGeom prst="rect">
          <a:avLst/>
        </a:prstGeom>
        <a:noFill/>
        <a:ln w="1">
          <a:noFill/>
          <a:miter lim="800000"/>
          <a:headEnd/>
          <a:tailEnd type="none" w="med" len="med"/>
        </a:ln>
        <a:effectLst/>
      </xdr:spPr>
    </xdr:pic>
    <xdr:clientData fPrintsWithSheet="0"/>
  </xdr:twoCellAnchor>
</xdr:wsDr>
</file>

<file path=xl/drawings/drawing97.xml><?xml version="1.0" encoding="utf-8"?>
<xdr:wsDr xmlns:xdr="http://schemas.openxmlformats.org/drawingml/2006/spreadsheetDrawing" xmlns:a="http://schemas.openxmlformats.org/drawingml/2006/main">
  <xdr:twoCellAnchor editAs="absolute">
    <xdr:from>
      <xdr:col>10</xdr:col>
      <xdr:colOff>9525</xdr:colOff>
      <xdr:row>0</xdr:row>
      <xdr:rowOff>257175</xdr:rowOff>
    </xdr:from>
    <xdr:to>
      <xdr:col>11</xdr:col>
      <xdr:colOff>371377</xdr:colOff>
      <xdr:row>2</xdr:row>
      <xdr:rowOff>9487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29300" y="257175"/>
          <a:ext cx="780952" cy="304762"/>
        </a:xfrm>
        <a:prstGeom prst="rect">
          <a:avLst/>
        </a:prstGeom>
        <a:noFill/>
        <a:ln w="1">
          <a:noFill/>
          <a:miter lim="800000"/>
          <a:headEnd/>
          <a:tailEnd type="none" w="med" len="med"/>
        </a:ln>
        <a:effectLst/>
      </xdr:spPr>
    </xdr:pic>
    <xdr:clientData fPrintsWithSheet="0"/>
  </xdr:twoCellAnchor>
</xdr:wsDr>
</file>

<file path=xl/drawings/drawing98.xml><?xml version="1.0" encoding="utf-8"?>
<xdr:wsDr xmlns:xdr="http://schemas.openxmlformats.org/drawingml/2006/spreadsheetDrawing" xmlns:a="http://schemas.openxmlformats.org/drawingml/2006/main">
  <xdr:twoCellAnchor editAs="absolute">
    <xdr:from>
      <xdr:col>10</xdr:col>
      <xdr:colOff>152400</xdr:colOff>
      <xdr:row>0</xdr:row>
      <xdr:rowOff>257175</xdr:rowOff>
    </xdr:from>
    <xdr:to>
      <xdr:col>11</xdr:col>
      <xdr:colOff>466623</xdr:colOff>
      <xdr:row>2</xdr:row>
      <xdr:rowOff>9487</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38825" y="257175"/>
          <a:ext cx="819048" cy="304762"/>
        </a:xfrm>
        <a:prstGeom prst="rect">
          <a:avLst/>
        </a:prstGeom>
        <a:noFill/>
        <a:ln w="1">
          <a:noFill/>
          <a:miter lim="800000"/>
          <a:headEnd/>
          <a:tailEnd type="none" w="med" len="med"/>
        </a:ln>
        <a:effectLst/>
      </xdr:spPr>
    </xdr:pic>
    <xdr:clientData fPrintsWithSheet="0"/>
  </xdr:twoCellAnchor>
</xdr:wsDr>
</file>

<file path=xl/drawings/drawing99.xml><?xml version="1.0" encoding="utf-8"?>
<xdr:wsDr xmlns:xdr="http://schemas.openxmlformats.org/drawingml/2006/spreadsheetDrawing" xmlns:a="http://schemas.openxmlformats.org/drawingml/2006/main">
  <xdr:twoCellAnchor editAs="absolute">
    <xdr:from>
      <xdr:col>10</xdr:col>
      <xdr:colOff>161925</xdr:colOff>
      <xdr:row>0</xdr:row>
      <xdr:rowOff>266699</xdr:rowOff>
    </xdr:from>
    <xdr:to>
      <xdr:col>11</xdr:col>
      <xdr:colOff>476148</xdr:colOff>
      <xdr:row>2</xdr:row>
      <xdr:rowOff>19011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500-000002000000}"/>
            </a:ext>
          </a:extLst>
        </xdr:cNvPr>
        <xdr:cNvPicPr preferRelativeResize="0">
          <a:picLocks noChangeArrowheads="1"/>
        </xdr:cNvPicPr>
      </xdr:nvPicPr>
      <xdr:blipFill>
        <a:blip xmlns:r="http://schemas.openxmlformats.org/officeDocument/2006/relationships" r:embed="rId2" cstate="print"/>
        <a:stretch>
          <a:fillRect/>
        </a:stretch>
      </xdr:blipFill>
      <xdr:spPr bwMode="auto">
        <a:xfrm>
          <a:off x="5848350" y="266699"/>
          <a:ext cx="819048" cy="304762"/>
        </a:xfrm>
        <a:prstGeom prst="rect">
          <a:avLst/>
        </a:prstGeom>
        <a:noFill/>
        <a:ln w="1">
          <a:noFill/>
          <a:miter lim="800000"/>
          <a:headEnd/>
          <a:tailEnd type="none" w="med" len="med"/>
        </a:ln>
        <a:effec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a.G.Rafael" refreshedDate="45786.743204745369" createdVersion="6" refreshedVersion="6" minRefreshableVersion="3" recordCount="66" xr:uid="{CA833CC0-BFE8-4B0E-A405-F7520E1D78D7}">
  <cacheSource type="worksheet">
    <worksheetSource ref="A4:D70" sheet="q23_q34_Fig"/>
  </cacheSource>
  <cacheFields count="4">
    <cacheField name="Ano" numFmtId="0">
      <sharedItems containsSemiMixedTypes="0" containsString="0" containsNumber="1" containsInteger="1" minValue="2011" maxValue="2023" count="13">
        <n v="2013"/>
        <n v="2014"/>
        <n v="2015"/>
        <n v="2016"/>
        <n v="2017"/>
        <n v="2018"/>
        <n v="2019"/>
        <n v="2020"/>
        <n v="2021"/>
        <n v="2022"/>
        <n v="2023"/>
        <n v="2011" u="1"/>
        <n v="2012" u="1"/>
      </sharedItems>
    </cacheField>
    <cacheField name="Tipo de remuneração" numFmtId="0">
      <sharedItems count="4">
        <s v="Base"/>
        <s v="Ganho"/>
        <s v="Remuneração base" u="1"/>
        <s v="Remuneração ganho" u="1"/>
      </sharedItems>
    </cacheField>
    <cacheField name="Sexo" numFmtId="0">
      <sharedItems count="3">
        <s v="Total"/>
        <s v="Homens"/>
        <s v="Mulheres"/>
      </sharedItems>
    </cacheField>
    <cacheField name="Valor" numFmtId="2">
      <sharedItems containsSemiMixedTypes="0" containsString="0" containsNumber="1" minValue="816.21" maxValue="1577.33"/>
    </cacheField>
  </cacheFields>
  <extLst>
    <ext xmlns:x14="http://schemas.microsoft.com/office/spreadsheetml/2009/9/main" uri="{725AE2AE-9491-48be-B2B4-4EB974FC3084}">
      <x14:pivotCacheDefinition pivotCacheId="7915565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a.G.Rafael" refreshedDate="45786.743520370372" createdVersion="6" refreshedVersion="6" minRefreshableVersion="3" recordCount="440" xr:uid="{D9C671BF-4E04-4F96-8309-EA1D34AA007F}">
  <cacheSource type="worksheet">
    <worksheetSource ref="A4:E444" sheet="q22_q33_Fig"/>
  </cacheSource>
  <cacheFields count="5">
    <cacheField name="Ano" numFmtId="0">
      <sharedItems containsSemiMixedTypes="0" containsString="0" containsNumber="1" containsInteger="1" minValue="2011" maxValue="2023" count="13">
        <n v="2013"/>
        <n v="2014"/>
        <n v="2015"/>
        <n v="2016"/>
        <n v="2017"/>
        <n v="2018"/>
        <n v="2019"/>
        <n v="2020"/>
        <n v="2021"/>
        <n v="2022"/>
        <n v="2023"/>
        <n v="2011" u="1"/>
        <n v="2012" u="1"/>
      </sharedItems>
    </cacheField>
    <cacheField name="Selecionar CAE" numFmtId="0">
      <sharedItems count="24">
        <s v="A - Agricultura, produção animal, caça, floresta e pesca "/>
        <s v="B - Indústrias extrativas"/>
        <s v="C - Ind. transformadoras"/>
        <s v="D - Eletricidade, gás, vapor, água quente e fria e ar frio"/>
        <s v="E - Captação, trat. e dist. água; saneam., gest. resíduos e desp."/>
        <s v="F - Construção"/>
        <s v="G - Com. por grosso e a ret.; rep. de veíc. autom. e mot."/>
        <s v="H - Transportes e armazenagem"/>
        <s v="I - Alojamento, rest. e sim."/>
        <s v="J - Atividades de informação e de comunicação"/>
        <s v="K - Atividades financeiras e de seguros"/>
        <s v="L - Atividades imobiliárias"/>
        <s v="M - Atividades de consultoria, científicas, técnicas e similares"/>
        <s v="N - Atividades administrativas e dos serviços de apoio"/>
        <s v="O - Administração pública e defesa; segurança social obrigatória"/>
        <s v="P - Educação"/>
        <s v="Q - Ativ. de saúde humana e apoio social"/>
        <s v="R - Atividades artísticas, de espectáculos, desp. e recreativas"/>
        <s v="S - Outras atividades de serviços"/>
        <s v="U - Ativ. org. interna. e outras instituições extra-territoriais"/>
        <s v="C - Indústrias transformadoras" u="1"/>
        <s v="G - Comércio por grosso e a retalho; rep. de veíc. autom. e mot." u="1"/>
        <s v="Q - Atividades de saúde humana e apoio social" u="1"/>
        <s v="I - Alojamento, restauração e similares" u="1"/>
      </sharedItems>
    </cacheField>
    <cacheField name="CAE" numFmtId="0">
      <sharedItems count="20">
        <s v="A"/>
        <s v="B"/>
        <s v="C"/>
        <s v="D"/>
        <s v="E"/>
        <s v="F"/>
        <s v="G"/>
        <s v="H"/>
        <s v="I"/>
        <s v="J"/>
        <s v="K"/>
        <s v="L"/>
        <s v="M"/>
        <s v="N"/>
        <s v="O"/>
        <s v="P"/>
        <s v="Q"/>
        <s v="R"/>
        <s v="S"/>
        <s v="U"/>
      </sharedItems>
    </cacheField>
    <cacheField name="Tipo Remuneração" numFmtId="0">
      <sharedItems count="4">
        <s v="Base"/>
        <s v="Ganho"/>
        <s v="Remuneração Base" u="1"/>
        <s v="Remuneração Ganho" u="1"/>
      </sharedItems>
    </cacheField>
    <cacheField name="Valor" numFmtId="174">
      <sharedItems containsSemiMixedTypes="0" containsString="0" containsNumber="1" minValue="663.49" maxValue="3521.63"/>
    </cacheField>
  </cacheFields>
  <extLst>
    <ext xmlns:x14="http://schemas.microsoft.com/office/spreadsheetml/2009/9/main" uri="{725AE2AE-9491-48be-B2B4-4EB974FC3084}">
      <x14:pivotCacheDefinition pivotCacheId="189067913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x v="0"/>
    <n v="912.18"/>
  </r>
  <r>
    <x v="0"/>
    <x v="0"/>
    <x v="1"/>
    <n v="993.79"/>
  </r>
  <r>
    <x v="0"/>
    <x v="0"/>
    <x v="2"/>
    <n v="816.21"/>
  </r>
  <r>
    <x v="1"/>
    <x v="0"/>
    <x v="0"/>
    <n v="909.49"/>
  </r>
  <r>
    <x v="1"/>
    <x v="0"/>
    <x v="1"/>
    <n v="985.02"/>
  </r>
  <r>
    <x v="1"/>
    <x v="0"/>
    <x v="2"/>
    <n v="820.25"/>
  </r>
  <r>
    <x v="2"/>
    <x v="0"/>
    <x v="0"/>
    <n v="913.93"/>
  </r>
  <r>
    <x v="2"/>
    <x v="0"/>
    <x v="1"/>
    <n v="990.05"/>
  </r>
  <r>
    <x v="2"/>
    <x v="0"/>
    <x v="2"/>
    <n v="824.99"/>
  </r>
  <r>
    <x v="3"/>
    <x v="0"/>
    <x v="0"/>
    <n v="924.94"/>
  </r>
  <r>
    <x v="3"/>
    <x v="0"/>
    <x v="1"/>
    <n v="997.38"/>
  </r>
  <r>
    <x v="3"/>
    <x v="0"/>
    <x v="2"/>
    <n v="840.26"/>
  </r>
  <r>
    <x v="4"/>
    <x v="0"/>
    <x v="0"/>
    <n v="943"/>
  </r>
  <r>
    <x v="4"/>
    <x v="0"/>
    <x v="1"/>
    <n v="1012.25"/>
  </r>
  <r>
    <x v="4"/>
    <x v="0"/>
    <x v="2"/>
    <n v="861.17"/>
  </r>
  <r>
    <x v="5"/>
    <x v="0"/>
    <x v="0"/>
    <n v="970.42"/>
  </r>
  <r>
    <x v="5"/>
    <x v="0"/>
    <x v="1"/>
    <n v="1039.08"/>
  </r>
  <r>
    <x v="5"/>
    <x v="0"/>
    <x v="2"/>
    <n v="888.56"/>
  </r>
  <r>
    <x v="6"/>
    <x v="0"/>
    <x v="0"/>
    <n v="1005.09"/>
  </r>
  <r>
    <x v="6"/>
    <x v="0"/>
    <x v="1"/>
    <n v="1073.82"/>
  </r>
  <r>
    <x v="6"/>
    <x v="0"/>
    <x v="2"/>
    <n v="922.63"/>
  </r>
  <r>
    <x v="7"/>
    <x v="0"/>
    <x v="0"/>
    <n v="1041.99"/>
  </r>
  <r>
    <x v="7"/>
    <x v="0"/>
    <x v="1"/>
    <n v="1109.21"/>
  </r>
  <r>
    <x v="7"/>
    <x v="0"/>
    <x v="2"/>
    <n v="960.27"/>
  </r>
  <r>
    <x v="8"/>
    <x v="0"/>
    <x v="0"/>
    <n v="1082.77"/>
  </r>
  <r>
    <x v="8"/>
    <x v="0"/>
    <x v="1"/>
    <n v="1152.24"/>
  </r>
  <r>
    <x v="8"/>
    <x v="0"/>
    <x v="2"/>
    <n v="999.33"/>
  </r>
  <r>
    <x v="9"/>
    <x v="0"/>
    <x v="0"/>
    <n v="1143.45"/>
  </r>
  <r>
    <x v="9"/>
    <x v="0"/>
    <x v="1"/>
    <n v="1217.33"/>
  </r>
  <r>
    <x v="9"/>
    <x v="0"/>
    <x v="2"/>
    <n v="1054.3599999999999"/>
  </r>
  <r>
    <x v="10"/>
    <x v="0"/>
    <x v="0"/>
    <n v="1219.8699999999999"/>
  </r>
  <r>
    <x v="10"/>
    <x v="0"/>
    <x v="1"/>
    <n v="1294.03"/>
  </r>
  <r>
    <x v="10"/>
    <x v="0"/>
    <x v="2"/>
    <n v="1129.6400000000001"/>
  </r>
  <r>
    <x v="0"/>
    <x v="1"/>
    <x v="0"/>
    <n v="1093.82"/>
  </r>
  <r>
    <x v="0"/>
    <x v="1"/>
    <x v="1"/>
    <n v="1209.21"/>
  </r>
  <r>
    <x v="0"/>
    <x v="1"/>
    <x v="2"/>
    <n v="958.12"/>
  </r>
  <r>
    <x v="1"/>
    <x v="1"/>
    <x v="0"/>
    <n v="1093.21"/>
  </r>
  <r>
    <x v="1"/>
    <x v="1"/>
    <x v="1"/>
    <n v="1203.32"/>
  </r>
  <r>
    <x v="1"/>
    <x v="1"/>
    <x v="2"/>
    <n v="963.12"/>
  </r>
  <r>
    <x v="2"/>
    <x v="1"/>
    <x v="0"/>
    <n v="1096.6600000000001"/>
  </r>
  <r>
    <x v="2"/>
    <x v="1"/>
    <x v="1"/>
    <n v="1207.76"/>
  </r>
  <r>
    <x v="2"/>
    <x v="1"/>
    <x v="2"/>
    <n v="966.85"/>
  </r>
  <r>
    <x v="3"/>
    <x v="1"/>
    <x v="0"/>
    <n v="1107.8599999999999"/>
  </r>
  <r>
    <x v="3"/>
    <x v="1"/>
    <x v="1"/>
    <n v="1215.1099999999999"/>
  </r>
  <r>
    <x v="3"/>
    <x v="1"/>
    <x v="2"/>
    <n v="982.49"/>
  </r>
  <r>
    <x v="4"/>
    <x v="1"/>
    <x v="0"/>
    <n v="1133.3399999999999"/>
  </r>
  <r>
    <x v="4"/>
    <x v="1"/>
    <x v="1"/>
    <n v="1236.8499999999999"/>
  </r>
  <r>
    <x v="4"/>
    <x v="1"/>
    <x v="2"/>
    <n v="1011.02"/>
  </r>
  <r>
    <x v="5"/>
    <x v="1"/>
    <x v="0"/>
    <n v="1170.25"/>
  </r>
  <r>
    <x v="5"/>
    <x v="1"/>
    <x v="1"/>
    <n v="1273.99"/>
  </r>
  <r>
    <x v="5"/>
    <x v="1"/>
    <x v="2"/>
    <n v="1046.5899999999999"/>
  </r>
  <r>
    <x v="6"/>
    <x v="1"/>
    <x v="0"/>
    <n v="1209.94"/>
  </r>
  <r>
    <x v="6"/>
    <x v="1"/>
    <x v="1"/>
    <n v="1312.43"/>
  </r>
  <r>
    <x v="6"/>
    <x v="1"/>
    <x v="2"/>
    <n v="1086.97"/>
  </r>
  <r>
    <x v="7"/>
    <x v="1"/>
    <x v="0"/>
    <n v="1250.75"/>
  </r>
  <r>
    <x v="7"/>
    <x v="1"/>
    <x v="1"/>
    <n v="1349.35"/>
  </r>
  <r>
    <x v="7"/>
    <x v="1"/>
    <x v="2"/>
    <n v="1130.8699999999999"/>
  </r>
  <r>
    <x v="8"/>
    <x v="1"/>
    <x v="0"/>
    <n v="1294.1099999999999"/>
  </r>
  <r>
    <x v="8"/>
    <x v="1"/>
    <x v="1"/>
    <n v="1395.7"/>
  </r>
  <r>
    <x v="8"/>
    <x v="1"/>
    <x v="2"/>
    <n v="1172.08"/>
  </r>
  <r>
    <x v="9"/>
    <x v="1"/>
    <x v="0"/>
    <n v="1368"/>
  </r>
  <r>
    <x v="9"/>
    <x v="1"/>
    <x v="1"/>
    <n v="1476.2"/>
  </r>
  <r>
    <x v="9"/>
    <x v="1"/>
    <x v="2"/>
    <n v="1237.52"/>
  </r>
  <r>
    <x v="10"/>
    <x v="1"/>
    <x v="0"/>
    <n v="1466.66"/>
  </r>
  <r>
    <x v="10"/>
    <x v="1"/>
    <x v="1"/>
    <n v="1577.33"/>
  </r>
  <r>
    <x v="10"/>
    <x v="1"/>
    <x v="2"/>
    <n v="1332.0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0">
  <r>
    <x v="0"/>
    <x v="0"/>
    <x v="0"/>
    <x v="0"/>
    <n v="684.7"/>
  </r>
  <r>
    <x v="0"/>
    <x v="1"/>
    <x v="1"/>
    <x v="0"/>
    <n v="918.56"/>
  </r>
  <r>
    <x v="0"/>
    <x v="2"/>
    <x v="2"/>
    <x v="0"/>
    <n v="839.41"/>
  </r>
  <r>
    <x v="0"/>
    <x v="3"/>
    <x v="3"/>
    <x v="0"/>
    <n v="2395.92"/>
  </r>
  <r>
    <x v="0"/>
    <x v="4"/>
    <x v="4"/>
    <x v="0"/>
    <n v="880.63"/>
  </r>
  <r>
    <x v="0"/>
    <x v="5"/>
    <x v="5"/>
    <x v="0"/>
    <n v="805.13"/>
  </r>
  <r>
    <x v="0"/>
    <x v="6"/>
    <x v="6"/>
    <x v="0"/>
    <n v="861.47"/>
  </r>
  <r>
    <x v="0"/>
    <x v="7"/>
    <x v="7"/>
    <x v="0"/>
    <n v="990.2"/>
  </r>
  <r>
    <x v="0"/>
    <x v="8"/>
    <x v="8"/>
    <x v="0"/>
    <n v="663.49"/>
  </r>
  <r>
    <x v="0"/>
    <x v="9"/>
    <x v="9"/>
    <x v="0"/>
    <n v="1515.4"/>
  </r>
  <r>
    <x v="0"/>
    <x v="10"/>
    <x v="10"/>
    <x v="0"/>
    <n v="1577.83"/>
  </r>
  <r>
    <x v="0"/>
    <x v="11"/>
    <x v="11"/>
    <x v="0"/>
    <n v="958.98"/>
  </r>
  <r>
    <x v="0"/>
    <x v="12"/>
    <x v="12"/>
    <x v="0"/>
    <n v="1193.04"/>
  </r>
  <r>
    <x v="0"/>
    <x v="13"/>
    <x v="13"/>
    <x v="0"/>
    <n v="767.09"/>
  </r>
  <r>
    <x v="0"/>
    <x v="14"/>
    <x v="14"/>
    <x v="0"/>
    <n v="874.37"/>
  </r>
  <r>
    <x v="0"/>
    <x v="15"/>
    <x v="15"/>
    <x v="0"/>
    <n v="1137.03"/>
  </r>
  <r>
    <x v="0"/>
    <x v="16"/>
    <x v="16"/>
    <x v="0"/>
    <n v="820.32"/>
  </r>
  <r>
    <x v="0"/>
    <x v="17"/>
    <x v="17"/>
    <x v="0"/>
    <n v="1457.95"/>
  </r>
  <r>
    <x v="0"/>
    <x v="18"/>
    <x v="18"/>
    <x v="0"/>
    <n v="843.59"/>
  </r>
  <r>
    <x v="0"/>
    <x v="19"/>
    <x v="19"/>
    <x v="0"/>
    <n v="1810.36"/>
  </r>
  <r>
    <x v="1"/>
    <x v="0"/>
    <x v="0"/>
    <x v="0"/>
    <n v="687.92"/>
  </r>
  <r>
    <x v="1"/>
    <x v="1"/>
    <x v="1"/>
    <x v="0"/>
    <n v="934.74"/>
  </r>
  <r>
    <x v="1"/>
    <x v="2"/>
    <x v="2"/>
    <x v="0"/>
    <n v="844.01"/>
  </r>
  <r>
    <x v="1"/>
    <x v="3"/>
    <x v="3"/>
    <x v="0"/>
    <n v="2065.0700000000002"/>
  </r>
  <r>
    <x v="1"/>
    <x v="4"/>
    <x v="4"/>
    <x v="0"/>
    <n v="885.35"/>
  </r>
  <r>
    <x v="1"/>
    <x v="5"/>
    <x v="5"/>
    <x v="0"/>
    <n v="800.21"/>
  </r>
  <r>
    <x v="1"/>
    <x v="6"/>
    <x v="6"/>
    <x v="0"/>
    <n v="862.67"/>
  </r>
  <r>
    <x v="1"/>
    <x v="7"/>
    <x v="7"/>
    <x v="0"/>
    <n v="977.22"/>
  </r>
  <r>
    <x v="1"/>
    <x v="8"/>
    <x v="8"/>
    <x v="0"/>
    <n v="669.99"/>
  </r>
  <r>
    <x v="1"/>
    <x v="9"/>
    <x v="9"/>
    <x v="0"/>
    <n v="1500.69"/>
  </r>
  <r>
    <x v="1"/>
    <x v="10"/>
    <x v="10"/>
    <x v="0"/>
    <n v="1572.96"/>
  </r>
  <r>
    <x v="1"/>
    <x v="11"/>
    <x v="11"/>
    <x v="0"/>
    <n v="951.85"/>
  </r>
  <r>
    <x v="1"/>
    <x v="12"/>
    <x v="12"/>
    <x v="0"/>
    <n v="1170.25"/>
  </r>
  <r>
    <x v="1"/>
    <x v="13"/>
    <x v="13"/>
    <x v="0"/>
    <n v="772.15"/>
  </r>
  <r>
    <x v="1"/>
    <x v="14"/>
    <x v="14"/>
    <x v="0"/>
    <n v="880.99"/>
  </r>
  <r>
    <x v="1"/>
    <x v="15"/>
    <x v="15"/>
    <x v="0"/>
    <n v="1119.54"/>
  </r>
  <r>
    <x v="1"/>
    <x v="16"/>
    <x v="16"/>
    <x v="0"/>
    <n v="821.86"/>
  </r>
  <r>
    <x v="1"/>
    <x v="17"/>
    <x v="17"/>
    <x v="0"/>
    <n v="1383.37"/>
  </r>
  <r>
    <x v="1"/>
    <x v="18"/>
    <x v="18"/>
    <x v="0"/>
    <n v="847.6"/>
  </r>
  <r>
    <x v="1"/>
    <x v="19"/>
    <x v="19"/>
    <x v="0"/>
    <n v="1772.71"/>
  </r>
  <r>
    <x v="2"/>
    <x v="0"/>
    <x v="0"/>
    <x v="0"/>
    <n v="701.34"/>
  </r>
  <r>
    <x v="2"/>
    <x v="1"/>
    <x v="1"/>
    <x v="0"/>
    <n v="937.81"/>
  </r>
  <r>
    <x v="2"/>
    <x v="2"/>
    <x v="2"/>
    <x v="0"/>
    <n v="856.12"/>
  </r>
  <r>
    <x v="2"/>
    <x v="3"/>
    <x v="3"/>
    <x v="0"/>
    <n v="2091.5"/>
  </r>
  <r>
    <x v="2"/>
    <x v="4"/>
    <x v="4"/>
    <x v="0"/>
    <n v="893.71"/>
  </r>
  <r>
    <x v="2"/>
    <x v="5"/>
    <x v="5"/>
    <x v="0"/>
    <n v="796.22"/>
  </r>
  <r>
    <x v="2"/>
    <x v="6"/>
    <x v="6"/>
    <x v="0"/>
    <n v="867.89"/>
  </r>
  <r>
    <x v="2"/>
    <x v="7"/>
    <x v="7"/>
    <x v="0"/>
    <n v="988.25"/>
  </r>
  <r>
    <x v="2"/>
    <x v="8"/>
    <x v="8"/>
    <x v="0"/>
    <n v="673.94"/>
  </r>
  <r>
    <x v="2"/>
    <x v="9"/>
    <x v="9"/>
    <x v="0"/>
    <n v="1488.73"/>
  </r>
  <r>
    <x v="2"/>
    <x v="10"/>
    <x v="10"/>
    <x v="0"/>
    <n v="1571.12"/>
  </r>
  <r>
    <x v="2"/>
    <x v="11"/>
    <x v="11"/>
    <x v="0"/>
    <n v="945.14"/>
  </r>
  <r>
    <x v="2"/>
    <x v="12"/>
    <x v="12"/>
    <x v="0"/>
    <n v="1171.06"/>
  </r>
  <r>
    <x v="2"/>
    <x v="13"/>
    <x v="13"/>
    <x v="0"/>
    <n v="768.27"/>
  </r>
  <r>
    <x v="2"/>
    <x v="14"/>
    <x v="14"/>
    <x v="0"/>
    <n v="849.2"/>
  </r>
  <r>
    <x v="2"/>
    <x v="15"/>
    <x v="15"/>
    <x v="0"/>
    <n v="1118.44"/>
  </r>
  <r>
    <x v="2"/>
    <x v="16"/>
    <x v="16"/>
    <x v="0"/>
    <n v="833.44"/>
  </r>
  <r>
    <x v="2"/>
    <x v="17"/>
    <x v="17"/>
    <x v="0"/>
    <n v="1514.4"/>
  </r>
  <r>
    <x v="2"/>
    <x v="18"/>
    <x v="18"/>
    <x v="0"/>
    <n v="847.05"/>
  </r>
  <r>
    <x v="2"/>
    <x v="19"/>
    <x v="19"/>
    <x v="0"/>
    <n v="1910.54"/>
  </r>
  <r>
    <x v="3"/>
    <x v="0"/>
    <x v="0"/>
    <x v="0"/>
    <n v="726.49"/>
  </r>
  <r>
    <x v="3"/>
    <x v="1"/>
    <x v="1"/>
    <x v="0"/>
    <n v="958.1"/>
  </r>
  <r>
    <x v="3"/>
    <x v="2"/>
    <x v="2"/>
    <x v="0"/>
    <n v="870.08"/>
  </r>
  <r>
    <x v="3"/>
    <x v="3"/>
    <x v="3"/>
    <x v="0"/>
    <n v="2075.64"/>
  </r>
  <r>
    <x v="3"/>
    <x v="4"/>
    <x v="4"/>
    <x v="0"/>
    <n v="883.84"/>
  </r>
  <r>
    <x v="3"/>
    <x v="5"/>
    <x v="5"/>
    <x v="0"/>
    <n v="798.87"/>
  </r>
  <r>
    <x v="3"/>
    <x v="6"/>
    <x v="6"/>
    <x v="0"/>
    <n v="881.9"/>
  </r>
  <r>
    <x v="3"/>
    <x v="7"/>
    <x v="7"/>
    <x v="0"/>
    <n v="994.98"/>
  </r>
  <r>
    <x v="3"/>
    <x v="8"/>
    <x v="8"/>
    <x v="0"/>
    <n v="690.54"/>
  </r>
  <r>
    <x v="3"/>
    <x v="9"/>
    <x v="9"/>
    <x v="0"/>
    <n v="1520.09"/>
  </r>
  <r>
    <x v="3"/>
    <x v="10"/>
    <x v="10"/>
    <x v="0"/>
    <n v="1585.29"/>
  </r>
  <r>
    <x v="3"/>
    <x v="11"/>
    <x v="11"/>
    <x v="0"/>
    <n v="969.55"/>
  </r>
  <r>
    <x v="3"/>
    <x v="12"/>
    <x v="12"/>
    <x v="0"/>
    <n v="1183.3900000000001"/>
  </r>
  <r>
    <x v="3"/>
    <x v="13"/>
    <x v="13"/>
    <x v="0"/>
    <n v="772.59"/>
  </r>
  <r>
    <x v="3"/>
    <x v="14"/>
    <x v="14"/>
    <x v="0"/>
    <n v="848.71"/>
  </r>
  <r>
    <x v="3"/>
    <x v="15"/>
    <x v="15"/>
    <x v="0"/>
    <n v="1121.57"/>
  </r>
  <r>
    <x v="3"/>
    <x v="16"/>
    <x v="16"/>
    <x v="0"/>
    <n v="851.36"/>
  </r>
  <r>
    <x v="3"/>
    <x v="17"/>
    <x v="17"/>
    <x v="0"/>
    <n v="1537.25"/>
  </r>
  <r>
    <x v="3"/>
    <x v="18"/>
    <x v="18"/>
    <x v="0"/>
    <n v="857.44"/>
  </r>
  <r>
    <x v="3"/>
    <x v="19"/>
    <x v="19"/>
    <x v="0"/>
    <n v="2028.96"/>
  </r>
  <r>
    <x v="4"/>
    <x v="0"/>
    <x v="0"/>
    <x v="0"/>
    <n v="738.39"/>
  </r>
  <r>
    <x v="4"/>
    <x v="1"/>
    <x v="1"/>
    <x v="0"/>
    <n v="986.18"/>
  </r>
  <r>
    <x v="4"/>
    <x v="2"/>
    <x v="2"/>
    <x v="0"/>
    <n v="895.89"/>
  </r>
  <r>
    <x v="4"/>
    <x v="3"/>
    <x v="3"/>
    <x v="0"/>
    <n v="2070.14"/>
  </r>
  <r>
    <x v="4"/>
    <x v="4"/>
    <x v="4"/>
    <x v="0"/>
    <n v="891.49"/>
  </r>
  <r>
    <x v="4"/>
    <x v="5"/>
    <x v="5"/>
    <x v="0"/>
    <n v="808.62"/>
  </r>
  <r>
    <x v="4"/>
    <x v="6"/>
    <x v="6"/>
    <x v="0"/>
    <n v="900.4"/>
  </r>
  <r>
    <x v="4"/>
    <x v="7"/>
    <x v="7"/>
    <x v="0"/>
    <n v="1002.64"/>
  </r>
  <r>
    <x v="4"/>
    <x v="8"/>
    <x v="8"/>
    <x v="0"/>
    <n v="713.45"/>
  </r>
  <r>
    <x v="4"/>
    <x v="9"/>
    <x v="9"/>
    <x v="0"/>
    <n v="1522.79"/>
  </r>
  <r>
    <x v="4"/>
    <x v="10"/>
    <x v="10"/>
    <x v="0"/>
    <n v="1592.44"/>
  </r>
  <r>
    <x v="4"/>
    <x v="11"/>
    <x v="11"/>
    <x v="0"/>
    <n v="978.99"/>
  </r>
  <r>
    <x v="4"/>
    <x v="12"/>
    <x v="12"/>
    <x v="0"/>
    <n v="1225.58"/>
  </r>
  <r>
    <x v="4"/>
    <x v="13"/>
    <x v="13"/>
    <x v="0"/>
    <n v="787.93"/>
  </r>
  <r>
    <x v="4"/>
    <x v="14"/>
    <x v="14"/>
    <x v="0"/>
    <n v="866.69"/>
  </r>
  <r>
    <x v="4"/>
    <x v="15"/>
    <x v="15"/>
    <x v="0"/>
    <n v="1136.27"/>
  </r>
  <r>
    <x v="4"/>
    <x v="16"/>
    <x v="16"/>
    <x v="0"/>
    <n v="871"/>
  </r>
  <r>
    <x v="4"/>
    <x v="17"/>
    <x v="17"/>
    <x v="0"/>
    <n v="1612.9"/>
  </r>
  <r>
    <x v="4"/>
    <x v="18"/>
    <x v="18"/>
    <x v="0"/>
    <n v="877.34"/>
  </r>
  <r>
    <x v="4"/>
    <x v="19"/>
    <x v="19"/>
    <x v="0"/>
    <n v="1986.43"/>
  </r>
  <r>
    <x v="5"/>
    <x v="0"/>
    <x v="0"/>
    <x v="0"/>
    <n v="773.22"/>
  </r>
  <r>
    <x v="5"/>
    <x v="1"/>
    <x v="1"/>
    <x v="0"/>
    <n v="1036.73"/>
  </r>
  <r>
    <x v="5"/>
    <x v="2"/>
    <x v="2"/>
    <x v="0"/>
    <n v="929.15"/>
  </r>
  <r>
    <x v="5"/>
    <x v="3"/>
    <x v="3"/>
    <x v="0"/>
    <n v="2080.65"/>
  </r>
  <r>
    <x v="5"/>
    <x v="4"/>
    <x v="4"/>
    <x v="0"/>
    <n v="920.04"/>
  </r>
  <r>
    <x v="5"/>
    <x v="5"/>
    <x v="5"/>
    <x v="0"/>
    <n v="824.76"/>
  </r>
  <r>
    <x v="5"/>
    <x v="6"/>
    <x v="6"/>
    <x v="0"/>
    <n v="924.91"/>
  </r>
  <r>
    <x v="5"/>
    <x v="7"/>
    <x v="7"/>
    <x v="0"/>
    <n v="1033.97"/>
  </r>
  <r>
    <x v="5"/>
    <x v="8"/>
    <x v="8"/>
    <x v="0"/>
    <n v="739.37"/>
  </r>
  <r>
    <x v="5"/>
    <x v="9"/>
    <x v="9"/>
    <x v="0"/>
    <n v="1562.86"/>
  </r>
  <r>
    <x v="5"/>
    <x v="10"/>
    <x v="10"/>
    <x v="0"/>
    <n v="1601.12"/>
  </r>
  <r>
    <x v="5"/>
    <x v="11"/>
    <x v="11"/>
    <x v="0"/>
    <n v="1001.04"/>
  </r>
  <r>
    <x v="5"/>
    <x v="12"/>
    <x v="12"/>
    <x v="0"/>
    <n v="1249.78"/>
  </r>
  <r>
    <x v="5"/>
    <x v="13"/>
    <x v="13"/>
    <x v="0"/>
    <n v="807.44"/>
  </r>
  <r>
    <x v="5"/>
    <x v="14"/>
    <x v="14"/>
    <x v="0"/>
    <n v="895.16"/>
  </r>
  <r>
    <x v="5"/>
    <x v="15"/>
    <x v="15"/>
    <x v="0"/>
    <n v="1161.1400000000001"/>
  </r>
  <r>
    <x v="5"/>
    <x v="16"/>
    <x v="16"/>
    <x v="0"/>
    <n v="891.94"/>
  </r>
  <r>
    <x v="5"/>
    <x v="17"/>
    <x v="17"/>
    <x v="0"/>
    <n v="1607.95"/>
  </r>
  <r>
    <x v="5"/>
    <x v="18"/>
    <x v="18"/>
    <x v="0"/>
    <n v="901.62"/>
  </r>
  <r>
    <x v="5"/>
    <x v="19"/>
    <x v="19"/>
    <x v="0"/>
    <n v="2136.13"/>
  </r>
  <r>
    <x v="6"/>
    <x v="0"/>
    <x v="0"/>
    <x v="0"/>
    <n v="823.08"/>
  </r>
  <r>
    <x v="6"/>
    <x v="1"/>
    <x v="1"/>
    <x v="0"/>
    <n v="1083.24"/>
  </r>
  <r>
    <x v="6"/>
    <x v="2"/>
    <x v="2"/>
    <x v="0"/>
    <n v="964.71"/>
  </r>
  <r>
    <x v="6"/>
    <x v="3"/>
    <x v="3"/>
    <x v="0"/>
    <n v="2086.9"/>
  </r>
  <r>
    <x v="6"/>
    <x v="4"/>
    <x v="4"/>
    <x v="0"/>
    <n v="936.67"/>
  </r>
  <r>
    <x v="6"/>
    <x v="5"/>
    <x v="5"/>
    <x v="0"/>
    <n v="853.92"/>
  </r>
  <r>
    <x v="6"/>
    <x v="6"/>
    <x v="6"/>
    <x v="0"/>
    <n v="959.33"/>
  </r>
  <r>
    <x v="6"/>
    <x v="7"/>
    <x v="7"/>
    <x v="0"/>
    <n v="1071.3699999999999"/>
  </r>
  <r>
    <x v="6"/>
    <x v="8"/>
    <x v="8"/>
    <x v="0"/>
    <n v="764.08"/>
  </r>
  <r>
    <x v="6"/>
    <x v="9"/>
    <x v="9"/>
    <x v="0"/>
    <n v="1614.97"/>
  </r>
  <r>
    <x v="6"/>
    <x v="10"/>
    <x v="10"/>
    <x v="0"/>
    <n v="1632.26"/>
  </r>
  <r>
    <x v="6"/>
    <x v="11"/>
    <x v="11"/>
    <x v="0"/>
    <n v="1045.96"/>
  </r>
  <r>
    <x v="6"/>
    <x v="12"/>
    <x v="12"/>
    <x v="0"/>
    <n v="1288.0899999999999"/>
  </r>
  <r>
    <x v="6"/>
    <x v="13"/>
    <x v="13"/>
    <x v="0"/>
    <n v="842.48"/>
  </r>
  <r>
    <x v="6"/>
    <x v="14"/>
    <x v="14"/>
    <x v="0"/>
    <n v="950.41"/>
  </r>
  <r>
    <x v="6"/>
    <x v="15"/>
    <x v="15"/>
    <x v="0"/>
    <n v="1219.79"/>
  </r>
  <r>
    <x v="6"/>
    <x v="16"/>
    <x v="16"/>
    <x v="0"/>
    <n v="923.59"/>
  </r>
  <r>
    <x v="6"/>
    <x v="17"/>
    <x v="17"/>
    <x v="0"/>
    <n v="1645.66"/>
  </r>
  <r>
    <x v="6"/>
    <x v="18"/>
    <x v="18"/>
    <x v="0"/>
    <n v="932.37"/>
  </r>
  <r>
    <x v="6"/>
    <x v="19"/>
    <x v="19"/>
    <x v="0"/>
    <n v="2160.36"/>
  </r>
  <r>
    <x v="7"/>
    <x v="0"/>
    <x v="0"/>
    <x v="0"/>
    <n v="823.12"/>
  </r>
  <r>
    <x v="7"/>
    <x v="1"/>
    <x v="1"/>
    <x v="0"/>
    <n v="1099.73"/>
  </r>
  <r>
    <x v="7"/>
    <x v="2"/>
    <x v="2"/>
    <x v="0"/>
    <n v="1003.21"/>
  </r>
  <r>
    <x v="7"/>
    <x v="3"/>
    <x v="3"/>
    <x v="0"/>
    <n v="2128.4699999999998"/>
  </r>
  <r>
    <x v="7"/>
    <x v="4"/>
    <x v="4"/>
    <x v="0"/>
    <n v="970.37"/>
  </r>
  <r>
    <x v="7"/>
    <x v="5"/>
    <x v="5"/>
    <x v="0"/>
    <n v="880.77"/>
  </r>
  <r>
    <x v="7"/>
    <x v="6"/>
    <x v="6"/>
    <x v="0"/>
    <n v="989.91"/>
  </r>
  <r>
    <x v="7"/>
    <x v="7"/>
    <x v="7"/>
    <x v="0"/>
    <n v="1033.25"/>
  </r>
  <r>
    <x v="7"/>
    <x v="8"/>
    <x v="8"/>
    <x v="0"/>
    <n v="780.14"/>
  </r>
  <r>
    <x v="7"/>
    <x v="9"/>
    <x v="9"/>
    <x v="0"/>
    <n v="1668.12"/>
  </r>
  <r>
    <x v="7"/>
    <x v="10"/>
    <x v="10"/>
    <x v="0"/>
    <n v="1651.3"/>
  </r>
  <r>
    <x v="7"/>
    <x v="11"/>
    <x v="11"/>
    <x v="0"/>
    <n v="1091.6400000000001"/>
  </r>
  <r>
    <x v="7"/>
    <x v="12"/>
    <x v="12"/>
    <x v="0"/>
    <n v="1335.14"/>
  </r>
  <r>
    <x v="7"/>
    <x v="13"/>
    <x v="13"/>
    <x v="0"/>
    <n v="864.18"/>
  </r>
  <r>
    <x v="7"/>
    <x v="14"/>
    <x v="14"/>
    <x v="0"/>
    <n v="990.79"/>
  </r>
  <r>
    <x v="7"/>
    <x v="15"/>
    <x v="15"/>
    <x v="0"/>
    <n v="1259.28"/>
  </r>
  <r>
    <x v="7"/>
    <x v="16"/>
    <x v="16"/>
    <x v="0"/>
    <n v="942.71"/>
  </r>
  <r>
    <x v="7"/>
    <x v="17"/>
    <x v="17"/>
    <x v="0"/>
    <n v="1838.97"/>
  </r>
  <r>
    <x v="7"/>
    <x v="18"/>
    <x v="18"/>
    <x v="0"/>
    <n v="987.51"/>
  </r>
  <r>
    <x v="7"/>
    <x v="19"/>
    <x v="19"/>
    <x v="0"/>
    <n v="1978.98"/>
  </r>
  <r>
    <x v="8"/>
    <x v="0"/>
    <x v="0"/>
    <x v="0"/>
    <n v="872.68"/>
  </r>
  <r>
    <x v="8"/>
    <x v="1"/>
    <x v="1"/>
    <x v="0"/>
    <n v="1159.45"/>
  </r>
  <r>
    <x v="8"/>
    <x v="2"/>
    <x v="2"/>
    <x v="0"/>
    <n v="1031.03"/>
  </r>
  <r>
    <x v="8"/>
    <x v="3"/>
    <x v="3"/>
    <x v="0"/>
    <n v="2156.69"/>
  </r>
  <r>
    <x v="8"/>
    <x v="4"/>
    <x v="4"/>
    <x v="0"/>
    <n v="989.79"/>
  </r>
  <r>
    <x v="8"/>
    <x v="5"/>
    <x v="5"/>
    <x v="0"/>
    <n v="934.51"/>
  </r>
  <r>
    <x v="8"/>
    <x v="6"/>
    <x v="6"/>
    <x v="0"/>
    <n v="1031.8499999999999"/>
  </r>
  <r>
    <x v="8"/>
    <x v="7"/>
    <x v="7"/>
    <x v="0"/>
    <n v="1056.1199999999999"/>
  </r>
  <r>
    <x v="8"/>
    <x v="8"/>
    <x v="8"/>
    <x v="0"/>
    <n v="822.39"/>
  </r>
  <r>
    <x v="8"/>
    <x v="9"/>
    <x v="9"/>
    <x v="0"/>
    <n v="1748.11"/>
  </r>
  <r>
    <x v="8"/>
    <x v="10"/>
    <x v="10"/>
    <x v="0"/>
    <n v="1674.12"/>
  </r>
  <r>
    <x v="8"/>
    <x v="11"/>
    <x v="11"/>
    <x v="0"/>
    <n v="1129.19"/>
  </r>
  <r>
    <x v="8"/>
    <x v="12"/>
    <x v="12"/>
    <x v="0"/>
    <n v="1403.13"/>
  </r>
  <r>
    <x v="8"/>
    <x v="13"/>
    <x v="13"/>
    <x v="0"/>
    <n v="916.97"/>
  </r>
  <r>
    <x v="8"/>
    <x v="14"/>
    <x v="14"/>
    <x v="0"/>
    <n v="1027.51"/>
  </r>
  <r>
    <x v="8"/>
    <x v="15"/>
    <x v="15"/>
    <x v="0"/>
    <n v="1296.72"/>
  </r>
  <r>
    <x v="8"/>
    <x v="16"/>
    <x v="16"/>
    <x v="0"/>
    <n v="974.58"/>
  </r>
  <r>
    <x v="8"/>
    <x v="17"/>
    <x v="17"/>
    <x v="0"/>
    <n v="1780.1"/>
  </r>
  <r>
    <x v="8"/>
    <x v="18"/>
    <x v="18"/>
    <x v="0"/>
    <n v="1012.59"/>
  </r>
  <r>
    <x v="8"/>
    <x v="19"/>
    <x v="19"/>
    <x v="0"/>
    <n v="1886.51"/>
  </r>
  <r>
    <x v="9"/>
    <x v="0"/>
    <x v="0"/>
    <x v="0"/>
    <n v="916.19"/>
  </r>
  <r>
    <x v="9"/>
    <x v="1"/>
    <x v="1"/>
    <x v="0"/>
    <n v="1221.07"/>
  </r>
  <r>
    <x v="9"/>
    <x v="2"/>
    <x v="2"/>
    <x v="0"/>
    <n v="1095.17"/>
  </r>
  <r>
    <x v="9"/>
    <x v="3"/>
    <x v="3"/>
    <x v="0"/>
    <n v="2243.09"/>
  </r>
  <r>
    <x v="9"/>
    <x v="4"/>
    <x v="4"/>
    <x v="0"/>
    <n v="1034.78"/>
  </r>
  <r>
    <x v="9"/>
    <x v="5"/>
    <x v="5"/>
    <x v="0"/>
    <n v="973.22"/>
  </r>
  <r>
    <x v="9"/>
    <x v="6"/>
    <x v="6"/>
    <x v="0"/>
    <n v="1075.5999999999999"/>
  </r>
  <r>
    <x v="9"/>
    <x v="7"/>
    <x v="7"/>
    <x v="0"/>
    <n v="1184.24"/>
  </r>
  <r>
    <x v="9"/>
    <x v="8"/>
    <x v="8"/>
    <x v="0"/>
    <n v="872.72"/>
  </r>
  <r>
    <x v="9"/>
    <x v="9"/>
    <x v="9"/>
    <x v="0"/>
    <n v="1915.45"/>
  </r>
  <r>
    <x v="9"/>
    <x v="10"/>
    <x v="10"/>
    <x v="0"/>
    <n v="1705.23"/>
  </r>
  <r>
    <x v="9"/>
    <x v="11"/>
    <x v="11"/>
    <x v="0"/>
    <n v="1185.33"/>
  </r>
  <r>
    <x v="9"/>
    <x v="12"/>
    <x v="12"/>
    <x v="0"/>
    <n v="1491.97"/>
  </r>
  <r>
    <x v="9"/>
    <x v="13"/>
    <x v="13"/>
    <x v="0"/>
    <n v="970.39"/>
  </r>
  <r>
    <x v="9"/>
    <x v="14"/>
    <x v="14"/>
    <x v="0"/>
    <n v="1035.5"/>
  </r>
  <r>
    <x v="9"/>
    <x v="15"/>
    <x v="15"/>
    <x v="0"/>
    <n v="1348.73"/>
  </r>
  <r>
    <x v="9"/>
    <x v="16"/>
    <x v="16"/>
    <x v="0"/>
    <n v="1004.81"/>
  </r>
  <r>
    <x v="9"/>
    <x v="17"/>
    <x v="17"/>
    <x v="0"/>
    <n v="1789.86"/>
  </r>
  <r>
    <x v="9"/>
    <x v="18"/>
    <x v="18"/>
    <x v="0"/>
    <n v="1053.43"/>
  </r>
  <r>
    <x v="9"/>
    <x v="19"/>
    <x v="19"/>
    <x v="0"/>
    <n v="3156.84"/>
  </r>
  <r>
    <x v="10"/>
    <x v="0"/>
    <x v="0"/>
    <x v="0"/>
    <n v="969.65"/>
  </r>
  <r>
    <x v="10"/>
    <x v="1"/>
    <x v="1"/>
    <x v="0"/>
    <n v="1316.39"/>
  </r>
  <r>
    <x v="10"/>
    <x v="2"/>
    <x v="2"/>
    <x v="0"/>
    <n v="1172.58"/>
  </r>
  <r>
    <x v="10"/>
    <x v="3"/>
    <x v="3"/>
    <x v="0"/>
    <n v="2384.1999999999998"/>
  </r>
  <r>
    <x v="10"/>
    <x v="4"/>
    <x v="4"/>
    <x v="0"/>
    <n v="1116.05"/>
  </r>
  <r>
    <x v="10"/>
    <x v="5"/>
    <x v="5"/>
    <x v="0"/>
    <n v="1035.72"/>
  </r>
  <r>
    <x v="10"/>
    <x v="6"/>
    <x v="6"/>
    <x v="0"/>
    <n v="1146.8499999999999"/>
  </r>
  <r>
    <x v="10"/>
    <x v="7"/>
    <x v="7"/>
    <x v="0"/>
    <n v="1269.02"/>
  </r>
  <r>
    <x v="10"/>
    <x v="8"/>
    <x v="8"/>
    <x v="0"/>
    <n v="929.8"/>
  </r>
  <r>
    <x v="10"/>
    <x v="9"/>
    <x v="9"/>
    <x v="0"/>
    <n v="2022.39"/>
  </r>
  <r>
    <x v="10"/>
    <x v="10"/>
    <x v="10"/>
    <x v="0"/>
    <n v="1801.31"/>
  </r>
  <r>
    <x v="10"/>
    <x v="11"/>
    <x v="11"/>
    <x v="0"/>
    <n v="1267.8800000000001"/>
  </r>
  <r>
    <x v="10"/>
    <x v="12"/>
    <x v="12"/>
    <x v="0"/>
    <n v="1607.85"/>
  </r>
  <r>
    <x v="10"/>
    <x v="13"/>
    <x v="13"/>
    <x v="0"/>
    <n v="1056.28"/>
  </r>
  <r>
    <x v="10"/>
    <x v="14"/>
    <x v="14"/>
    <x v="0"/>
    <n v="1098.71"/>
  </r>
  <r>
    <x v="10"/>
    <x v="15"/>
    <x v="15"/>
    <x v="0"/>
    <n v="1435.78"/>
  </r>
  <r>
    <x v="10"/>
    <x v="16"/>
    <x v="16"/>
    <x v="0"/>
    <n v="1055.5"/>
  </r>
  <r>
    <x v="10"/>
    <x v="17"/>
    <x v="17"/>
    <x v="0"/>
    <n v="1903.38"/>
  </r>
  <r>
    <x v="10"/>
    <x v="18"/>
    <x v="18"/>
    <x v="0"/>
    <n v="1105.46"/>
  </r>
  <r>
    <x v="10"/>
    <x v="19"/>
    <x v="19"/>
    <x v="0"/>
    <n v="3347.61"/>
  </r>
  <r>
    <x v="0"/>
    <x v="0"/>
    <x v="0"/>
    <x v="1"/>
    <n v="789.23"/>
  </r>
  <r>
    <x v="0"/>
    <x v="1"/>
    <x v="1"/>
    <x v="1"/>
    <n v="1216.8699999999999"/>
  </r>
  <r>
    <x v="0"/>
    <x v="2"/>
    <x v="2"/>
    <x v="1"/>
    <n v="996.63"/>
  </r>
  <r>
    <x v="0"/>
    <x v="3"/>
    <x v="3"/>
    <x v="1"/>
    <n v="2907.1"/>
  </r>
  <r>
    <x v="0"/>
    <x v="4"/>
    <x v="4"/>
    <x v="1"/>
    <n v="1084.17"/>
  </r>
  <r>
    <x v="0"/>
    <x v="5"/>
    <x v="5"/>
    <x v="1"/>
    <n v="966.06"/>
  </r>
  <r>
    <x v="0"/>
    <x v="6"/>
    <x v="6"/>
    <x v="1"/>
    <n v="1013.46"/>
  </r>
  <r>
    <x v="0"/>
    <x v="7"/>
    <x v="7"/>
    <x v="1"/>
    <n v="1338.08"/>
  </r>
  <r>
    <x v="0"/>
    <x v="8"/>
    <x v="8"/>
    <x v="1"/>
    <n v="724.31"/>
  </r>
  <r>
    <x v="0"/>
    <x v="9"/>
    <x v="9"/>
    <x v="1"/>
    <n v="1821.27"/>
  </r>
  <r>
    <x v="0"/>
    <x v="10"/>
    <x v="10"/>
    <x v="1"/>
    <n v="2302.04"/>
  </r>
  <r>
    <x v="0"/>
    <x v="11"/>
    <x v="11"/>
    <x v="1"/>
    <n v="1093.47"/>
  </r>
  <r>
    <x v="0"/>
    <x v="12"/>
    <x v="12"/>
    <x v="1"/>
    <n v="1357.69"/>
  </r>
  <r>
    <x v="0"/>
    <x v="13"/>
    <x v="13"/>
    <x v="1"/>
    <n v="910.69"/>
  </r>
  <r>
    <x v="0"/>
    <x v="14"/>
    <x v="14"/>
    <x v="1"/>
    <n v="1035.2"/>
  </r>
  <r>
    <x v="0"/>
    <x v="15"/>
    <x v="15"/>
    <x v="1"/>
    <n v="1234.6199999999999"/>
  </r>
  <r>
    <x v="0"/>
    <x v="16"/>
    <x v="16"/>
    <x v="1"/>
    <n v="943.76"/>
  </r>
  <r>
    <x v="0"/>
    <x v="17"/>
    <x v="17"/>
    <x v="1"/>
    <n v="1635.47"/>
  </r>
  <r>
    <x v="0"/>
    <x v="18"/>
    <x v="18"/>
    <x v="1"/>
    <n v="950.59"/>
  </r>
  <r>
    <x v="0"/>
    <x v="19"/>
    <x v="19"/>
    <x v="1"/>
    <n v="1896.43"/>
  </r>
  <r>
    <x v="1"/>
    <x v="0"/>
    <x v="0"/>
    <x v="1"/>
    <n v="794.63"/>
  </r>
  <r>
    <x v="1"/>
    <x v="1"/>
    <x v="1"/>
    <x v="1"/>
    <n v="1253.19"/>
  </r>
  <r>
    <x v="1"/>
    <x v="2"/>
    <x v="2"/>
    <x v="1"/>
    <n v="1003.09"/>
  </r>
  <r>
    <x v="1"/>
    <x v="3"/>
    <x v="3"/>
    <x v="1"/>
    <n v="2899.03"/>
  </r>
  <r>
    <x v="1"/>
    <x v="4"/>
    <x v="4"/>
    <x v="1"/>
    <n v="1091.92"/>
  </r>
  <r>
    <x v="1"/>
    <x v="5"/>
    <x v="5"/>
    <x v="1"/>
    <n v="962.23"/>
  </r>
  <r>
    <x v="1"/>
    <x v="6"/>
    <x v="6"/>
    <x v="1"/>
    <n v="1014.14"/>
  </r>
  <r>
    <x v="1"/>
    <x v="7"/>
    <x v="7"/>
    <x v="1"/>
    <n v="1335.45"/>
  </r>
  <r>
    <x v="1"/>
    <x v="8"/>
    <x v="8"/>
    <x v="1"/>
    <n v="734.04"/>
  </r>
  <r>
    <x v="1"/>
    <x v="9"/>
    <x v="9"/>
    <x v="1"/>
    <n v="1779.88"/>
  </r>
  <r>
    <x v="1"/>
    <x v="10"/>
    <x v="10"/>
    <x v="1"/>
    <n v="2312.4899999999998"/>
  </r>
  <r>
    <x v="1"/>
    <x v="11"/>
    <x v="11"/>
    <x v="1"/>
    <n v="1087.28"/>
  </r>
  <r>
    <x v="1"/>
    <x v="12"/>
    <x v="12"/>
    <x v="1"/>
    <n v="1347.85"/>
  </r>
  <r>
    <x v="1"/>
    <x v="13"/>
    <x v="13"/>
    <x v="1"/>
    <n v="915.77"/>
  </r>
  <r>
    <x v="1"/>
    <x v="14"/>
    <x v="14"/>
    <x v="1"/>
    <n v="1049.32"/>
  </r>
  <r>
    <x v="1"/>
    <x v="15"/>
    <x v="15"/>
    <x v="1"/>
    <n v="1224.42"/>
  </r>
  <r>
    <x v="1"/>
    <x v="16"/>
    <x v="16"/>
    <x v="1"/>
    <n v="941.14"/>
  </r>
  <r>
    <x v="1"/>
    <x v="17"/>
    <x v="17"/>
    <x v="1"/>
    <n v="1556.9"/>
  </r>
  <r>
    <x v="1"/>
    <x v="18"/>
    <x v="18"/>
    <x v="1"/>
    <n v="957.11"/>
  </r>
  <r>
    <x v="1"/>
    <x v="19"/>
    <x v="19"/>
    <x v="1"/>
    <n v="1860.19"/>
  </r>
  <r>
    <x v="2"/>
    <x v="0"/>
    <x v="0"/>
    <x v="1"/>
    <n v="802.68"/>
  </r>
  <r>
    <x v="2"/>
    <x v="1"/>
    <x v="1"/>
    <x v="1"/>
    <n v="1254.1099999999999"/>
  </r>
  <r>
    <x v="2"/>
    <x v="2"/>
    <x v="2"/>
    <x v="1"/>
    <n v="1015.82"/>
  </r>
  <r>
    <x v="2"/>
    <x v="3"/>
    <x v="3"/>
    <x v="1"/>
    <n v="2923.78"/>
  </r>
  <r>
    <x v="2"/>
    <x v="4"/>
    <x v="4"/>
    <x v="1"/>
    <n v="1102.67"/>
  </r>
  <r>
    <x v="2"/>
    <x v="5"/>
    <x v="5"/>
    <x v="1"/>
    <n v="958.61"/>
  </r>
  <r>
    <x v="2"/>
    <x v="6"/>
    <x v="6"/>
    <x v="1"/>
    <n v="1022.01"/>
  </r>
  <r>
    <x v="2"/>
    <x v="7"/>
    <x v="7"/>
    <x v="1"/>
    <n v="1342.5"/>
  </r>
  <r>
    <x v="2"/>
    <x v="8"/>
    <x v="8"/>
    <x v="1"/>
    <n v="736.8"/>
  </r>
  <r>
    <x v="2"/>
    <x v="9"/>
    <x v="9"/>
    <x v="1"/>
    <n v="1770.68"/>
  </r>
  <r>
    <x v="2"/>
    <x v="10"/>
    <x v="10"/>
    <x v="1"/>
    <n v="2302.13"/>
  </r>
  <r>
    <x v="2"/>
    <x v="11"/>
    <x v="11"/>
    <x v="1"/>
    <n v="1080.53"/>
  </r>
  <r>
    <x v="2"/>
    <x v="12"/>
    <x v="12"/>
    <x v="1"/>
    <n v="1352.56"/>
  </r>
  <r>
    <x v="2"/>
    <x v="13"/>
    <x v="13"/>
    <x v="1"/>
    <n v="909.36"/>
  </r>
  <r>
    <x v="2"/>
    <x v="14"/>
    <x v="14"/>
    <x v="1"/>
    <n v="1055.0899999999999"/>
  </r>
  <r>
    <x v="2"/>
    <x v="15"/>
    <x v="15"/>
    <x v="1"/>
    <n v="1215.92"/>
  </r>
  <r>
    <x v="2"/>
    <x v="16"/>
    <x v="16"/>
    <x v="1"/>
    <n v="957.95"/>
  </r>
  <r>
    <x v="2"/>
    <x v="17"/>
    <x v="17"/>
    <x v="1"/>
    <n v="1683.9"/>
  </r>
  <r>
    <x v="2"/>
    <x v="18"/>
    <x v="18"/>
    <x v="1"/>
    <n v="956.51"/>
  </r>
  <r>
    <x v="2"/>
    <x v="19"/>
    <x v="19"/>
    <x v="1"/>
    <n v="2012.88"/>
  </r>
  <r>
    <x v="3"/>
    <x v="0"/>
    <x v="0"/>
    <x v="1"/>
    <n v="832.8"/>
  </r>
  <r>
    <x v="3"/>
    <x v="1"/>
    <x v="1"/>
    <x v="1"/>
    <n v="1286.78"/>
  </r>
  <r>
    <x v="3"/>
    <x v="2"/>
    <x v="2"/>
    <x v="1"/>
    <n v="1031.5999999999999"/>
  </r>
  <r>
    <x v="3"/>
    <x v="3"/>
    <x v="3"/>
    <x v="1"/>
    <n v="2941.6"/>
  </r>
  <r>
    <x v="3"/>
    <x v="4"/>
    <x v="4"/>
    <x v="1"/>
    <n v="1092.5"/>
  </r>
  <r>
    <x v="3"/>
    <x v="5"/>
    <x v="5"/>
    <x v="1"/>
    <n v="955.52"/>
  </r>
  <r>
    <x v="3"/>
    <x v="6"/>
    <x v="6"/>
    <x v="1"/>
    <n v="1039.55"/>
  </r>
  <r>
    <x v="3"/>
    <x v="7"/>
    <x v="7"/>
    <x v="1"/>
    <n v="1359.02"/>
  </r>
  <r>
    <x v="3"/>
    <x v="8"/>
    <x v="8"/>
    <x v="1"/>
    <n v="758.99"/>
  </r>
  <r>
    <x v="3"/>
    <x v="9"/>
    <x v="9"/>
    <x v="1"/>
    <n v="1797.94"/>
  </r>
  <r>
    <x v="3"/>
    <x v="10"/>
    <x v="10"/>
    <x v="1"/>
    <n v="2313.46"/>
  </r>
  <r>
    <x v="3"/>
    <x v="11"/>
    <x v="11"/>
    <x v="1"/>
    <n v="1101.57"/>
  </r>
  <r>
    <x v="3"/>
    <x v="12"/>
    <x v="12"/>
    <x v="1"/>
    <n v="1358.58"/>
  </r>
  <r>
    <x v="3"/>
    <x v="13"/>
    <x v="13"/>
    <x v="1"/>
    <n v="915.81"/>
  </r>
  <r>
    <x v="3"/>
    <x v="14"/>
    <x v="14"/>
    <x v="1"/>
    <n v="1031.68"/>
  </r>
  <r>
    <x v="3"/>
    <x v="15"/>
    <x v="15"/>
    <x v="1"/>
    <n v="1218.18"/>
  </r>
  <r>
    <x v="3"/>
    <x v="16"/>
    <x v="16"/>
    <x v="1"/>
    <n v="977.41"/>
  </r>
  <r>
    <x v="3"/>
    <x v="17"/>
    <x v="17"/>
    <x v="1"/>
    <n v="1710.96"/>
  </r>
  <r>
    <x v="3"/>
    <x v="18"/>
    <x v="18"/>
    <x v="1"/>
    <n v="964.7"/>
  </r>
  <r>
    <x v="3"/>
    <x v="19"/>
    <x v="19"/>
    <x v="1"/>
    <n v="2228.17"/>
  </r>
  <r>
    <x v="4"/>
    <x v="0"/>
    <x v="0"/>
    <x v="1"/>
    <n v="850.4"/>
  </r>
  <r>
    <x v="4"/>
    <x v="1"/>
    <x v="1"/>
    <x v="1"/>
    <n v="1296.04"/>
  </r>
  <r>
    <x v="4"/>
    <x v="2"/>
    <x v="2"/>
    <x v="1"/>
    <n v="1068.43"/>
  </r>
  <r>
    <x v="4"/>
    <x v="3"/>
    <x v="3"/>
    <x v="1"/>
    <n v="2914.67"/>
  </r>
  <r>
    <x v="4"/>
    <x v="4"/>
    <x v="4"/>
    <x v="1"/>
    <n v="1108.54"/>
  </r>
  <r>
    <x v="4"/>
    <x v="5"/>
    <x v="5"/>
    <x v="1"/>
    <n v="967.03"/>
  </r>
  <r>
    <x v="4"/>
    <x v="6"/>
    <x v="6"/>
    <x v="1"/>
    <n v="1066.6400000000001"/>
  </r>
  <r>
    <x v="4"/>
    <x v="7"/>
    <x v="7"/>
    <x v="1"/>
    <n v="1384.77"/>
  </r>
  <r>
    <x v="4"/>
    <x v="8"/>
    <x v="8"/>
    <x v="1"/>
    <n v="788.29"/>
  </r>
  <r>
    <x v="4"/>
    <x v="9"/>
    <x v="9"/>
    <x v="1"/>
    <n v="1808.57"/>
  </r>
  <r>
    <x v="4"/>
    <x v="10"/>
    <x v="10"/>
    <x v="1"/>
    <n v="2305.21"/>
  </r>
  <r>
    <x v="4"/>
    <x v="11"/>
    <x v="11"/>
    <x v="1"/>
    <n v="1115"/>
  </r>
  <r>
    <x v="4"/>
    <x v="12"/>
    <x v="12"/>
    <x v="1"/>
    <n v="1414.09"/>
  </r>
  <r>
    <x v="4"/>
    <x v="13"/>
    <x v="13"/>
    <x v="1"/>
    <n v="940.16"/>
  </r>
  <r>
    <x v="4"/>
    <x v="14"/>
    <x v="14"/>
    <x v="1"/>
    <n v="1056.22"/>
  </r>
  <r>
    <x v="4"/>
    <x v="15"/>
    <x v="15"/>
    <x v="1"/>
    <n v="1243.1300000000001"/>
  </r>
  <r>
    <x v="4"/>
    <x v="16"/>
    <x v="16"/>
    <x v="1"/>
    <n v="1008.97"/>
  </r>
  <r>
    <x v="4"/>
    <x v="17"/>
    <x v="17"/>
    <x v="1"/>
    <n v="1798.97"/>
  </r>
  <r>
    <x v="4"/>
    <x v="18"/>
    <x v="18"/>
    <x v="1"/>
    <n v="994.49"/>
  </r>
  <r>
    <x v="4"/>
    <x v="19"/>
    <x v="19"/>
    <x v="1"/>
    <n v="2104.88"/>
  </r>
  <r>
    <x v="5"/>
    <x v="0"/>
    <x v="0"/>
    <x v="1"/>
    <n v="896.43"/>
  </r>
  <r>
    <x v="5"/>
    <x v="1"/>
    <x v="1"/>
    <x v="1"/>
    <n v="1403.23"/>
  </r>
  <r>
    <x v="5"/>
    <x v="2"/>
    <x v="2"/>
    <x v="1"/>
    <n v="1110.54"/>
  </r>
  <r>
    <x v="5"/>
    <x v="3"/>
    <x v="3"/>
    <x v="1"/>
    <n v="2948.55"/>
  </r>
  <r>
    <x v="5"/>
    <x v="4"/>
    <x v="4"/>
    <x v="1"/>
    <n v="1150.68"/>
  </r>
  <r>
    <x v="5"/>
    <x v="5"/>
    <x v="5"/>
    <x v="1"/>
    <n v="993.18"/>
  </r>
  <r>
    <x v="5"/>
    <x v="6"/>
    <x v="6"/>
    <x v="1"/>
    <n v="1099.03"/>
  </r>
  <r>
    <x v="5"/>
    <x v="7"/>
    <x v="7"/>
    <x v="1"/>
    <n v="1425.95"/>
  </r>
  <r>
    <x v="5"/>
    <x v="8"/>
    <x v="8"/>
    <x v="1"/>
    <n v="820.22"/>
  </r>
  <r>
    <x v="5"/>
    <x v="9"/>
    <x v="9"/>
    <x v="1"/>
    <n v="1867.06"/>
  </r>
  <r>
    <x v="5"/>
    <x v="10"/>
    <x v="10"/>
    <x v="1"/>
    <n v="2321.41"/>
  </r>
  <r>
    <x v="5"/>
    <x v="11"/>
    <x v="11"/>
    <x v="1"/>
    <n v="1148.17"/>
  </r>
  <r>
    <x v="5"/>
    <x v="12"/>
    <x v="12"/>
    <x v="1"/>
    <n v="1446.18"/>
  </r>
  <r>
    <x v="5"/>
    <x v="13"/>
    <x v="13"/>
    <x v="1"/>
    <n v="974.19"/>
  </r>
  <r>
    <x v="5"/>
    <x v="14"/>
    <x v="14"/>
    <x v="1"/>
    <n v="1099.5999999999999"/>
  </r>
  <r>
    <x v="5"/>
    <x v="15"/>
    <x v="15"/>
    <x v="1"/>
    <n v="1272.3900000000001"/>
  </r>
  <r>
    <x v="5"/>
    <x v="16"/>
    <x v="16"/>
    <x v="1"/>
    <n v="1045.1199999999999"/>
  </r>
  <r>
    <x v="5"/>
    <x v="17"/>
    <x v="17"/>
    <x v="1"/>
    <n v="1800.76"/>
  </r>
  <r>
    <x v="5"/>
    <x v="18"/>
    <x v="18"/>
    <x v="1"/>
    <n v="1024"/>
  </r>
  <r>
    <x v="5"/>
    <x v="19"/>
    <x v="19"/>
    <x v="1"/>
    <n v="2323.9899999999998"/>
  </r>
  <r>
    <x v="6"/>
    <x v="0"/>
    <x v="0"/>
    <x v="1"/>
    <n v="945.56"/>
  </r>
  <r>
    <x v="6"/>
    <x v="1"/>
    <x v="1"/>
    <x v="1"/>
    <n v="1459.11"/>
  </r>
  <r>
    <x v="6"/>
    <x v="2"/>
    <x v="2"/>
    <x v="1"/>
    <n v="1154.94"/>
  </r>
  <r>
    <x v="6"/>
    <x v="3"/>
    <x v="3"/>
    <x v="1"/>
    <n v="2904.2"/>
  </r>
  <r>
    <x v="6"/>
    <x v="4"/>
    <x v="4"/>
    <x v="1"/>
    <n v="1174.83"/>
  </r>
  <r>
    <x v="6"/>
    <x v="5"/>
    <x v="5"/>
    <x v="1"/>
    <n v="1025"/>
  </r>
  <r>
    <x v="6"/>
    <x v="6"/>
    <x v="6"/>
    <x v="1"/>
    <n v="1140.32"/>
  </r>
  <r>
    <x v="6"/>
    <x v="7"/>
    <x v="7"/>
    <x v="1"/>
    <n v="1489.52"/>
  </r>
  <r>
    <x v="6"/>
    <x v="8"/>
    <x v="8"/>
    <x v="1"/>
    <n v="851.31"/>
  </r>
  <r>
    <x v="6"/>
    <x v="9"/>
    <x v="9"/>
    <x v="1"/>
    <n v="1919.57"/>
  </r>
  <r>
    <x v="6"/>
    <x v="10"/>
    <x v="10"/>
    <x v="1"/>
    <n v="2330.36"/>
  </r>
  <r>
    <x v="6"/>
    <x v="11"/>
    <x v="11"/>
    <x v="1"/>
    <n v="1193.98"/>
  </r>
  <r>
    <x v="6"/>
    <x v="12"/>
    <x v="12"/>
    <x v="1"/>
    <n v="1498.25"/>
  </r>
  <r>
    <x v="6"/>
    <x v="13"/>
    <x v="13"/>
    <x v="1"/>
    <n v="1006.82"/>
  </r>
  <r>
    <x v="6"/>
    <x v="14"/>
    <x v="14"/>
    <x v="1"/>
    <n v="1161.46"/>
  </r>
  <r>
    <x v="6"/>
    <x v="15"/>
    <x v="15"/>
    <x v="1"/>
    <n v="1336.35"/>
  </r>
  <r>
    <x v="6"/>
    <x v="16"/>
    <x v="16"/>
    <x v="1"/>
    <n v="1088.3399999999999"/>
  </r>
  <r>
    <x v="6"/>
    <x v="17"/>
    <x v="17"/>
    <x v="1"/>
    <n v="1856.55"/>
  </r>
  <r>
    <x v="6"/>
    <x v="18"/>
    <x v="18"/>
    <x v="1"/>
    <n v="1057.8699999999999"/>
  </r>
  <r>
    <x v="6"/>
    <x v="19"/>
    <x v="19"/>
    <x v="1"/>
    <n v="2299.36"/>
  </r>
  <r>
    <x v="7"/>
    <x v="0"/>
    <x v="0"/>
    <x v="1"/>
    <n v="949.69"/>
  </r>
  <r>
    <x v="7"/>
    <x v="1"/>
    <x v="1"/>
    <x v="1"/>
    <n v="1500.09"/>
  </r>
  <r>
    <x v="7"/>
    <x v="2"/>
    <x v="2"/>
    <x v="1"/>
    <n v="1198.04"/>
  </r>
  <r>
    <x v="7"/>
    <x v="3"/>
    <x v="3"/>
    <x v="1"/>
    <n v="2956.05"/>
  </r>
  <r>
    <x v="7"/>
    <x v="4"/>
    <x v="4"/>
    <x v="1"/>
    <n v="1204.9000000000001"/>
  </r>
  <r>
    <x v="7"/>
    <x v="5"/>
    <x v="5"/>
    <x v="1"/>
    <n v="1042.3699999999999"/>
  </r>
  <r>
    <x v="7"/>
    <x v="6"/>
    <x v="6"/>
    <x v="1"/>
    <n v="1176.33"/>
  </r>
  <r>
    <x v="7"/>
    <x v="7"/>
    <x v="7"/>
    <x v="1"/>
    <n v="1418.68"/>
  </r>
  <r>
    <x v="7"/>
    <x v="8"/>
    <x v="8"/>
    <x v="1"/>
    <n v="858.93"/>
  </r>
  <r>
    <x v="7"/>
    <x v="9"/>
    <x v="9"/>
    <x v="1"/>
    <n v="1970.06"/>
  </r>
  <r>
    <x v="7"/>
    <x v="10"/>
    <x v="10"/>
    <x v="1"/>
    <n v="2366.37"/>
  </r>
  <r>
    <x v="7"/>
    <x v="11"/>
    <x v="11"/>
    <x v="1"/>
    <n v="1237.47"/>
  </r>
  <r>
    <x v="7"/>
    <x v="12"/>
    <x v="12"/>
    <x v="1"/>
    <n v="1543.35"/>
  </r>
  <r>
    <x v="7"/>
    <x v="13"/>
    <x v="13"/>
    <x v="1"/>
    <n v="1032.8800000000001"/>
  </r>
  <r>
    <x v="7"/>
    <x v="14"/>
    <x v="14"/>
    <x v="1"/>
    <n v="1222.78"/>
  </r>
  <r>
    <x v="7"/>
    <x v="15"/>
    <x v="15"/>
    <x v="1"/>
    <n v="1375.08"/>
  </r>
  <r>
    <x v="7"/>
    <x v="16"/>
    <x v="16"/>
    <x v="1"/>
    <n v="1112.49"/>
  </r>
  <r>
    <x v="7"/>
    <x v="17"/>
    <x v="17"/>
    <x v="1"/>
    <n v="2043.82"/>
  </r>
  <r>
    <x v="7"/>
    <x v="18"/>
    <x v="18"/>
    <x v="1"/>
    <n v="1115.8800000000001"/>
  </r>
  <r>
    <x v="7"/>
    <x v="19"/>
    <x v="19"/>
    <x v="1"/>
    <n v="2045.65"/>
  </r>
  <r>
    <x v="8"/>
    <x v="0"/>
    <x v="0"/>
    <x v="1"/>
    <n v="1011.43"/>
  </r>
  <r>
    <x v="8"/>
    <x v="1"/>
    <x v="1"/>
    <x v="1"/>
    <n v="1596.03"/>
  </r>
  <r>
    <x v="8"/>
    <x v="2"/>
    <x v="2"/>
    <x v="1"/>
    <n v="1224.79"/>
  </r>
  <r>
    <x v="8"/>
    <x v="3"/>
    <x v="3"/>
    <x v="1"/>
    <n v="2965.84"/>
  </r>
  <r>
    <x v="8"/>
    <x v="4"/>
    <x v="4"/>
    <x v="1"/>
    <n v="1227.3"/>
  </r>
  <r>
    <x v="8"/>
    <x v="5"/>
    <x v="5"/>
    <x v="1"/>
    <n v="1103.17"/>
  </r>
  <r>
    <x v="8"/>
    <x v="6"/>
    <x v="6"/>
    <x v="1"/>
    <n v="1224.17"/>
  </r>
  <r>
    <x v="8"/>
    <x v="7"/>
    <x v="7"/>
    <x v="1"/>
    <n v="1463.67"/>
  </r>
  <r>
    <x v="8"/>
    <x v="8"/>
    <x v="8"/>
    <x v="1"/>
    <n v="913.66"/>
  </r>
  <r>
    <x v="8"/>
    <x v="9"/>
    <x v="9"/>
    <x v="1"/>
    <n v="2046.09"/>
  </r>
  <r>
    <x v="8"/>
    <x v="10"/>
    <x v="10"/>
    <x v="1"/>
    <n v="2374.41"/>
  </r>
  <r>
    <x v="8"/>
    <x v="11"/>
    <x v="11"/>
    <x v="1"/>
    <n v="1277.49"/>
  </r>
  <r>
    <x v="8"/>
    <x v="12"/>
    <x v="12"/>
    <x v="1"/>
    <n v="1612.77"/>
  </r>
  <r>
    <x v="8"/>
    <x v="13"/>
    <x v="13"/>
    <x v="1"/>
    <n v="1086.1400000000001"/>
  </r>
  <r>
    <x v="8"/>
    <x v="14"/>
    <x v="14"/>
    <x v="1"/>
    <n v="1269.25"/>
  </r>
  <r>
    <x v="8"/>
    <x v="15"/>
    <x v="15"/>
    <x v="1"/>
    <n v="1415.08"/>
  </r>
  <r>
    <x v="8"/>
    <x v="16"/>
    <x v="16"/>
    <x v="1"/>
    <n v="1148.8"/>
  </r>
  <r>
    <x v="8"/>
    <x v="17"/>
    <x v="17"/>
    <x v="1"/>
    <n v="1981.67"/>
  </r>
  <r>
    <x v="8"/>
    <x v="18"/>
    <x v="18"/>
    <x v="1"/>
    <n v="1140.2"/>
  </r>
  <r>
    <x v="8"/>
    <x v="19"/>
    <x v="19"/>
    <x v="1"/>
    <n v="1997.5"/>
  </r>
  <r>
    <x v="9"/>
    <x v="0"/>
    <x v="0"/>
    <x v="1"/>
    <n v="1058.3699999999999"/>
  </r>
  <r>
    <x v="9"/>
    <x v="1"/>
    <x v="1"/>
    <x v="1"/>
    <n v="1702.24"/>
  </r>
  <r>
    <x v="9"/>
    <x v="2"/>
    <x v="2"/>
    <x v="1"/>
    <n v="1302.5899999999999"/>
  </r>
  <r>
    <x v="9"/>
    <x v="3"/>
    <x v="3"/>
    <x v="1"/>
    <n v="3040.89"/>
  </r>
  <r>
    <x v="9"/>
    <x v="4"/>
    <x v="4"/>
    <x v="1"/>
    <n v="1275.54"/>
  </r>
  <r>
    <x v="9"/>
    <x v="5"/>
    <x v="5"/>
    <x v="1"/>
    <n v="1149.6099999999999"/>
  </r>
  <r>
    <x v="9"/>
    <x v="6"/>
    <x v="6"/>
    <x v="1"/>
    <n v="1280.54"/>
  </r>
  <r>
    <x v="9"/>
    <x v="7"/>
    <x v="7"/>
    <x v="1"/>
    <n v="1651.37"/>
  </r>
  <r>
    <x v="9"/>
    <x v="8"/>
    <x v="8"/>
    <x v="1"/>
    <n v="977.82"/>
  </r>
  <r>
    <x v="9"/>
    <x v="9"/>
    <x v="9"/>
    <x v="1"/>
    <n v="2222.2600000000002"/>
  </r>
  <r>
    <x v="9"/>
    <x v="10"/>
    <x v="10"/>
    <x v="1"/>
    <n v="2429.02"/>
  </r>
  <r>
    <x v="9"/>
    <x v="11"/>
    <x v="11"/>
    <x v="1"/>
    <n v="1343.29"/>
  </r>
  <r>
    <x v="9"/>
    <x v="12"/>
    <x v="12"/>
    <x v="1"/>
    <n v="1708.75"/>
  </r>
  <r>
    <x v="9"/>
    <x v="13"/>
    <x v="13"/>
    <x v="1"/>
    <n v="1156.51"/>
  </r>
  <r>
    <x v="9"/>
    <x v="14"/>
    <x v="14"/>
    <x v="1"/>
    <n v="1293.6300000000001"/>
  </r>
  <r>
    <x v="9"/>
    <x v="15"/>
    <x v="15"/>
    <x v="1"/>
    <n v="1477.62"/>
  </r>
  <r>
    <x v="9"/>
    <x v="16"/>
    <x v="16"/>
    <x v="1"/>
    <n v="1186.79"/>
  </r>
  <r>
    <x v="9"/>
    <x v="17"/>
    <x v="17"/>
    <x v="1"/>
    <n v="2006.93"/>
  </r>
  <r>
    <x v="9"/>
    <x v="18"/>
    <x v="18"/>
    <x v="1"/>
    <n v="1185.8599999999999"/>
  </r>
  <r>
    <x v="9"/>
    <x v="19"/>
    <x v="19"/>
    <x v="1"/>
    <n v="3245.89"/>
  </r>
  <r>
    <x v="10"/>
    <x v="0"/>
    <x v="0"/>
    <x v="1"/>
    <n v="1125.73"/>
  </r>
  <r>
    <x v="10"/>
    <x v="1"/>
    <x v="1"/>
    <x v="1"/>
    <n v="1969.8"/>
  </r>
  <r>
    <x v="10"/>
    <x v="2"/>
    <x v="2"/>
    <x v="1"/>
    <n v="1400.65"/>
  </r>
  <r>
    <x v="10"/>
    <x v="3"/>
    <x v="3"/>
    <x v="1"/>
    <n v="3171.51"/>
  </r>
  <r>
    <x v="10"/>
    <x v="4"/>
    <x v="4"/>
    <x v="1"/>
    <n v="1387.57"/>
  </r>
  <r>
    <x v="10"/>
    <x v="5"/>
    <x v="5"/>
    <x v="1"/>
    <n v="1231.28"/>
  </r>
  <r>
    <x v="10"/>
    <x v="6"/>
    <x v="6"/>
    <x v="1"/>
    <n v="1373.91"/>
  </r>
  <r>
    <x v="10"/>
    <x v="7"/>
    <x v="7"/>
    <x v="1"/>
    <n v="1761.67"/>
  </r>
  <r>
    <x v="10"/>
    <x v="8"/>
    <x v="8"/>
    <x v="1"/>
    <n v="1046.9100000000001"/>
  </r>
  <r>
    <x v="10"/>
    <x v="9"/>
    <x v="9"/>
    <x v="1"/>
    <n v="2360.1999999999998"/>
  </r>
  <r>
    <x v="10"/>
    <x v="10"/>
    <x v="10"/>
    <x v="1"/>
    <n v="2579.31"/>
  </r>
  <r>
    <x v="10"/>
    <x v="11"/>
    <x v="11"/>
    <x v="1"/>
    <n v="1449.6"/>
  </r>
  <r>
    <x v="10"/>
    <x v="12"/>
    <x v="12"/>
    <x v="1"/>
    <n v="1854.12"/>
  </r>
  <r>
    <x v="10"/>
    <x v="13"/>
    <x v="13"/>
    <x v="1"/>
    <n v="1263.92"/>
  </r>
  <r>
    <x v="10"/>
    <x v="14"/>
    <x v="14"/>
    <x v="1"/>
    <n v="1386.73"/>
  </r>
  <r>
    <x v="10"/>
    <x v="15"/>
    <x v="15"/>
    <x v="1"/>
    <n v="1587.99"/>
  </r>
  <r>
    <x v="10"/>
    <x v="16"/>
    <x v="16"/>
    <x v="1"/>
    <n v="1250.5999999999999"/>
  </r>
  <r>
    <x v="10"/>
    <x v="17"/>
    <x v="17"/>
    <x v="1"/>
    <n v="2131.9699999999998"/>
  </r>
  <r>
    <x v="10"/>
    <x v="18"/>
    <x v="18"/>
    <x v="1"/>
    <n v="1259.4000000000001"/>
  </r>
  <r>
    <x v="10"/>
    <x v="19"/>
    <x v="19"/>
    <x v="1"/>
    <n v="3521.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DA4C72-4297-463F-896B-DD0EB4166712}" name="Tabela Dinâmica3" cacheId="8"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3">
  <location ref="A80:C93" firstHeaderRow="1" firstDataRow="3" firstDataCol="1"/>
  <pivotFields count="4">
    <pivotField axis="axisRow" showAll="0">
      <items count="14">
        <item m="1" x="11"/>
        <item m="1" x="12"/>
        <item x="0"/>
        <item x="1"/>
        <item x="2"/>
        <item x="3"/>
        <item x="4"/>
        <item x="5"/>
        <item x="6"/>
        <item x="7"/>
        <item x="8"/>
        <item x="9"/>
        <item x="10"/>
        <item t="default"/>
      </items>
    </pivotField>
    <pivotField axis="axisCol" showAll="0" defaultSubtotal="0">
      <items count="4">
        <item h="1" m="1" x="2"/>
        <item h="1" m="1" x="3"/>
        <item x="0"/>
        <item x="1"/>
      </items>
    </pivotField>
    <pivotField axis="axisCol" showAll="0">
      <items count="4">
        <item h="1" x="0"/>
        <item x="1"/>
        <item h="1" x="2"/>
        <item t="default"/>
      </items>
    </pivotField>
    <pivotField dataField="1" numFmtId="2" showAll="0"/>
  </pivotFields>
  <rowFields count="1">
    <field x="0"/>
  </rowFields>
  <rowItems count="11">
    <i>
      <x v="2"/>
    </i>
    <i>
      <x v="3"/>
    </i>
    <i>
      <x v="4"/>
    </i>
    <i>
      <x v="5"/>
    </i>
    <i>
      <x v="6"/>
    </i>
    <i>
      <x v="7"/>
    </i>
    <i>
      <x v="8"/>
    </i>
    <i>
      <x v="9"/>
    </i>
    <i>
      <x v="10"/>
    </i>
    <i>
      <x v="11"/>
    </i>
    <i>
      <x v="12"/>
    </i>
  </rowItems>
  <colFields count="2">
    <field x="1"/>
    <field x="2"/>
  </colFields>
  <colItems count="2">
    <i>
      <x v="2"/>
      <x v="1"/>
    </i>
    <i>
      <x v="3"/>
      <x v="1"/>
    </i>
  </colItems>
  <dataFields count="1">
    <dataField name="Soma de Valor" fld="3" baseField="0" baseItem="0"/>
  </dataFields>
  <chartFormats count="11">
    <chartFormat chart="0" format="0" series="1">
      <pivotArea type="data" outline="0" fieldPosition="0">
        <references count="1">
          <reference field="4294967294" count="1" selected="0">
            <x v="0"/>
          </reference>
        </references>
      </pivotArea>
    </chartFormat>
    <chartFormat chart="0" format="11" series="1">
      <pivotArea type="data" outline="0" fieldPosition="0">
        <references count="2">
          <reference field="4294967294" count="1" selected="0">
            <x v="0"/>
          </reference>
          <reference field="1" count="1" selected="0">
            <x v="3"/>
          </reference>
        </references>
      </pivotArea>
    </chartFormat>
    <chartFormat chart="2" format="20" series="1">
      <pivotArea type="data" outline="0" fieldPosition="0">
        <references count="1">
          <reference field="4294967294" count="1" selected="0">
            <x v="0"/>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22" series="1">
      <pivotArea type="data" outline="0" fieldPosition="0">
        <references count="3">
          <reference field="4294967294" count="1" selected="0">
            <x v="0"/>
          </reference>
          <reference field="1" count="1" selected="0">
            <x v="2"/>
          </reference>
          <reference field="2" count="1" selected="0">
            <x v="2"/>
          </reference>
        </references>
      </pivotArea>
    </chartFormat>
    <chartFormat chart="0" format="12" series="1">
      <pivotArea type="data" outline="0" fieldPosition="0">
        <references count="3">
          <reference field="4294967294" count="1" selected="0">
            <x v="0"/>
          </reference>
          <reference field="1" count="1" selected="0">
            <x v="2"/>
          </reference>
          <reference field="2" count="1" selected="0">
            <x v="1"/>
          </reference>
        </references>
      </pivotArea>
    </chartFormat>
    <chartFormat chart="0"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3" series="1">
      <pivotArea type="data" outline="0" fieldPosition="0">
        <references count="2">
          <reference field="4294967294" count="1" selected="0">
            <x v="0"/>
          </reference>
          <reference field="1" count="1" selected="0">
            <x v="3"/>
          </reference>
        </references>
      </pivotArea>
    </chartFormat>
    <chartFormat chart="2" format="24" series="1">
      <pivotArea type="data" outline="0" fieldPosition="0">
        <references count="3">
          <reference field="4294967294" count="1" selected="0">
            <x v="0"/>
          </reference>
          <reference field="1" count="1" selected="0">
            <x v="3"/>
          </reference>
          <reference field="2" count="1" selected="0">
            <x v="1"/>
          </reference>
        </references>
      </pivotArea>
    </chartFormat>
    <chartFormat chart="2" format="25" series="1">
      <pivotArea type="data" outline="0" fieldPosition="0">
        <references count="3">
          <reference field="4294967294" count="1" selected="0">
            <x v="0"/>
          </reference>
          <reference field="1" count="1" selected="0">
            <x v="3"/>
          </reference>
          <reference field="2" count="1" selected="0">
            <x v="2"/>
          </reference>
        </references>
      </pivotArea>
    </chartFormat>
    <chartFormat chart="2" format="26" series="1">
      <pivotArea type="data" outline="0" fieldPosition="0">
        <references count="3">
          <reference field="4294967294" count="1" selected="0">
            <x v="0"/>
          </reference>
          <reference field="1" count="1" selected="0">
            <x v="3"/>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602C882-B6BF-4270-9C75-9D76F0D01BD9}" name="Tabela Dinâmica1"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1">
  <location ref="I5:M19" firstHeaderRow="1" firstDataRow="3" firstDataCol="1"/>
  <pivotFields count="5">
    <pivotField axis="axisRow" showAll="0">
      <items count="14">
        <item m="1" x="11"/>
        <item m="1" x="12"/>
        <item x="0"/>
        <item x="1"/>
        <item x="2"/>
        <item x="3"/>
        <item x="4"/>
        <item x="5"/>
        <item x="6"/>
        <item x="7"/>
        <item x="8"/>
        <item x="9"/>
        <item x="10"/>
        <item t="default"/>
      </items>
    </pivotField>
    <pivotField showAll="0">
      <items count="25">
        <item h="1" x="0"/>
        <item h="1" x="1"/>
        <item h="1" x="2"/>
        <item h="1" m="1" x="20"/>
        <item h="1" x="3"/>
        <item h="1" x="4"/>
        <item h="1" x="5"/>
        <item x="6"/>
        <item h="1" m="1" x="21"/>
        <item h="1" x="7"/>
        <item h="1" x="8"/>
        <item h="1" m="1" x="23"/>
        <item h="1" x="9"/>
        <item h="1" x="10"/>
        <item h="1" x="11"/>
        <item h="1" x="12"/>
        <item h="1" x="13"/>
        <item h="1" x="14"/>
        <item h="1" x="15"/>
        <item h="1" x="16"/>
        <item h="1" m="1" x="22"/>
        <item h="1" x="17"/>
        <item h="1" x="18"/>
        <item h="1" x="19"/>
        <item t="default"/>
      </items>
    </pivotField>
    <pivotField axis="axisCol" showAll="0">
      <items count="21">
        <item x="0"/>
        <item x="1"/>
        <item x="2"/>
        <item x="3"/>
        <item x="4"/>
        <item x="5"/>
        <item x="6"/>
        <item x="7"/>
        <item x="8"/>
        <item x="9"/>
        <item x="10"/>
        <item x="11"/>
        <item x="12"/>
        <item x="13"/>
        <item x="14"/>
        <item x="15"/>
        <item x="16"/>
        <item x="17"/>
        <item x="18"/>
        <item x="19"/>
        <item t="default"/>
      </items>
    </pivotField>
    <pivotField axis="axisCol" showAll="0">
      <items count="5">
        <item h="1" m="1" x="2"/>
        <item h="1" m="1" x="3"/>
        <item x="0"/>
        <item x="1"/>
        <item t="default"/>
      </items>
    </pivotField>
    <pivotField dataField="1" numFmtId="2" showAll="0"/>
  </pivotFields>
  <rowFields count="1">
    <field x="0"/>
  </rowFields>
  <rowItems count="12">
    <i>
      <x v="2"/>
    </i>
    <i>
      <x v="3"/>
    </i>
    <i>
      <x v="4"/>
    </i>
    <i>
      <x v="5"/>
    </i>
    <i>
      <x v="6"/>
    </i>
    <i>
      <x v="7"/>
    </i>
    <i>
      <x v="8"/>
    </i>
    <i>
      <x v="9"/>
    </i>
    <i>
      <x v="10"/>
    </i>
    <i>
      <x v="11"/>
    </i>
    <i>
      <x v="12"/>
    </i>
    <i t="grand">
      <x/>
    </i>
  </rowItems>
  <colFields count="2">
    <field x="2"/>
    <field x="3"/>
  </colFields>
  <colItems count="4">
    <i>
      <x v="6"/>
      <x v="2"/>
    </i>
    <i r="1">
      <x v="3"/>
    </i>
    <i t="default">
      <x v="6"/>
    </i>
    <i t="grand">
      <x/>
    </i>
  </colItems>
  <dataFields count="1">
    <dataField name="Soma de Valor" fld="4" baseField="0" baseItem="0" numFmtId="174"/>
  </dataFields>
  <formats count="1">
    <format dxfId="1208">
      <pivotArea outline="0" collapsedLevelsAreSubtotals="1" fieldPosition="0"/>
    </format>
  </formats>
  <chartFormats count="111">
    <chartFormat chart="0" format="22" series="1">
      <pivotArea type="data" outline="0" fieldPosition="0">
        <references count="1">
          <reference field="4294967294" count="1" selected="0">
            <x v="0"/>
          </reference>
        </references>
      </pivotArea>
    </chartFormat>
    <chartFormat chart="8" format="88" series="1">
      <pivotArea type="data" outline="0" fieldPosition="0">
        <references count="2">
          <reference field="4294967294" count="1" selected="0">
            <x v="0"/>
          </reference>
          <reference field="3" count="1" selected="0">
            <x v="2"/>
          </reference>
        </references>
      </pivotArea>
    </chartFormat>
    <chartFormat chart="8" format="89" series="1">
      <pivotArea type="data" outline="0" fieldPosition="0">
        <references count="2">
          <reference field="4294967294" count="1" selected="0">
            <x v="0"/>
          </reference>
          <reference field="3" count="1" selected="0">
            <x v="3"/>
          </reference>
        </references>
      </pivotArea>
    </chartFormat>
    <chartFormat chart="0" format="39" series="1">
      <pivotArea type="data" outline="0" fieldPosition="0">
        <references count="3">
          <reference field="4294967294" count="1" selected="0">
            <x v="0"/>
          </reference>
          <reference field="2" count="1" selected="0">
            <x v="0"/>
          </reference>
          <reference field="3" count="1" selected="0">
            <x v="3"/>
          </reference>
        </references>
      </pivotArea>
    </chartFormat>
    <chartFormat chart="8" format="90" series="1">
      <pivotArea type="data" outline="0" fieldPosition="0">
        <references count="3">
          <reference field="4294967294" count="1" selected="0">
            <x v="0"/>
          </reference>
          <reference field="2" count="1" selected="0">
            <x v="0"/>
          </reference>
          <reference field="3" count="1" selected="0">
            <x v="3"/>
          </reference>
        </references>
      </pivotArea>
    </chartFormat>
    <chartFormat chart="8" format="91" series="1">
      <pivotArea type="data" outline="0" fieldPosition="0">
        <references count="3">
          <reference field="4294967294" count="1" selected="0">
            <x v="0"/>
          </reference>
          <reference field="2" count="1" selected="0">
            <x v="0"/>
          </reference>
          <reference field="3" count="1" selected="0">
            <x v="2"/>
          </reference>
        </references>
      </pivotArea>
    </chartFormat>
    <chartFormat chart="8" format="92" series="1">
      <pivotArea type="data" outline="0" fieldPosition="0">
        <references count="3">
          <reference field="4294967294" count="1" selected="0">
            <x v="0"/>
          </reference>
          <reference field="2" count="1" selected="0">
            <x v="1"/>
          </reference>
          <reference field="3" count="1" selected="0">
            <x v="2"/>
          </reference>
        </references>
      </pivotArea>
    </chartFormat>
    <chartFormat chart="8" format="93" series="1">
      <pivotArea type="data" outline="0" fieldPosition="0">
        <references count="3">
          <reference field="4294967294" count="1" selected="0">
            <x v="0"/>
          </reference>
          <reference field="2" count="1" selected="0">
            <x v="1"/>
          </reference>
          <reference field="3" count="1" selected="0">
            <x v="3"/>
          </reference>
        </references>
      </pivotArea>
    </chartFormat>
    <chartFormat chart="8" format="9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95" series="1">
      <pivotArea type="data" outline="0" fieldPosition="0">
        <references count="3">
          <reference field="4294967294" count="1" selected="0">
            <x v="0"/>
          </reference>
          <reference field="2" count="1" selected="0">
            <x v="2"/>
          </reference>
          <reference field="3" count="1" selected="0">
            <x v="3"/>
          </reference>
        </references>
      </pivotArea>
    </chartFormat>
    <chartFormat chart="8" format="96" series="1">
      <pivotArea type="data" outline="0" fieldPosition="0">
        <references count="3">
          <reference field="4294967294" count="1" selected="0">
            <x v="0"/>
          </reference>
          <reference field="2" count="1" selected="0">
            <x v="3"/>
          </reference>
          <reference field="3" count="1" selected="0">
            <x v="2"/>
          </reference>
        </references>
      </pivotArea>
    </chartFormat>
    <chartFormat chart="8" format="97" series="1">
      <pivotArea type="data" outline="0" fieldPosition="0">
        <references count="3">
          <reference field="4294967294" count="1" selected="0">
            <x v="0"/>
          </reference>
          <reference field="2" count="1" selected="0">
            <x v="3"/>
          </reference>
          <reference field="3" count="1" selected="0">
            <x v="3"/>
          </reference>
        </references>
      </pivotArea>
    </chartFormat>
    <chartFormat chart="8" format="98" series="1">
      <pivotArea type="data" outline="0" fieldPosition="0">
        <references count="3">
          <reference field="4294967294" count="1" selected="0">
            <x v="0"/>
          </reference>
          <reference field="2" count="1" selected="0">
            <x v="4"/>
          </reference>
          <reference field="3" count="1" selected="0">
            <x v="2"/>
          </reference>
        </references>
      </pivotArea>
    </chartFormat>
    <chartFormat chart="8" format="99" series="1">
      <pivotArea type="data" outline="0" fieldPosition="0">
        <references count="3">
          <reference field="4294967294" count="1" selected="0">
            <x v="0"/>
          </reference>
          <reference field="2" count="1" selected="0">
            <x v="4"/>
          </reference>
          <reference field="3" count="1" selected="0">
            <x v="3"/>
          </reference>
        </references>
      </pivotArea>
    </chartFormat>
    <chartFormat chart="8" format="100" series="1">
      <pivotArea type="data" outline="0" fieldPosition="0">
        <references count="3">
          <reference field="4294967294" count="1" selected="0">
            <x v="0"/>
          </reference>
          <reference field="2" count="1" selected="0">
            <x v="5"/>
          </reference>
          <reference field="3" count="1" selected="0">
            <x v="2"/>
          </reference>
        </references>
      </pivotArea>
    </chartFormat>
    <chartFormat chart="8" format="101" series="1">
      <pivotArea type="data" outline="0" fieldPosition="0">
        <references count="3">
          <reference field="4294967294" count="1" selected="0">
            <x v="0"/>
          </reference>
          <reference field="2" count="1" selected="0">
            <x v="5"/>
          </reference>
          <reference field="3" count="1" selected="0">
            <x v="3"/>
          </reference>
        </references>
      </pivotArea>
    </chartFormat>
    <chartFormat chart="8" format="102" series="1">
      <pivotArea type="data" outline="0" fieldPosition="0">
        <references count="3">
          <reference field="4294967294" count="1" selected="0">
            <x v="0"/>
          </reference>
          <reference field="2" count="1" selected="0">
            <x v="6"/>
          </reference>
          <reference field="3" count="1" selected="0">
            <x v="2"/>
          </reference>
        </references>
      </pivotArea>
    </chartFormat>
    <chartFormat chart="8" format="103" series="1">
      <pivotArea type="data" outline="0" fieldPosition="0">
        <references count="3">
          <reference field="4294967294" count="1" selected="0">
            <x v="0"/>
          </reference>
          <reference field="2" count="1" selected="0">
            <x v="6"/>
          </reference>
          <reference field="3" count="1" selected="0">
            <x v="3"/>
          </reference>
        </references>
      </pivotArea>
    </chartFormat>
    <chartFormat chart="8" format="104" series="1">
      <pivotArea type="data" outline="0" fieldPosition="0">
        <references count="3">
          <reference field="4294967294" count="1" selected="0">
            <x v="0"/>
          </reference>
          <reference field="2" count="1" selected="0">
            <x v="7"/>
          </reference>
          <reference field="3" count="1" selected="0">
            <x v="2"/>
          </reference>
        </references>
      </pivotArea>
    </chartFormat>
    <chartFormat chart="8" format="105" series="1">
      <pivotArea type="data" outline="0" fieldPosition="0">
        <references count="3">
          <reference field="4294967294" count="1" selected="0">
            <x v="0"/>
          </reference>
          <reference field="2" count="1" selected="0">
            <x v="7"/>
          </reference>
          <reference field="3" count="1" selected="0">
            <x v="3"/>
          </reference>
        </references>
      </pivotArea>
    </chartFormat>
    <chartFormat chart="8" format="106" series="1">
      <pivotArea type="data" outline="0" fieldPosition="0">
        <references count="3">
          <reference field="4294967294" count="1" selected="0">
            <x v="0"/>
          </reference>
          <reference field="2" count="1" selected="0">
            <x v="8"/>
          </reference>
          <reference field="3" count="1" selected="0">
            <x v="2"/>
          </reference>
        </references>
      </pivotArea>
    </chartFormat>
    <chartFormat chart="8" format="107" series="1">
      <pivotArea type="data" outline="0" fieldPosition="0">
        <references count="3">
          <reference field="4294967294" count="1" selected="0">
            <x v="0"/>
          </reference>
          <reference field="2" count="1" selected="0">
            <x v="8"/>
          </reference>
          <reference field="3" count="1" selected="0">
            <x v="3"/>
          </reference>
        </references>
      </pivotArea>
    </chartFormat>
    <chartFormat chart="8" format="108" series="1">
      <pivotArea type="data" outline="0" fieldPosition="0">
        <references count="3">
          <reference field="4294967294" count="1" selected="0">
            <x v="0"/>
          </reference>
          <reference field="2" count="1" selected="0">
            <x v="9"/>
          </reference>
          <reference field="3" count="1" selected="0">
            <x v="2"/>
          </reference>
        </references>
      </pivotArea>
    </chartFormat>
    <chartFormat chart="8" format="109" series="1">
      <pivotArea type="data" outline="0" fieldPosition="0">
        <references count="3">
          <reference field="4294967294" count="1" selected="0">
            <x v="0"/>
          </reference>
          <reference field="2" count="1" selected="0">
            <x v="9"/>
          </reference>
          <reference field="3" count="1" selected="0">
            <x v="3"/>
          </reference>
        </references>
      </pivotArea>
    </chartFormat>
    <chartFormat chart="8" format="110" series="1">
      <pivotArea type="data" outline="0" fieldPosition="0">
        <references count="3">
          <reference field="4294967294" count="1" selected="0">
            <x v="0"/>
          </reference>
          <reference field="2" count="1" selected="0">
            <x v="10"/>
          </reference>
          <reference field="3" count="1" selected="0">
            <x v="2"/>
          </reference>
        </references>
      </pivotArea>
    </chartFormat>
    <chartFormat chart="8" format="111" series="1">
      <pivotArea type="data" outline="0" fieldPosition="0">
        <references count="3">
          <reference field="4294967294" count="1" selected="0">
            <x v="0"/>
          </reference>
          <reference field="2" count="1" selected="0">
            <x v="10"/>
          </reference>
          <reference field="3" count="1" selected="0">
            <x v="3"/>
          </reference>
        </references>
      </pivotArea>
    </chartFormat>
    <chartFormat chart="8" format="112" series="1">
      <pivotArea type="data" outline="0" fieldPosition="0">
        <references count="3">
          <reference field="4294967294" count="1" selected="0">
            <x v="0"/>
          </reference>
          <reference field="2" count="1" selected="0">
            <x v="11"/>
          </reference>
          <reference field="3" count="1" selected="0">
            <x v="2"/>
          </reference>
        </references>
      </pivotArea>
    </chartFormat>
    <chartFormat chart="8" format="113" series="1">
      <pivotArea type="data" outline="0" fieldPosition="0">
        <references count="3">
          <reference field="4294967294" count="1" selected="0">
            <x v="0"/>
          </reference>
          <reference field="2" count="1" selected="0">
            <x v="11"/>
          </reference>
          <reference field="3" count="1" selected="0">
            <x v="3"/>
          </reference>
        </references>
      </pivotArea>
    </chartFormat>
    <chartFormat chart="8" format="114" series="1">
      <pivotArea type="data" outline="0" fieldPosition="0">
        <references count="3">
          <reference field="4294967294" count="1" selected="0">
            <x v="0"/>
          </reference>
          <reference field="2" count="1" selected="0">
            <x v="12"/>
          </reference>
          <reference field="3" count="1" selected="0">
            <x v="2"/>
          </reference>
        </references>
      </pivotArea>
    </chartFormat>
    <chartFormat chart="8" format="115" series="1">
      <pivotArea type="data" outline="0" fieldPosition="0">
        <references count="3">
          <reference field="4294967294" count="1" selected="0">
            <x v="0"/>
          </reference>
          <reference field="2" count="1" selected="0">
            <x v="12"/>
          </reference>
          <reference field="3" count="1" selected="0">
            <x v="3"/>
          </reference>
        </references>
      </pivotArea>
    </chartFormat>
    <chartFormat chart="8" format="116" series="1">
      <pivotArea type="data" outline="0" fieldPosition="0">
        <references count="3">
          <reference field="4294967294" count="1" selected="0">
            <x v="0"/>
          </reference>
          <reference field="2" count="1" selected="0">
            <x v="13"/>
          </reference>
          <reference field="3" count="1" selected="0">
            <x v="2"/>
          </reference>
        </references>
      </pivotArea>
    </chartFormat>
    <chartFormat chart="8" format="117" series="1">
      <pivotArea type="data" outline="0" fieldPosition="0">
        <references count="3">
          <reference field="4294967294" count="1" selected="0">
            <x v="0"/>
          </reference>
          <reference field="2" count="1" selected="0">
            <x v="13"/>
          </reference>
          <reference field="3" count="1" selected="0">
            <x v="3"/>
          </reference>
        </references>
      </pivotArea>
    </chartFormat>
    <chartFormat chart="8" format="118" series="1">
      <pivotArea type="data" outline="0" fieldPosition="0">
        <references count="3">
          <reference field="4294967294" count="1" selected="0">
            <x v="0"/>
          </reference>
          <reference field="2" count="1" selected="0">
            <x v="14"/>
          </reference>
          <reference field="3" count="1" selected="0">
            <x v="2"/>
          </reference>
        </references>
      </pivotArea>
    </chartFormat>
    <chartFormat chart="8" format="119" series="1">
      <pivotArea type="data" outline="0" fieldPosition="0">
        <references count="3">
          <reference field="4294967294" count="1" selected="0">
            <x v="0"/>
          </reference>
          <reference field="2" count="1" selected="0">
            <x v="14"/>
          </reference>
          <reference field="3" count="1" selected="0">
            <x v="3"/>
          </reference>
        </references>
      </pivotArea>
    </chartFormat>
    <chartFormat chart="8" format="120" series="1">
      <pivotArea type="data" outline="0" fieldPosition="0">
        <references count="3">
          <reference field="4294967294" count="1" selected="0">
            <x v="0"/>
          </reference>
          <reference field="2" count="1" selected="0">
            <x v="15"/>
          </reference>
          <reference field="3" count="1" selected="0">
            <x v="2"/>
          </reference>
        </references>
      </pivotArea>
    </chartFormat>
    <chartFormat chart="8" format="121" series="1">
      <pivotArea type="data" outline="0" fieldPosition="0">
        <references count="3">
          <reference field="4294967294" count="1" selected="0">
            <x v="0"/>
          </reference>
          <reference field="2" count="1" selected="0">
            <x v="15"/>
          </reference>
          <reference field="3" count="1" selected="0">
            <x v="3"/>
          </reference>
        </references>
      </pivotArea>
    </chartFormat>
    <chartFormat chart="8" format="122" series="1">
      <pivotArea type="data" outline="0" fieldPosition="0">
        <references count="3">
          <reference field="4294967294" count="1" selected="0">
            <x v="0"/>
          </reference>
          <reference field="2" count="1" selected="0">
            <x v="16"/>
          </reference>
          <reference field="3" count="1" selected="0">
            <x v="2"/>
          </reference>
        </references>
      </pivotArea>
    </chartFormat>
    <chartFormat chart="8" format="123" series="1">
      <pivotArea type="data" outline="0" fieldPosition="0">
        <references count="3">
          <reference field="4294967294" count="1" selected="0">
            <x v="0"/>
          </reference>
          <reference field="2" count="1" selected="0">
            <x v="16"/>
          </reference>
          <reference field="3" count="1" selected="0">
            <x v="3"/>
          </reference>
        </references>
      </pivotArea>
    </chartFormat>
    <chartFormat chart="8" format="124" series="1">
      <pivotArea type="data" outline="0" fieldPosition="0">
        <references count="3">
          <reference field="4294967294" count="1" selected="0">
            <x v="0"/>
          </reference>
          <reference field="2" count="1" selected="0">
            <x v="17"/>
          </reference>
          <reference field="3" count="1" selected="0">
            <x v="2"/>
          </reference>
        </references>
      </pivotArea>
    </chartFormat>
    <chartFormat chart="8" format="125" series="1">
      <pivotArea type="data" outline="0" fieldPosition="0">
        <references count="3">
          <reference field="4294967294" count="1" selected="0">
            <x v="0"/>
          </reference>
          <reference field="2" count="1" selected="0">
            <x v="17"/>
          </reference>
          <reference field="3" count="1" selected="0">
            <x v="3"/>
          </reference>
        </references>
      </pivotArea>
    </chartFormat>
    <chartFormat chart="8" format="126" series="1">
      <pivotArea type="data" outline="0" fieldPosition="0">
        <references count="3">
          <reference field="4294967294" count="1" selected="0">
            <x v="0"/>
          </reference>
          <reference field="2" count="1" selected="0">
            <x v="18"/>
          </reference>
          <reference field="3" count="1" selected="0">
            <x v="2"/>
          </reference>
        </references>
      </pivotArea>
    </chartFormat>
    <chartFormat chart="8" format="127" series="1">
      <pivotArea type="data" outline="0" fieldPosition="0">
        <references count="3">
          <reference field="4294967294" count="1" selected="0">
            <x v="0"/>
          </reference>
          <reference field="2" count="1" selected="0">
            <x v="18"/>
          </reference>
          <reference field="3" count="1" selected="0">
            <x v="3"/>
          </reference>
        </references>
      </pivotArea>
    </chartFormat>
    <chartFormat chart="8" format="128" series="1">
      <pivotArea type="data" outline="0" fieldPosition="0">
        <references count="3">
          <reference field="4294967294" count="1" selected="0">
            <x v="0"/>
          </reference>
          <reference field="2" count="1" selected="0">
            <x v="19"/>
          </reference>
          <reference field="3" count="1" selected="0">
            <x v="2"/>
          </reference>
        </references>
      </pivotArea>
    </chartFormat>
    <chartFormat chart="8" format="129" series="1">
      <pivotArea type="data" outline="0" fieldPosition="0">
        <references count="3">
          <reference field="4294967294" count="1" selected="0">
            <x v="0"/>
          </reference>
          <reference field="2" count="1" selected="0">
            <x v="19"/>
          </reference>
          <reference field="3" count="1" selected="0">
            <x v="3"/>
          </reference>
        </references>
      </pivotArea>
    </chartFormat>
    <chartFormat chart="0" format="40" series="1">
      <pivotArea type="data" outline="0" fieldPosition="0">
        <references count="3">
          <reference field="4294967294" count="1" selected="0">
            <x v="0"/>
          </reference>
          <reference field="2" count="1" selected="0">
            <x v="1"/>
          </reference>
          <reference field="3" count="1" selected="0">
            <x v="3"/>
          </reference>
        </references>
      </pivotArea>
    </chartFormat>
    <chartFormat chart="0" format="41" series="1">
      <pivotArea type="data" outline="0" fieldPosition="0">
        <references count="3">
          <reference field="4294967294" count="1" selected="0">
            <x v="0"/>
          </reference>
          <reference field="2" count="1" selected="0">
            <x v="2"/>
          </reference>
          <reference field="3" count="1" selected="0">
            <x v="3"/>
          </reference>
        </references>
      </pivotArea>
    </chartFormat>
    <chartFormat chart="0" format="42" series="1">
      <pivotArea type="data" outline="0" fieldPosition="0">
        <references count="3">
          <reference field="4294967294" count="1" selected="0">
            <x v="0"/>
          </reference>
          <reference field="2" count="1" selected="0">
            <x v="3"/>
          </reference>
          <reference field="3" count="1" selected="0">
            <x v="3"/>
          </reference>
        </references>
      </pivotArea>
    </chartFormat>
    <chartFormat chart="0" format="43" series="1">
      <pivotArea type="data" outline="0" fieldPosition="0">
        <references count="3">
          <reference field="4294967294" count="1" selected="0">
            <x v="0"/>
          </reference>
          <reference field="2" count="1" selected="0">
            <x v="4"/>
          </reference>
          <reference field="3" count="1" selected="0">
            <x v="3"/>
          </reference>
        </references>
      </pivotArea>
    </chartFormat>
    <chartFormat chart="0" format="44" series="1">
      <pivotArea type="data" outline="0" fieldPosition="0">
        <references count="3">
          <reference field="4294967294" count="1" selected="0">
            <x v="0"/>
          </reference>
          <reference field="2" count="1" selected="0">
            <x v="3"/>
          </reference>
          <reference field="3" count="1" selected="0">
            <x v="2"/>
          </reference>
        </references>
      </pivotArea>
    </chartFormat>
    <chartFormat chart="0" format="45" series="1">
      <pivotArea type="data" outline="0" fieldPosition="0">
        <references count="3">
          <reference field="4294967294" count="1" selected="0">
            <x v="0"/>
          </reference>
          <reference field="2" count="1" selected="0">
            <x v="4"/>
          </reference>
          <reference field="3" count="1" selected="0">
            <x v="2"/>
          </reference>
        </references>
      </pivotArea>
    </chartFormat>
    <chartFormat chart="0" format="46" series="1">
      <pivotArea type="data" outline="0" fieldPosition="0">
        <references count="3">
          <reference field="4294967294" count="1" selected="0">
            <x v="0"/>
          </reference>
          <reference field="2" count="1" selected="0">
            <x v="5"/>
          </reference>
          <reference field="3" count="1" selected="0">
            <x v="2"/>
          </reference>
        </references>
      </pivotArea>
    </chartFormat>
    <chartFormat chart="0" format="47" series="1">
      <pivotArea type="data" outline="0" fieldPosition="0">
        <references count="3">
          <reference field="4294967294" count="1" selected="0">
            <x v="0"/>
          </reference>
          <reference field="2" count="1" selected="0">
            <x v="6"/>
          </reference>
          <reference field="3" count="1" selected="0">
            <x v="2"/>
          </reference>
        </references>
      </pivotArea>
    </chartFormat>
    <chartFormat chart="0" format="48" series="1">
      <pivotArea type="data" outline="0" fieldPosition="0">
        <references count="3">
          <reference field="4294967294" count="1" selected="0">
            <x v="0"/>
          </reference>
          <reference field="2" count="1" selected="0">
            <x v="7"/>
          </reference>
          <reference field="3" count="1" selected="0">
            <x v="2"/>
          </reference>
        </references>
      </pivotArea>
    </chartFormat>
    <chartFormat chart="0" format="49" series="1">
      <pivotArea type="data" outline="0" fieldPosition="0">
        <references count="3">
          <reference field="4294967294" count="1" selected="0">
            <x v="0"/>
          </reference>
          <reference field="2" count="1" selected="0">
            <x v="8"/>
          </reference>
          <reference field="3" count="1" selected="0">
            <x v="2"/>
          </reference>
        </references>
      </pivotArea>
    </chartFormat>
    <chartFormat chart="0" format="50" series="1">
      <pivotArea type="data" outline="0" fieldPosition="0">
        <references count="3">
          <reference field="4294967294" count="1" selected="0">
            <x v="0"/>
          </reference>
          <reference field="2" count="1" selected="0">
            <x v="9"/>
          </reference>
          <reference field="3" count="1" selected="0">
            <x v="2"/>
          </reference>
        </references>
      </pivotArea>
    </chartFormat>
    <chartFormat chart="0" format="51" series="1">
      <pivotArea type="data" outline="0" fieldPosition="0">
        <references count="3">
          <reference field="4294967294" count="1" selected="0">
            <x v="0"/>
          </reference>
          <reference field="2" count="1" selected="0">
            <x v="10"/>
          </reference>
          <reference field="3" count="1" selected="0">
            <x v="2"/>
          </reference>
        </references>
      </pivotArea>
    </chartFormat>
    <chartFormat chart="0" format="52" series="1">
      <pivotArea type="data" outline="0" fieldPosition="0">
        <references count="3">
          <reference field="4294967294" count="1" selected="0">
            <x v="0"/>
          </reference>
          <reference field="2" count="1" selected="0">
            <x v="11"/>
          </reference>
          <reference field="3" count="1" selected="0">
            <x v="2"/>
          </reference>
        </references>
      </pivotArea>
    </chartFormat>
    <chartFormat chart="0" format="53" series="1">
      <pivotArea type="data" outline="0" fieldPosition="0">
        <references count="3">
          <reference field="4294967294" count="1" selected="0">
            <x v="0"/>
          </reference>
          <reference field="2" count="1" selected="0">
            <x v="12"/>
          </reference>
          <reference field="3" count="1" selected="0">
            <x v="2"/>
          </reference>
        </references>
      </pivotArea>
    </chartFormat>
    <chartFormat chart="0" format="54" series="1">
      <pivotArea type="data" outline="0" fieldPosition="0">
        <references count="3">
          <reference field="4294967294" count="1" selected="0">
            <x v="0"/>
          </reference>
          <reference field="2" count="1" selected="0">
            <x v="13"/>
          </reference>
          <reference field="3" count="1" selected="0">
            <x v="2"/>
          </reference>
        </references>
      </pivotArea>
    </chartFormat>
    <chartFormat chart="0" format="55" series="1">
      <pivotArea type="data" outline="0" fieldPosition="0">
        <references count="3">
          <reference field="4294967294" count="1" selected="0">
            <x v="0"/>
          </reference>
          <reference field="2" count="1" selected="0">
            <x v="14"/>
          </reference>
          <reference field="3" count="1" selected="0">
            <x v="2"/>
          </reference>
        </references>
      </pivotArea>
    </chartFormat>
    <chartFormat chart="0" format="56" series="1">
      <pivotArea type="data" outline="0" fieldPosition="0">
        <references count="3">
          <reference field="4294967294" count="1" selected="0">
            <x v="0"/>
          </reference>
          <reference field="2" count="1" selected="0">
            <x v="15"/>
          </reference>
          <reference field="3" count="1" selected="0">
            <x v="2"/>
          </reference>
        </references>
      </pivotArea>
    </chartFormat>
    <chartFormat chart="0" format="57" series="1">
      <pivotArea type="data" outline="0" fieldPosition="0">
        <references count="3">
          <reference field="4294967294" count="1" selected="0">
            <x v="0"/>
          </reference>
          <reference field="2" count="1" selected="0">
            <x v="16"/>
          </reference>
          <reference field="3" count="1" selected="0">
            <x v="2"/>
          </reference>
        </references>
      </pivotArea>
    </chartFormat>
    <chartFormat chart="0" format="58" series="1">
      <pivotArea type="data" outline="0" fieldPosition="0">
        <references count="3">
          <reference field="4294967294" count="1" selected="0">
            <x v="0"/>
          </reference>
          <reference field="2" count="1" selected="0">
            <x v="17"/>
          </reference>
          <reference field="3" count="1" selected="0">
            <x v="2"/>
          </reference>
        </references>
      </pivotArea>
    </chartFormat>
    <chartFormat chart="0" format="59" series="1">
      <pivotArea type="data" outline="0" fieldPosition="0">
        <references count="3">
          <reference field="4294967294" count="1" selected="0">
            <x v="0"/>
          </reference>
          <reference field="2" count="1" selected="0">
            <x v="18"/>
          </reference>
          <reference field="3" count="1" selected="0">
            <x v="2"/>
          </reference>
        </references>
      </pivotArea>
    </chartFormat>
    <chartFormat chart="0" format="60" series="1">
      <pivotArea type="data" outline="0" fieldPosition="0">
        <references count="3">
          <reference field="4294967294" count="1" selected="0">
            <x v="0"/>
          </reference>
          <reference field="2" count="1" selected="0">
            <x v="19"/>
          </reference>
          <reference field="3" count="1" selected="0">
            <x v="2"/>
          </reference>
        </references>
      </pivotArea>
    </chartFormat>
    <chartFormat chart="0" format="61" series="1">
      <pivotArea type="data" outline="0" fieldPosition="0">
        <references count="3">
          <reference field="4294967294" count="1" selected="0">
            <x v="0"/>
          </reference>
          <reference field="2" count="1" selected="0">
            <x v="1"/>
          </reference>
          <reference field="3" count="1" selected="0">
            <x v="2"/>
          </reference>
        </references>
      </pivotArea>
    </chartFormat>
    <chartFormat chart="0" format="62" series="1">
      <pivotArea type="data" outline="0" fieldPosition="0">
        <references count="3">
          <reference field="4294967294" count="1" selected="0">
            <x v="0"/>
          </reference>
          <reference field="2" count="1" selected="0">
            <x v="2"/>
          </reference>
          <reference field="3" count="1" selected="0">
            <x v="2"/>
          </reference>
        </references>
      </pivotArea>
    </chartFormat>
    <chartFormat chart="0" format="63" series="1">
      <pivotArea type="data" outline="0" fieldPosition="0">
        <references count="3">
          <reference field="4294967294" count="1" selected="0">
            <x v="0"/>
          </reference>
          <reference field="2" count="1" selected="0">
            <x v="8"/>
          </reference>
          <reference field="3" count="1" selected="0">
            <x v="3"/>
          </reference>
        </references>
      </pivotArea>
    </chartFormat>
    <chartFormat chart="0" format="64" series="1">
      <pivotArea type="data" outline="0" fieldPosition="0">
        <references count="3">
          <reference field="4294967294" count="1" selected="0">
            <x v="0"/>
          </reference>
          <reference field="2" count="1" selected="0">
            <x v="5"/>
          </reference>
          <reference field="3" count="1" selected="0">
            <x v="3"/>
          </reference>
        </references>
      </pivotArea>
    </chartFormat>
    <chartFormat chart="10" format="134" series="1">
      <pivotArea type="data" outline="0" fieldPosition="0">
        <references count="3">
          <reference field="4294967294" count="1" selected="0">
            <x v="0"/>
          </reference>
          <reference field="2" count="1" selected="0">
            <x v="0"/>
          </reference>
          <reference field="3" count="1" selected="0">
            <x v="2"/>
          </reference>
        </references>
      </pivotArea>
    </chartFormat>
    <chartFormat chart="10" format="135" series="1">
      <pivotArea type="data" outline="0" fieldPosition="0">
        <references count="3">
          <reference field="4294967294" count="1" selected="0">
            <x v="0"/>
          </reference>
          <reference field="2" count="1" selected="0">
            <x v="0"/>
          </reference>
          <reference field="3" count="1" selected="0">
            <x v="3"/>
          </reference>
        </references>
      </pivotArea>
    </chartFormat>
    <chartFormat chart="10" format="136" series="1">
      <pivotArea type="data" outline="0" fieldPosition="0">
        <references count="3">
          <reference field="4294967294" count="1" selected="0">
            <x v="0"/>
          </reference>
          <reference field="2" count="1" selected="0">
            <x v="1"/>
          </reference>
          <reference field="3" count="1" selected="0">
            <x v="2"/>
          </reference>
        </references>
      </pivotArea>
    </chartFormat>
    <chartFormat chart="10" format="137" series="1">
      <pivotArea type="data" outline="0" fieldPosition="0">
        <references count="3">
          <reference field="4294967294" count="1" selected="0">
            <x v="0"/>
          </reference>
          <reference field="2" count="1" selected="0">
            <x v="1"/>
          </reference>
          <reference field="3" count="1" selected="0">
            <x v="3"/>
          </reference>
        </references>
      </pivotArea>
    </chartFormat>
    <chartFormat chart="10" format="138" series="1">
      <pivotArea type="data" outline="0" fieldPosition="0">
        <references count="3">
          <reference field="4294967294" count="1" selected="0">
            <x v="0"/>
          </reference>
          <reference field="2" count="1" selected="0">
            <x v="2"/>
          </reference>
          <reference field="3" count="1" selected="0">
            <x v="2"/>
          </reference>
        </references>
      </pivotArea>
    </chartFormat>
    <chartFormat chart="10" format="139" series="1">
      <pivotArea type="data" outline="0" fieldPosition="0">
        <references count="3">
          <reference field="4294967294" count="1" selected="0">
            <x v="0"/>
          </reference>
          <reference field="2" count="1" selected="0">
            <x v="2"/>
          </reference>
          <reference field="3" count="1" selected="0">
            <x v="3"/>
          </reference>
        </references>
      </pivotArea>
    </chartFormat>
    <chartFormat chart="10" format="140" series="1">
      <pivotArea type="data" outline="0" fieldPosition="0">
        <references count="3">
          <reference field="4294967294" count="1" selected="0">
            <x v="0"/>
          </reference>
          <reference field="2" count="1" selected="0">
            <x v="3"/>
          </reference>
          <reference field="3" count="1" selected="0">
            <x v="2"/>
          </reference>
        </references>
      </pivotArea>
    </chartFormat>
    <chartFormat chart="10" format="141" series="1">
      <pivotArea type="data" outline="0" fieldPosition="0">
        <references count="3">
          <reference field="4294967294" count="1" selected="0">
            <x v="0"/>
          </reference>
          <reference field="2" count="1" selected="0">
            <x v="3"/>
          </reference>
          <reference field="3" count="1" selected="0">
            <x v="3"/>
          </reference>
        </references>
      </pivotArea>
    </chartFormat>
    <chartFormat chart="10" format="142" series="1">
      <pivotArea type="data" outline="0" fieldPosition="0">
        <references count="3">
          <reference field="4294967294" count="1" selected="0">
            <x v="0"/>
          </reference>
          <reference field="2" count="1" selected="0">
            <x v="4"/>
          </reference>
          <reference field="3" count="1" selected="0">
            <x v="2"/>
          </reference>
        </references>
      </pivotArea>
    </chartFormat>
    <chartFormat chart="10" format="143" series="1">
      <pivotArea type="data" outline="0" fieldPosition="0">
        <references count="3">
          <reference field="4294967294" count="1" selected="0">
            <x v="0"/>
          </reference>
          <reference field="2" count="1" selected="0">
            <x v="4"/>
          </reference>
          <reference field="3" count="1" selected="0">
            <x v="3"/>
          </reference>
        </references>
      </pivotArea>
    </chartFormat>
    <chartFormat chart="10" format="144" series="1">
      <pivotArea type="data" outline="0" fieldPosition="0">
        <references count="3">
          <reference field="4294967294" count="1" selected="0">
            <x v="0"/>
          </reference>
          <reference field="2" count="1" selected="0">
            <x v="5"/>
          </reference>
          <reference field="3" count="1" selected="0">
            <x v="2"/>
          </reference>
        </references>
      </pivotArea>
    </chartFormat>
    <chartFormat chart="10" format="145" series="1">
      <pivotArea type="data" outline="0" fieldPosition="0">
        <references count="3">
          <reference field="4294967294" count="1" selected="0">
            <x v="0"/>
          </reference>
          <reference field="2" count="1" selected="0">
            <x v="5"/>
          </reference>
          <reference field="3" count="1" selected="0">
            <x v="3"/>
          </reference>
        </references>
      </pivotArea>
    </chartFormat>
    <chartFormat chart="10" format="146" series="1">
      <pivotArea type="data" outline="0" fieldPosition="0">
        <references count="3">
          <reference field="4294967294" count="1" selected="0">
            <x v="0"/>
          </reference>
          <reference field="2" count="1" selected="0">
            <x v="7"/>
          </reference>
          <reference field="3" count="1" selected="0">
            <x v="2"/>
          </reference>
        </references>
      </pivotArea>
    </chartFormat>
    <chartFormat chart="10" format="147" series="1">
      <pivotArea type="data" outline="0" fieldPosition="0">
        <references count="3">
          <reference field="4294967294" count="1" selected="0">
            <x v="0"/>
          </reference>
          <reference field="2" count="1" selected="0">
            <x v="7"/>
          </reference>
          <reference field="3" count="1" selected="0">
            <x v="3"/>
          </reference>
        </references>
      </pivotArea>
    </chartFormat>
    <chartFormat chart="10" format="148" series="1">
      <pivotArea type="data" outline="0" fieldPosition="0">
        <references count="3">
          <reference field="4294967294" count="1" selected="0">
            <x v="0"/>
          </reference>
          <reference field="2" count="1" selected="0">
            <x v="8"/>
          </reference>
          <reference field="3" count="1" selected="0">
            <x v="2"/>
          </reference>
        </references>
      </pivotArea>
    </chartFormat>
    <chartFormat chart="10" format="149" series="1">
      <pivotArea type="data" outline="0" fieldPosition="0">
        <references count="3">
          <reference field="4294967294" count="1" selected="0">
            <x v="0"/>
          </reference>
          <reference field="2" count="1" selected="0">
            <x v="8"/>
          </reference>
          <reference field="3" count="1" selected="0">
            <x v="3"/>
          </reference>
        </references>
      </pivotArea>
    </chartFormat>
    <chartFormat chart="10" format="150" series="1">
      <pivotArea type="data" outline="0" fieldPosition="0">
        <references count="3">
          <reference field="4294967294" count="1" selected="0">
            <x v="0"/>
          </reference>
          <reference field="2" count="1" selected="0">
            <x v="9"/>
          </reference>
          <reference field="3" count="1" selected="0">
            <x v="2"/>
          </reference>
        </references>
      </pivotArea>
    </chartFormat>
    <chartFormat chart="10" format="151" series="1">
      <pivotArea type="data" outline="0" fieldPosition="0">
        <references count="3">
          <reference field="4294967294" count="1" selected="0">
            <x v="0"/>
          </reference>
          <reference field="2" count="1" selected="0">
            <x v="9"/>
          </reference>
          <reference field="3" count="1" selected="0">
            <x v="3"/>
          </reference>
        </references>
      </pivotArea>
    </chartFormat>
    <chartFormat chart="10" format="152" series="1">
      <pivotArea type="data" outline="0" fieldPosition="0">
        <references count="3">
          <reference field="4294967294" count="1" selected="0">
            <x v="0"/>
          </reference>
          <reference field="2" count="1" selected="0">
            <x v="10"/>
          </reference>
          <reference field="3" count="1" selected="0">
            <x v="2"/>
          </reference>
        </references>
      </pivotArea>
    </chartFormat>
    <chartFormat chart="10" format="153" series="1">
      <pivotArea type="data" outline="0" fieldPosition="0">
        <references count="3">
          <reference field="4294967294" count="1" selected="0">
            <x v="0"/>
          </reference>
          <reference field="2" count="1" selected="0">
            <x v="10"/>
          </reference>
          <reference field="3" count="1" selected="0">
            <x v="3"/>
          </reference>
        </references>
      </pivotArea>
    </chartFormat>
    <chartFormat chart="10" format="154" series="1">
      <pivotArea type="data" outline="0" fieldPosition="0">
        <references count="3">
          <reference field="4294967294" count="1" selected="0">
            <x v="0"/>
          </reference>
          <reference field="2" count="1" selected="0">
            <x v="11"/>
          </reference>
          <reference field="3" count="1" selected="0">
            <x v="2"/>
          </reference>
        </references>
      </pivotArea>
    </chartFormat>
    <chartFormat chart="10" format="155" series="1">
      <pivotArea type="data" outline="0" fieldPosition="0">
        <references count="3">
          <reference field="4294967294" count="1" selected="0">
            <x v="0"/>
          </reference>
          <reference field="2" count="1" selected="0">
            <x v="11"/>
          </reference>
          <reference field="3" count="1" selected="0">
            <x v="3"/>
          </reference>
        </references>
      </pivotArea>
    </chartFormat>
    <chartFormat chart="10" format="156" series="1">
      <pivotArea type="data" outline="0" fieldPosition="0">
        <references count="3">
          <reference field="4294967294" count="1" selected="0">
            <x v="0"/>
          </reference>
          <reference field="2" count="1" selected="0">
            <x v="12"/>
          </reference>
          <reference field="3" count="1" selected="0">
            <x v="2"/>
          </reference>
        </references>
      </pivotArea>
    </chartFormat>
    <chartFormat chart="10" format="157" series="1">
      <pivotArea type="data" outline="0" fieldPosition="0">
        <references count="3">
          <reference field="4294967294" count="1" selected="0">
            <x v="0"/>
          </reference>
          <reference field="2" count="1" selected="0">
            <x v="12"/>
          </reference>
          <reference field="3" count="1" selected="0">
            <x v="3"/>
          </reference>
        </references>
      </pivotArea>
    </chartFormat>
    <chartFormat chart="10" format="158" series="1">
      <pivotArea type="data" outline="0" fieldPosition="0">
        <references count="3">
          <reference field="4294967294" count="1" selected="0">
            <x v="0"/>
          </reference>
          <reference field="2" count="1" selected="0">
            <x v="13"/>
          </reference>
          <reference field="3" count="1" selected="0">
            <x v="2"/>
          </reference>
        </references>
      </pivotArea>
    </chartFormat>
    <chartFormat chart="10" format="159" series="1">
      <pivotArea type="data" outline="0" fieldPosition="0">
        <references count="3">
          <reference field="4294967294" count="1" selected="0">
            <x v="0"/>
          </reference>
          <reference field="2" count="1" selected="0">
            <x v="13"/>
          </reference>
          <reference field="3" count="1" selected="0">
            <x v="3"/>
          </reference>
        </references>
      </pivotArea>
    </chartFormat>
    <chartFormat chart="10" format="160" series="1">
      <pivotArea type="data" outline="0" fieldPosition="0">
        <references count="3">
          <reference field="4294967294" count="1" selected="0">
            <x v="0"/>
          </reference>
          <reference field="2" count="1" selected="0">
            <x v="15"/>
          </reference>
          <reference field="3" count="1" selected="0">
            <x v="2"/>
          </reference>
        </references>
      </pivotArea>
    </chartFormat>
    <chartFormat chart="10" format="161" series="1">
      <pivotArea type="data" outline="0" fieldPosition="0">
        <references count="3">
          <reference field="4294967294" count="1" selected="0">
            <x v="0"/>
          </reference>
          <reference field="2" count="1" selected="0">
            <x v="15"/>
          </reference>
          <reference field="3" count="1" selected="0">
            <x v="3"/>
          </reference>
        </references>
      </pivotArea>
    </chartFormat>
    <chartFormat chart="10" format="162" series="1">
      <pivotArea type="data" outline="0" fieldPosition="0">
        <references count="3">
          <reference field="4294967294" count="1" selected="0">
            <x v="0"/>
          </reference>
          <reference field="2" count="1" selected="0">
            <x v="6"/>
          </reference>
          <reference field="3" count="1" selected="0">
            <x v="2"/>
          </reference>
        </references>
      </pivotArea>
    </chartFormat>
    <chartFormat chart="10" format="163" series="1">
      <pivotArea type="data" outline="0" fieldPosition="0">
        <references count="3">
          <reference field="4294967294" count="1" selected="0">
            <x v="0"/>
          </reference>
          <reference field="2" count="1" selected="0">
            <x v="6"/>
          </reference>
          <reference field="3" count="1" selected="0">
            <x v="3"/>
          </reference>
        </references>
      </pivotArea>
    </chartFormat>
    <chartFormat chart="10" format="164" series="1">
      <pivotArea type="data" outline="0" fieldPosition="0">
        <references count="3">
          <reference field="4294967294" count="1" selected="0">
            <x v="0"/>
          </reference>
          <reference field="2" count="1" selected="0">
            <x v="14"/>
          </reference>
          <reference field="3" count="1" selected="0">
            <x v="2"/>
          </reference>
        </references>
      </pivotArea>
    </chartFormat>
    <chartFormat chart="10" format="165" series="1">
      <pivotArea type="data" outline="0" fieldPosition="0">
        <references count="3">
          <reference field="4294967294" count="1" selected="0">
            <x v="0"/>
          </reference>
          <reference field="2" count="1" selected="0">
            <x v="14"/>
          </reference>
          <reference field="3" count="1" selected="0">
            <x v="3"/>
          </reference>
        </references>
      </pivotArea>
    </chartFormat>
    <chartFormat chart="10" format="166" series="1">
      <pivotArea type="data" outline="0" fieldPosition="0">
        <references count="3">
          <reference field="4294967294" count="1" selected="0">
            <x v="0"/>
          </reference>
          <reference field="2" count="1" selected="0">
            <x v="16"/>
          </reference>
          <reference field="3" count="1" selected="0">
            <x v="2"/>
          </reference>
        </references>
      </pivotArea>
    </chartFormat>
    <chartFormat chart="10" format="167" series="1">
      <pivotArea type="data" outline="0" fieldPosition="0">
        <references count="3">
          <reference field="4294967294" count="1" selected="0">
            <x v="0"/>
          </reference>
          <reference field="2" count="1" selected="0">
            <x v="16"/>
          </reference>
          <reference field="3" count="1" selected="0">
            <x v="3"/>
          </reference>
        </references>
      </pivotArea>
    </chartFormat>
    <chartFormat chart="10" format="168" series="1">
      <pivotArea type="data" outline="0" fieldPosition="0">
        <references count="3">
          <reference field="4294967294" count="1" selected="0">
            <x v="0"/>
          </reference>
          <reference field="2" count="1" selected="0">
            <x v="17"/>
          </reference>
          <reference field="3" count="1" selected="0">
            <x v="2"/>
          </reference>
        </references>
      </pivotArea>
    </chartFormat>
    <chartFormat chart="10" format="169" series="1">
      <pivotArea type="data" outline="0" fieldPosition="0">
        <references count="3">
          <reference field="4294967294" count="1" selected="0">
            <x v="0"/>
          </reference>
          <reference field="2" count="1" selected="0">
            <x v="17"/>
          </reference>
          <reference field="3" count="1" selected="0">
            <x v="3"/>
          </reference>
        </references>
      </pivotArea>
    </chartFormat>
    <chartFormat chart="10" format="170" series="1">
      <pivotArea type="data" outline="0" fieldPosition="0">
        <references count="3">
          <reference field="4294967294" count="1" selected="0">
            <x v="0"/>
          </reference>
          <reference field="2" count="1" selected="0">
            <x v="18"/>
          </reference>
          <reference field="3" count="1" selected="0">
            <x v="2"/>
          </reference>
        </references>
      </pivotArea>
    </chartFormat>
    <chartFormat chart="10" format="171" series="1">
      <pivotArea type="data" outline="0" fieldPosition="0">
        <references count="3">
          <reference field="4294967294" count="1" selected="0">
            <x v="0"/>
          </reference>
          <reference field="2" count="1" selected="0">
            <x v="18"/>
          </reference>
          <reference field="3" count="1" selected="0">
            <x v="3"/>
          </reference>
        </references>
      </pivotArea>
    </chartFormat>
    <chartFormat chart="10" format="172" series="1">
      <pivotArea type="data" outline="0" fieldPosition="0">
        <references count="3">
          <reference field="4294967294" count="1" selected="0">
            <x v="0"/>
          </reference>
          <reference field="2" count="1" selected="0">
            <x v="19"/>
          </reference>
          <reference field="3" count="1" selected="0">
            <x v="2"/>
          </reference>
        </references>
      </pivotArea>
    </chartFormat>
    <chartFormat chart="10" format="173" series="1">
      <pivotArea type="data" outline="0" fieldPosition="0">
        <references count="3">
          <reference field="4294967294" count="1" selected="0">
            <x v="0"/>
          </reference>
          <reference field="2" count="1" selected="0">
            <x v="19"/>
          </reference>
          <reference field="3" count="1" selected="0">
            <x v="3"/>
          </reference>
        </references>
      </pivotArea>
    </chartFormat>
    <chartFormat chart="10" format="174" series="1">
      <pivotArea type="data" outline="0" fieldPosition="0">
        <references count="1">
          <reference field="4294967294" count="1" selected="0">
            <x v="0"/>
          </reference>
        </references>
      </pivotArea>
    </chartFormat>
    <chartFormat chart="8" format="13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3164702-5D32-4DB9-9B3F-CA3C56B225B0}" name="Tabela Dinâmica3"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location ref="I43:J44" firstHeaderRow="1" firstDataRow="2" firstDataCol="1" rowPageCount="1" colPageCount="1"/>
  <pivotFields count="5">
    <pivotField axis="axisRow" showAll="0">
      <items count="14">
        <item m="1" x="11"/>
        <item m="1" x="12"/>
        <item x="0"/>
        <item x="1"/>
        <item x="2"/>
        <item x="3"/>
        <item x="4"/>
        <item x="5"/>
        <item x="6"/>
        <item x="7"/>
        <item x="8"/>
        <item x="9"/>
        <item x="10"/>
        <item t="default"/>
      </items>
    </pivotField>
    <pivotField axis="axisPage" multipleItemSelectionAllowed="1" showAll="0">
      <items count="25">
        <item h="1" x="0"/>
        <item h="1" x="1"/>
        <item h="1" m="1" x="20"/>
        <item h="1" x="3"/>
        <item h="1" x="4"/>
        <item h="1" x="5"/>
        <item h="1" m="1" x="21"/>
        <item h="1" x="7"/>
        <item h="1" m="1" x="23"/>
        <item h="1" x="9"/>
        <item h="1" x="10"/>
        <item h="1" x="11"/>
        <item h="1" x="12"/>
        <item h="1" x="13"/>
        <item h="1" x="14"/>
        <item h="1" x="15"/>
        <item h="1" m="1" x="22"/>
        <item h="1" x="17"/>
        <item h="1" x="18"/>
        <item h="1" x="19"/>
        <item h="1" x="2"/>
        <item x="6"/>
        <item h="1" x="8"/>
        <item h="1" x="16"/>
        <item t="default"/>
      </items>
    </pivotField>
    <pivotField showAll="0"/>
    <pivotField axis="axisCol" showAll="0">
      <items count="5">
        <item m="1" x="2"/>
        <item h="1" m="1" x="3"/>
        <item h="1" x="0"/>
        <item h="1" x="1"/>
        <item t="default"/>
      </items>
    </pivotField>
    <pivotField dataField="1" numFmtId="2" showAll="0"/>
  </pivotFields>
  <rowFields count="1">
    <field x="0"/>
  </rowFields>
  <colFields count="1">
    <field x="3"/>
  </colFields>
  <pageFields count="1">
    <pageField fld="1" hier="-1"/>
  </pageFields>
  <dataFields count="1">
    <dataField name="Soma de Valor"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77EC59C-56DD-455A-B45F-43776BC81909}" name="Tabela Dinâmica4"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I104:L117" firstHeaderRow="1" firstDataRow="2" firstDataCol="1" rowPageCount="1" colPageCount="1"/>
  <pivotFields count="5">
    <pivotField axis="axisRow" showAll="0">
      <items count="14">
        <item m="1" x="11"/>
        <item m="1" x="12"/>
        <item x="0"/>
        <item x="1"/>
        <item x="2"/>
        <item x="3"/>
        <item x="4"/>
        <item x="5"/>
        <item x="6"/>
        <item x="7"/>
        <item x="8"/>
        <item x="9"/>
        <item x="10"/>
        <item t="default"/>
      </items>
    </pivotField>
    <pivotField axis="axisPage" multipleItemSelectionAllowed="1" showAll="0">
      <items count="25">
        <item x="0"/>
        <item x="1"/>
        <item h="1" m="1" x="20"/>
        <item h="1" x="3"/>
        <item h="1" x="4"/>
        <item h="1" x="5"/>
        <item h="1" m="1" x="21"/>
        <item h="1" x="7"/>
        <item h="1" m="1" x="23"/>
        <item h="1" x="9"/>
        <item h="1" x="10"/>
        <item h="1" x="11"/>
        <item h="1" x="12"/>
        <item h="1" x="13"/>
        <item h="1" x="14"/>
        <item h="1" x="15"/>
        <item h="1" m="1" x="22"/>
        <item h="1" x="17"/>
        <item h="1" x="18"/>
        <item h="1" x="19"/>
        <item h="1" x="2"/>
        <item h="1" x="6"/>
        <item h="1" x="8"/>
        <item h="1" x="16"/>
        <item t="default"/>
      </items>
    </pivotField>
    <pivotField axis="axisCol" showAll="0">
      <items count="21">
        <item x="0"/>
        <item x="1"/>
        <item x="2"/>
        <item x="3"/>
        <item x="4"/>
        <item x="5"/>
        <item x="6"/>
        <item x="7"/>
        <item x="8"/>
        <item x="9"/>
        <item x="10"/>
        <item x="11"/>
        <item x="12"/>
        <item x="13"/>
        <item x="14"/>
        <item x="15"/>
        <item x="16"/>
        <item x="17"/>
        <item x="18"/>
        <item x="19"/>
        <item t="default"/>
      </items>
    </pivotField>
    <pivotField showAll="0"/>
    <pivotField dataField="1" numFmtId="174" showAll="0"/>
  </pivotFields>
  <rowFields count="1">
    <field x="0"/>
  </rowFields>
  <rowItems count="12">
    <i>
      <x v="2"/>
    </i>
    <i>
      <x v="3"/>
    </i>
    <i>
      <x v="4"/>
    </i>
    <i>
      <x v="5"/>
    </i>
    <i>
      <x v="6"/>
    </i>
    <i>
      <x v="7"/>
    </i>
    <i>
      <x v="8"/>
    </i>
    <i>
      <x v="9"/>
    </i>
    <i>
      <x v="10"/>
    </i>
    <i>
      <x v="11"/>
    </i>
    <i>
      <x v="12"/>
    </i>
    <i t="grand">
      <x/>
    </i>
  </rowItems>
  <colFields count="1">
    <field x="2"/>
  </colFields>
  <colItems count="3">
    <i>
      <x/>
    </i>
    <i>
      <x v="1"/>
    </i>
    <i t="grand">
      <x/>
    </i>
  </colItems>
  <pageFields count="1">
    <pageField fld="1" hier="-1"/>
  </pageFields>
  <dataFields count="1">
    <dataField name="Soma de Valor"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6B772A9-BDCC-452F-8B3C-7F0E843040CC}" name="Tabela Dinâmica2"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I25:L38" firstHeaderRow="1" firstDataRow="2" firstDataCol="1"/>
  <pivotFields count="5">
    <pivotField axis="axisRow" showAll="0">
      <items count="14">
        <item m="1" x="11"/>
        <item m="1" x="12"/>
        <item x="0"/>
        <item x="1"/>
        <item x="2"/>
        <item x="3"/>
        <item x="4"/>
        <item x="5"/>
        <item x="6"/>
        <item x="7"/>
        <item x="8"/>
        <item x="9"/>
        <item x="10"/>
        <item t="default"/>
      </items>
    </pivotField>
    <pivotField showAll="0">
      <items count="25">
        <item h="1" x="0"/>
        <item h="1" x="1"/>
        <item h="1" x="2"/>
        <item h="1" m="1" x="20"/>
        <item h="1" x="3"/>
        <item h="1" x="4"/>
        <item h="1" x="5"/>
        <item x="6"/>
        <item h="1" m="1" x="21"/>
        <item h="1" x="7"/>
        <item h="1" x="8"/>
        <item h="1" m="1" x="23"/>
        <item h="1" x="9"/>
        <item h="1" x="10"/>
        <item h="1" x="11"/>
        <item h="1" x="12"/>
        <item h="1" x="13"/>
        <item h="1" x="14"/>
        <item h="1" x="15"/>
        <item h="1" x="16"/>
        <item h="1" m="1" x="22"/>
        <item h="1" x="17"/>
        <item h="1" x="18"/>
        <item h="1" x="19"/>
        <item t="default"/>
      </items>
    </pivotField>
    <pivotField showAll="0"/>
    <pivotField axis="axisCol" showAll="0">
      <items count="5">
        <item h="1" m="1" x="2"/>
        <item h="1" m="1" x="3"/>
        <item x="0"/>
        <item x="1"/>
        <item t="default"/>
      </items>
    </pivotField>
    <pivotField dataField="1" numFmtId="2" showAll="0"/>
  </pivotFields>
  <rowFields count="1">
    <field x="0"/>
  </rowFields>
  <rowItems count="12">
    <i>
      <x v="2"/>
    </i>
    <i>
      <x v="3"/>
    </i>
    <i>
      <x v="4"/>
    </i>
    <i>
      <x v="5"/>
    </i>
    <i>
      <x v="6"/>
    </i>
    <i>
      <x v="7"/>
    </i>
    <i>
      <x v="8"/>
    </i>
    <i>
      <x v="9"/>
    </i>
    <i>
      <x v="10"/>
    </i>
    <i>
      <x v="11"/>
    </i>
    <i>
      <x v="12"/>
    </i>
    <i t="grand">
      <x/>
    </i>
  </rowItems>
  <colFields count="1">
    <field x="3"/>
  </colFields>
  <colItems count="3">
    <i>
      <x v="2"/>
    </i>
    <i>
      <x v="3"/>
    </i>
    <i t="grand">
      <x/>
    </i>
  </colItems>
  <dataFields count="1">
    <dataField name="Soma de Valor" fld="4" baseField="0" baseItem="0" numFmtId="174"/>
  </dataFields>
  <formats count="1">
    <format dxfId="120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Tipo_Remuneração" xr10:uid="{B54A5E8C-3993-4B8C-96EE-57C7A7A6A0E9}" sourceName="Tipo Remuneração">
  <pivotTables>
    <pivotTable tabId="76" name="Tabela Dinâmica1"/>
    <pivotTable tabId="76" name="Tabela Dinâmica2"/>
  </pivotTables>
  <data>
    <tabular pivotCacheId="1890679138">
      <items count="4">
        <i x="0" s="1"/>
        <i x="1" s="1"/>
        <i x="2" nd="1"/>
        <i x="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Selecionar_CAE" xr10:uid="{5DB5979A-D90E-461B-9788-A322AA913F37}" sourceName="Selecionar CAE">
  <pivotTables>
    <pivotTable tabId="76" name="Tabela Dinâmica1"/>
    <pivotTable tabId="76" name="Tabela Dinâmica2"/>
    <pivotTable tabId="76" name="Tabela Dinâmica3"/>
  </pivotTables>
  <data>
    <tabular pivotCacheId="1890679138">
      <items count="24">
        <i x="0"/>
        <i x="1"/>
        <i x="2"/>
        <i x="3"/>
        <i x="4"/>
        <i x="5"/>
        <i x="6" s="1"/>
        <i x="7"/>
        <i x="8"/>
        <i x="9"/>
        <i x="10"/>
        <i x="11"/>
        <i x="12"/>
        <i x="13"/>
        <i x="14"/>
        <i x="15"/>
        <i x="16"/>
        <i x="17"/>
        <i x="18"/>
        <i x="19"/>
        <i x="20" nd="1"/>
        <i x="21" nd="1"/>
        <i x="23" nd="1"/>
        <i x="22"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Tipo_de_remuneração" xr10:uid="{9F214FDF-443B-4912-8BDA-E016D4546DFA}" sourceName="Tipo de remuneração">
  <pivotTables>
    <pivotTable tabId="88" name="Tabela Dinâmica3"/>
  </pivotTables>
  <data>
    <tabular pivotCacheId="79155654">
      <items count="4">
        <i x="0" s="1"/>
        <i x="1" s="1"/>
        <i x="2" nd="1"/>
        <i x="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Sexo" xr10:uid="{3EAA3409-B6DC-432D-9630-32DCEC914845}" sourceName="Sexo">
  <pivotTables>
    <pivotTable tabId="88" name="Tabela Dinâmica3"/>
  </pivotTables>
  <data>
    <tabular pivotCacheId="79155654" sortOrder="descending">
      <items count="3">
        <i x="0"/>
        <i x="2"/>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Remuneração 4" xr10:uid="{C5DF73B9-5883-4D91-8F3F-FF60DBD69D77}" cache="SegmentaçãoDeDados_Tipo_Remuneração" caption="Tipo de remuneração" style="Ano 2" rowHeight="220133"/>
  <slicer name="Selecionar CAE 2" xr10:uid="{7280B40D-9375-482C-921C-AD53388E38CC}" cache="SegmentaçãoDeDados_Selecionar_CAE" caption="Secção de Atividade Económica" columnCount="2" style="Ano 2" rowHeight="220133"/>
  <slicer name="Tipo de remuneração 1" xr10:uid="{0B86D85E-E4CE-416B-8355-3757DA4AA503}" cache="SegmentaçãoDeDados_Tipo_de_remuneração" caption="Tipo de remuneração" style="Ano 2" rowHeight="225425"/>
  <slicer name="Sexo 2" xr10:uid="{33BFF653-D4F3-4C4B-BE6F-13F2A0FDB8B5}" cache="SegmentaçãoDeDados_Sexo" caption="Sexo" style="Ano 2"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de remuneração" xr10:uid="{4894B942-C4E9-4E1F-9780-AA6815F90037}" cache="SegmentaçãoDeDados_Tipo_de_remuneração" caption="Tipo de remuneração" style="Ano 2" rowHeight="225425"/>
  <slicer name="Sexo" xr10:uid="{3DCD9EEA-E947-4D5C-856B-23FAA40A5163}" cache="SegmentaçãoDeDados_Sexo" caption="Sexo" style="Ano 2"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Remuneração" xr10:uid="{8AA8D2C9-921C-4DD5-AFDB-35562F2B4512}" cache="SegmentaçãoDeDados_Tipo_Remuneração" caption="Tipo de remuneração" style="Ano 2" rowHeight="220133"/>
  <slicer name="Selecionar CAE" xr10:uid="{AE1C31D8-7317-4FD7-8731-5C252A08DEF1}" cache="SegmentaçãoDeDados_Selecionar_CAE" caption="Selecionar Secção de Atividade Económica" startItem="14" style="Ano 2" rowHeight="220133"/>
</slicers>
</file>

<file path=xl/theme/theme1.xml><?xml version="1.0" encoding="utf-8"?>
<a:theme xmlns:a="http://schemas.openxmlformats.org/drawingml/2006/main" name="Tema do Office">
  <a:themeElements>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15.xml"/><Relationship Id="rId1" Type="http://schemas.openxmlformats.org/officeDocument/2006/relationships/printerSettings" Target="../printerSettings/printerSettings10.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1.xml"/><Relationship Id="rId2" Type="http://schemas.openxmlformats.org/officeDocument/2006/relationships/drawing" Target="../drawings/drawing19.xml"/><Relationship Id="rId1" Type="http://schemas.openxmlformats.org/officeDocument/2006/relationships/printerSettings" Target="../printerSettings/printerSettings11.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3.xml"/><Relationship Id="rId1" Type="http://schemas.openxmlformats.org/officeDocument/2006/relationships/printerSettings" Target="../printerSettings/printerSettings12.bin"/><Relationship Id="rId4" Type="http://schemas.openxmlformats.org/officeDocument/2006/relationships/ctrlProp" Target="../ctrlProps/ctrlProp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6.xml"/><Relationship Id="rId1" Type="http://schemas.openxmlformats.org/officeDocument/2006/relationships/printerSettings" Target="../printerSettings/printerSettings13.bin"/><Relationship Id="rId4" Type="http://schemas.openxmlformats.org/officeDocument/2006/relationships/ctrlProp" Target="../ctrlProps/ctrlProp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0.xml"/><Relationship Id="rId1" Type="http://schemas.openxmlformats.org/officeDocument/2006/relationships/printerSettings" Target="../printerSettings/printerSettings15.bin"/><Relationship Id="rId4" Type="http://schemas.openxmlformats.org/officeDocument/2006/relationships/ctrlProp" Target="../ctrlProps/ctrlProp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3.xml"/><Relationship Id="rId1" Type="http://schemas.openxmlformats.org/officeDocument/2006/relationships/printerSettings" Target="../printerSettings/printerSettings16.bin"/><Relationship Id="rId4" Type="http://schemas.openxmlformats.org/officeDocument/2006/relationships/ctrlProp" Target="../ctrlProps/ctrlProp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6.xml"/><Relationship Id="rId1" Type="http://schemas.openxmlformats.org/officeDocument/2006/relationships/printerSettings" Target="../printerSettings/printerSettings17.bin"/><Relationship Id="rId4" Type="http://schemas.openxmlformats.org/officeDocument/2006/relationships/ctrlProp" Target="../ctrlProps/ctrlProp16.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9.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4.xml"/><Relationship Id="rId7" Type="http://schemas.microsoft.com/office/2007/relationships/slicer" Target="../slicers/slicer3.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drawing" Target="../drawings/drawing40.xml"/><Relationship Id="rId5" Type="http://schemas.openxmlformats.org/officeDocument/2006/relationships/printerSettings" Target="../printerSettings/printerSettings18.bin"/><Relationship Id="rId4"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13.vml"/><Relationship Id="rId7" Type="http://schemas.openxmlformats.org/officeDocument/2006/relationships/ctrlProp" Target="../ctrlProps/ctrlProp20.xml"/><Relationship Id="rId2" Type="http://schemas.openxmlformats.org/officeDocument/2006/relationships/drawing" Target="../drawings/drawing44.xml"/><Relationship Id="rId1" Type="http://schemas.openxmlformats.org/officeDocument/2006/relationships/printerSettings" Target="../printerSettings/printerSettings22.bin"/><Relationship Id="rId6" Type="http://schemas.openxmlformats.org/officeDocument/2006/relationships/ctrlProp" Target="../ctrlProps/ctrlProp19.xml"/><Relationship Id="rId5" Type="http://schemas.openxmlformats.org/officeDocument/2006/relationships/ctrlProp" Target="../ctrlProps/ctrlProp1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27.xml"/><Relationship Id="rId2" Type="http://schemas.openxmlformats.org/officeDocument/2006/relationships/drawing" Target="../drawings/drawing48.xml"/><Relationship Id="rId1" Type="http://schemas.openxmlformats.org/officeDocument/2006/relationships/printerSettings" Target="../printerSettings/printerSettings23.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creativecommons.org/publicdomain/zero/1.0/deed.en" TargetMode="External"/><Relationship Id="rId1" Type="http://schemas.openxmlformats.org/officeDocument/2006/relationships/hyperlink" Target="https://creativecommons.org/publicdomain/zero/1.0/deed.en" TargetMode="External"/><Relationship Id="rId4" Type="http://schemas.openxmlformats.org/officeDocument/2006/relationships/drawing" Target="../drawings/drawing5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3.xml"/><Relationship Id="rId1" Type="http://schemas.openxmlformats.org/officeDocument/2006/relationships/printerSettings" Target="../printerSettings/printerSettings25.bin"/><Relationship Id="rId4" Type="http://schemas.openxmlformats.org/officeDocument/2006/relationships/ctrlProp" Target="../ctrlProps/ctrlProp2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16.vml"/><Relationship Id="rId7" Type="http://schemas.openxmlformats.org/officeDocument/2006/relationships/ctrlProp" Target="../ctrlProps/ctrlProp32.xml"/><Relationship Id="rId2" Type="http://schemas.openxmlformats.org/officeDocument/2006/relationships/drawing" Target="../drawings/drawing54.xml"/><Relationship Id="rId1" Type="http://schemas.openxmlformats.org/officeDocument/2006/relationships/printerSettings" Target="../printerSettings/printerSettings26.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6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ine.pt/ine_novidades/semin/cae/CAE_REV_3.pdf" TargetMode="External"/><Relationship Id="rId2" Type="http://schemas.openxmlformats.org/officeDocument/2006/relationships/hyperlink" Target="https://files.diariodarepublica.pt/1s/1978/06/12600/09920995.pdf" TargetMode="External"/><Relationship Id="rId1" Type="http://schemas.openxmlformats.org/officeDocument/2006/relationships/hyperlink" Target="https://www.ine.pt/xportal/xmain?xpid=INE&amp;xpgid=ine_publicacoes&amp;PUBLICACOESpub_boui=107961853&amp;PUBLICACOESmodo=2&amp;xlang=pt"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6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youtube.com/watch?v=t-xdWIF9j7c" TargetMode="External"/><Relationship Id="rId2" Type="http://schemas.openxmlformats.org/officeDocument/2006/relationships/hyperlink" Target="https://ninjadoexcel.com.br/como-habilitar-a-guia-desenvolvedor-no-excel/" TargetMode="External"/><Relationship Id="rId1" Type="http://schemas.openxmlformats.org/officeDocument/2006/relationships/hyperlink" Target="https://ninjadoexcel.com.br/grafico-com-caixa-de-combinacao-no-excel/" TargetMode="External"/><Relationship Id="rId4" Type="http://schemas.openxmlformats.org/officeDocument/2006/relationships/drawing" Target="../drawings/drawing6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6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6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6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7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7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7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7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7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7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7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7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8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8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8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8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8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8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8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8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8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90.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91.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92.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93.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9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9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96.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97.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98.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9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10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101.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10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103.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104.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105.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106.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107.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108.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9.bin"/><Relationship Id="rId5" Type="http://schemas.microsoft.com/office/2007/relationships/slicer" Target="../slicers/slicer1.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tabColor rgb="FF0070C0"/>
  </sheetPr>
  <dimension ref="A1:L53"/>
  <sheetViews>
    <sheetView showGridLines="0" zoomScaleNormal="100" workbookViewId="0">
      <selection activeCell="P24" sqref="P24"/>
    </sheetView>
  </sheetViews>
  <sheetFormatPr defaultColWidth="8.7109375" defaultRowHeight="15"/>
  <cols>
    <col min="1" max="11" width="8.7109375" style="450"/>
    <col min="12" max="12" width="11.7109375" style="450" customWidth="1"/>
    <col min="13" max="16384" width="8.7109375" style="450"/>
  </cols>
  <sheetData>
    <row r="1" spans="1:12">
      <c r="A1" s="449"/>
      <c r="B1" s="449"/>
      <c r="C1" s="449"/>
      <c r="D1" s="449"/>
      <c r="E1" s="449"/>
      <c r="F1" s="449"/>
      <c r="G1" s="449"/>
      <c r="H1" s="449"/>
      <c r="I1" s="449"/>
      <c r="J1" s="449"/>
      <c r="K1" s="449"/>
      <c r="L1" s="449"/>
    </row>
    <row r="2" spans="1:12">
      <c r="A2" s="449"/>
      <c r="B2" s="449"/>
      <c r="C2" s="449"/>
      <c r="D2" s="449"/>
      <c r="E2" s="449"/>
      <c r="F2" s="449"/>
      <c r="G2" s="449"/>
      <c r="H2" s="449"/>
      <c r="I2" s="449"/>
      <c r="J2" s="449"/>
      <c r="K2" s="449"/>
      <c r="L2" s="449"/>
    </row>
    <row r="3" spans="1:12">
      <c r="A3" s="449"/>
      <c r="B3" s="449"/>
      <c r="C3" s="449"/>
      <c r="D3" s="449"/>
      <c r="E3" s="449"/>
      <c r="F3" s="449"/>
      <c r="G3" s="449"/>
      <c r="H3" s="449"/>
      <c r="I3" s="449"/>
      <c r="J3" s="449"/>
      <c r="K3" s="449"/>
      <c r="L3" s="449"/>
    </row>
    <row r="4" spans="1:12">
      <c r="A4" s="449"/>
      <c r="B4" s="449"/>
      <c r="C4" s="449"/>
      <c r="D4" s="449"/>
      <c r="E4" s="449"/>
      <c r="F4" s="449"/>
      <c r="G4" s="449"/>
      <c r="H4" s="449"/>
      <c r="I4" s="449"/>
      <c r="J4" s="449"/>
      <c r="K4" s="449"/>
      <c r="L4" s="449"/>
    </row>
    <row r="5" spans="1:12">
      <c r="A5" s="449"/>
      <c r="B5" s="449"/>
      <c r="C5" s="449"/>
      <c r="D5" s="449"/>
      <c r="E5" s="449"/>
      <c r="F5" s="449"/>
      <c r="G5" s="449"/>
      <c r="H5" s="449"/>
      <c r="I5" s="449"/>
      <c r="J5" s="449"/>
      <c r="K5" s="449"/>
      <c r="L5" s="449"/>
    </row>
    <row r="6" spans="1:12">
      <c r="A6" s="449"/>
      <c r="B6" s="449"/>
      <c r="C6" s="449"/>
      <c r="D6" s="449"/>
      <c r="E6" s="449"/>
      <c r="F6" s="449"/>
      <c r="G6" s="449"/>
      <c r="H6" s="449"/>
      <c r="I6" s="449"/>
      <c r="J6" s="449"/>
      <c r="K6" s="449"/>
      <c r="L6" s="449"/>
    </row>
    <row r="7" spans="1:12">
      <c r="A7" s="449"/>
      <c r="B7" s="449"/>
      <c r="C7" s="449"/>
      <c r="D7" s="449"/>
      <c r="E7" s="449"/>
      <c r="F7" s="449"/>
      <c r="G7" s="449"/>
      <c r="H7" s="449"/>
      <c r="I7" s="449"/>
      <c r="J7" s="449"/>
      <c r="K7" s="449"/>
      <c r="L7" s="449"/>
    </row>
    <row r="8" spans="1:12">
      <c r="A8" s="449"/>
      <c r="B8" s="449"/>
      <c r="C8" s="449"/>
      <c r="D8" s="449"/>
      <c r="E8" s="449"/>
      <c r="F8" s="449"/>
      <c r="G8" s="449"/>
      <c r="H8" s="449"/>
      <c r="I8" s="449"/>
      <c r="J8" s="449"/>
      <c r="K8" s="449"/>
      <c r="L8" s="449"/>
    </row>
    <row r="9" spans="1:12">
      <c r="A9" s="449"/>
      <c r="B9" s="449"/>
      <c r="C9" s="449"/>
      <c r="D9" s="449"/>
      <c r="E9" s="449"/>
      <c r="F9" s="449"/>
      <c r="G9" s="449"/>
      <c r="H9" s="449"/>
      <c r="I9" s="449"/>
      <c r="J9" s="449"/>
      <c r="K9" s="449"/>
      <c r="L9" s="449"/>
    </row>
    <row r="10" spans="1:12">
      <c r="A10" s="449"/>
      <c r="B10" s="449"/>
      <c r="C10" s="449"/>
      <c r="D10" s="449"/>
      <c r="E10" s="449"/>
      <c r="F10" s="449"/>
      <c r="G10" s="449"/>
      <c r="H10" s="449"/>
      <c r="I10" s="449"/>
      <c r="J10" s="449"/>
      <c r="K10" s="449"/>
      <c r="L10" s="449"/>
    </row>
    <row r="11" spans="1:12">
      <c r="A11" s="449"/>
      <c r="B11" s="449"/>
      <c r="C11" s="449"/>
      <c r="D11" s="449"/>
      <c r="E11" s="449"/>
      <c r="F11" s="449"/>
      <c r="G11" s="449"/>
      <c r="H11" s="449"/>
      <c r="I11" s="449"/>
      <c r="J11" s="449"/>
      <c r="K11" s="449"/>
      <c r="L11" s="449"/>
    </row>
    <row r="12" spans="1:12">
      <c r="A12" s="449"/>
      <c r="B12" s="449"/>
      <c r="C12" s="449"/>
      <c r="D12" s="449"/>
      <c r="E12" s="449"/>
      <c r="F12" s="449"/>
      <c r="G12" s="449"/>
      <c r="H12" s="449"/>
      <c r="I12" s="449"/>
      <c r="J12" s="449"/>
      <c r="K12" s="449"/>
      <c r="L12" s="449"/>
    </row>
    <row r="13" spans="1:12">
      <c r="A13" s="449"/>
      <c r="B13" s="449"/>
      <c r="C13" s="449"/>
      <c r="D13" s="449"/>
      <c r="E13" s="449"/>
      <c r="F13" s="449"/>
      <c r="G13" s="449"/>
      <c r="H13" s="449"/>
      <c r="I13" s="449"/>
      <c r="J13" s="449"/>
      <c r="K13" s="449"/>
      <c r="L13" s="449"/>
    </row>
    <row r="14" spans="1:12">
      <c r="A14" s="449"/>
      <c r="B14" s="449"/>
      <c r="C14" s="449"/>
      <c r="D14" s="449"/>
      <c r="E14" s="449"/>
      <c r="F14" s="449"/>
      <c r="G14" s="449"/>
      <c r="H14" s="449"/>
      <c r="I14" s="449"/>
      <c r="J14" s="449"/>
      <c r="K14" s="449"/>
      <c r="L14" s="449"/>
    </row>
    <row r="15" spans="1:12">
      <c r="A15" s="449"/>
      <c r="B15" s="449"/>
      <c r="C15" s="449"/>
      <c r="D15" s="449"/>
      <c r="E15" s="449"/>
      <c r="F15" s="449"/>
      <c r="G15" s="449"/>
      <c r="H15" s="449"/>
      <c r="I15" s="449"/>
      <c r="J15" s="449"/>
      <c r="K15" s="449"/>
      <c r="L15" s="449"/>
    </row>
    <row r="16" spans="1:12">
      <c r="A16" s="449"/>
      <c r="B16" s="449"/>
      <c r="C16" s="449"/>
      <c r="D16" s="449"/>
      <c r="E16" s="449"/>
      <c r="F16" s="449"/>
      <c r="G16" s="449"/>
      <c r="H16" s="449"/>
      <c r="I16" s="449"/>
      <c r="J16" s="449"/>
      <c r="K16" s="449"/>
      <c r="L16" s="449"/>
    </row>
    <row r="17" spans="1:12">
      <c r="A17" s="449"/>
      <c r="B17" s="449"/>
      <c r="C17" s="449"/>
      <c r="D17" s="449"/>
      <c r="E17" s="449"/>
      <c r="F17" s="449"/>
      <c r="G17" s="449"/>
      <c r="H17" s="449"/>
      <c r="I17" s="449"/>
      <c r="J17" s="449"/>
      <c r="K17" s="449"/>
      <c r="L17" s="449"/>
    </row>
    <row r="18" spans="1:12">
      <c r="A18" s="449"/>
      <c r="B18" s="449"/>
      <c r="C18" s="449"/>
      <c r="D18" s="449"/>
      <c r="E18" s="449"/>
      <c r="F18" s="449"/>
      <c r="G18" s="449"/>
      <c r="H18" s="449"/>
      <c r="I18" s="449"/>
      <c r="J18" s="449"/>
      <c r="K18" s="449"/>
      <c r="L18" s="449"/>
    </row>
    <row r="19" spans="1:12">
      <c r="A19" s="449"/>
      <c r="B19" s="449"/>
      <c r="C19" s="449"/>
      <c r="D19" s="449"/>
      <c r="E19" s="449"/>
      <c r="F19" s="449"/>
      <c r="G19" s="449"/>
      <c r="H19" s="449"/>
      <c r="I19" s="449"/>
      <c r="J19" s="449"/>
      <c r="K19" s="449"/>
      <c r="L19" s="449"/>
    </row>
    <row r="20" spans="1:12">
      <c r="A20" s="449"/>
      <c r="B20" s="449"/>
      <c r="C20" s="449"/>
      <c r="D20" s="449"/>
      <c r="E20" s="449"/>
      <c r="F20" s="449"/>
      <c r="G20" s="449"/>
      <c r="H20" s="449"/>
      <c r="I20" s="449"/>
      <c r="J20" s="449"/>
      <c r="K20" s="449"/>
      <c r="L20" s="449"/>
    </row>
    <row r="21" spans="1:12">
      <c r="A21" s="449"/>
      <c r="B21" s="449"/>
      <c r="C21" s="449"/>
      <c r="D21" s="449"/>
      <c r="E21" s="449"/>
      <c r="F21" s="449"/>
      <c r="G21" s="449"/>
      <c r="H21" s="449"/>
      <c r="I21" s="449"/>
      <c r="J21" s="449"/>
      <c r="K21" s="449"/>
      <c r="L21" s="449"/>
    </row>
    <row r="22" spans="1:12">
      <c r="A22" s="449"/>
      <c r="B22" s="449"/>
      <c r="C22" s="449"/>
      <c r="D22" s="449"/>
      <c r="E22" s="449"/>
      <c r="F22" s="449"/>
      <c r="G22" s="449"/>
      <c r="H22" s="449"/>
      <c r="I22" s="449"/>
      <c r="J22" s="449"/>
      <c r="K22" s="449"/>
      <c r="L22" s="449"/>
    </row>
    <row r="23" spans="1:12">
      <c r="A23" s="449"/>
      <c r="B23" s="449"/>
      <c r="C23" s="449"/>
      <c r="D23" s="449"/>
      <c r="E23" s="449"/>
      <c r="F23" s="449"/>
      <c r="G23" s="449"/>
      <c r="H23" s="449"/>
      <c r="I23" s="449"/>
      <c r="J23" s="449"/>
      <c r="K23" s="449"/>
      <c r="L23" s="449"/>
    </row>
    <row r="24" spans="1:12">
      <c r="A24" s="449"/>
      <c r="B24" s="449"/>
      <c r="C24" s="449"/>
      <c r="D24" s="449"/>
      <c r="E24" s="449"/>
      <c r="F24" s="449"/>
      <c r="G24" s="449"/>
      <c r="H24" s="449"/>
      <c r="I24" s="449"/>
      <c r="J24" s="449"/>
      <c r="K24" s="449"/>
      <c r="L24" s="449"/>
    </row>
    <row r="25" spans="1:12">
      <c r="A25" s="449"/>
      <c r="B25" s="449"/>
      <c r="C25" s="449"/>
      <c r="D25" s="449"/>
      <c r="E25" s="449"/>
      <c r="F25" s="449"/>
      <c r="G25" s="449"/>
      <c r="H25" s="449"/>
      <c r="I25" s="449"/>
      <c r="J25" s="449"/>
      <c r="K25" s="449"/>
      <c r="L25" s="449"/>
    </row>
    <row r="26" spans="1:12">
      <c r="A26" s="449"/>
      <c r="B26" s="449"/>
      <c r="C26" s="449"/>
      <c r="D26" s="449"/>
      <c r="E26" s="449"/>
      <c r="F26" s="449"/>
      <c r="G26" s="449"/>
      <c r="H26" s="449"/>
      <c r="I26" s="449"/>
      <c r="J26" s="449"/>
      <c r="K26" s="449"/>
      <c r="L26" s="449"/>
    </row>
    <row r="27" spans="1:12">
      <c r="A27" s="449"/>
      <c r="B27" s="449"/>
      <c r="C27" s="449"/>
      <c r="D27" s="449"/>
      <c r="E27" s="449"/>
      <c r="F27" s="449"/>
      <c r="G27" s="449"/>
      <c r="H27" s="449"/>
      <c r="I27" s="449"/>
      <c r="J27" s="449"/>
      <c r="K27" s="449"/>
      <c r="L27" s="449"/>
    </row>
    <row r="28" spans="1:12">
      <c r="A28" s="449"/>
      <c r="B28" s="449"/>
      <c r="C28" s="449"/>
      <c r="D28" s="449"/>
      <c r="E28" s="449"/>
      <c r="F28" s="449"/>
      <c r="G28" s="449"/>
      <c r="H28" s="449"/>
      <c r="I28" s="449"/>
      <c r="J28" s="449"/>
      <c r="K28" s="449"/>
      <c r="L28" s="449"/>
    </row>
    <row r="29" spans="1:12">
      <c r="A29" s="449"/>
      <c r="B29" s="449"/>
      <c r="C29" s="449"/>
      <c r="D29" s="449"/>
      <c r="E29" s="449"/>
      <c r="F29" s="449"/>
      <c r="G29" s="449"/>
      <c r="H29" s="449"/>
      <c r="I29" s="449"/>
      <c r="J29" s="449"/>
      <c r="K29" s="449"/>
      <c r="L29" s="449"/>
    </row>
    <row r="30" spans="1:12">
      <c r="A30" s="449"/>
      <c r="B30" s="449"/>
      <c r="C30" s="449"/>
      <c r="D30" s="449"/>
      <c r="E30" s="449"/>
      <c r="F30" s="449"/>
      <c r="G30" s="449"/>
      <c r="H30" s="449"/>
      <c r="I30" s="449"/>
      <c r="J30" s="449"/>
      <c r="K30" s="449"/>
      <c r="L30" s="449"/>
    </row>
    <row r="31" spans="1:12">
      <c r="A31" s="449"/>
      <c r="B31" s="449"/>
      <c r="C31" s="449"/>
      <c r="D31" s="449"/>
      <c r="E31" s="449"/>
      <c r="F31" s="449"/>
      <c r="G31" s="449"/>
      <c r="H31" s="449"/>
      <c r="I31" s="449"/>
      <c r="J31" s="449"/>
      <c r="K31" s="449"/>
      <c r="L31" s="449"/>
    </row>
    <row r="32" spans="1:12">
      <c r="A32" s="449"/>
      <c r="B32" s="449"/>
      <c r="C32" s="449"/>
      <c r="D32" s="449"/>
      <c r="E32" s="449"/>
      <c r="F32" s="449"/>
      <c r="G32" s="449"/>
      <c r="H32" s="449"/>
      <c r="I32" s="449"/>
      <c r="J32" s="449"/>
      <c r="K32" s="449"/>
      <c r="L32" s="449"/>
    </row>
    <row r="33" spans="1:12">
      <c r="A33" s="449"/>
      <c r="B33" s="449"/>
      <c r="C33" s="449"/>
      <c r="D33" s="449"/>
      <c r="E33" s="449"/>
      <c r="F33" s="449"/>
      <c r="G33" s="449"/>
      <c r="H33" s="449"/>
      <c r="I33" s="449"/>
      <c r="J33" s="449"/>
      <c r="K33" s="449"/>
      <c r="L33" s="449"/>
    </row>
    <row r="34" spans="1:12">
      <c r="A34" s="449"/>
      <c r="B34" s="449"/>
      <c r="C34" s="449"/>
      <c r="D34" s="449"/>
      <c r="E34" s="449"/>
      <c r="F34" s="449"/>
      <c r="G34" s="449"/>
      <c r="H34" s="449"/>
      <c r="I34" s="449"/>
      <c r="J34" s="449"/>
      <c r="K34" s="449"/>
      <c r="L34" s="449"/>
    </row>
    <row r="35" spans="1:12">
      <c r="A35" s="449"/>
      <c r="B35" s="449"/>
      <c r="C35" s="449"/>
      <c r="D35" s="449"/>
      <c r="E35" s="449"/>
      <c r="F35" s="449"/>
      <c r="G35" s="449"/>
      <c r="H35" s="449"/>
      <c r="I35" s="449"/>
      <c r="J35" s="449"/>
      <c r="K35" s="449"/>
      <c r="L35" s="449"/>
    </row>
    <row r="36" spans="1:12">
      <c r="A36" s="449"/>
      <c r="B36" s="449"/>
      <c r="C36" s="449"/>
      <c r="D36" s="449"/>
      <c r="E36" s="449"/>
      <c r="F36" s="449"/>
      <c r="G36" s="449"/>
      <c r="H36" s="449"/>
      <c r="I36" s="449"/>
      <c r="J36" s="449"/>
      <c r="K36" s="449"/>
      <c r="L36" s="449"/>
    </row>
    <row r="37" spans="1:12">
      <c r="A37" s="449"/>
      <c r="B37" s="449"/>
      <c r="C37" s="449"/>
      <c r="D37" s="449"/>
      <c r="E37" s="449"/>
      <c r="F37" s="449"/>
      <c r="G37" s="449"/>
      <c r="H37" s="449"/>
      <c r="I37" s="449"/>
      <c r="J37" s="449"/>
      <c r="K37" s="449"/>
      <c r="L37" s="449"/>
    </row>
    <row r="38" spans="1:12">
      <c r="A38" s="449"/>
      <c r="B38" s="449"/>
      <c r="C38" s="449"/>
      <c r="D38" s="449"/>
      <c r="E38" s="449"/>
      <c r="F38" s="449"/>
      <c r="G38" s="449"/>
      <c r="H38" s="449"/>
      <c r="I38" s="449"/>
      <c r="J38" s="449"/>
      <c r="K38" s="449"/>
      <c r="L38" s="449"/>
    </row>
    <row r="39" spans="1:12">
      <c r="A39" s="449"/>
      <c r="B39" s="449"/>
      <c r="C39" s="449"/>
      <c r="D39" s="449"/>
      <c r="E39" s="449"/>
      <c r="F39" s="449"/>
      <c r="G39" s="449"/>
      <c r="H39" s="449"/>
      <c r="I39" s="449"/>
      <c r="J39" s="449"/>
      <c r="K39" s="449"/>
      <c r="L39" s="449"/>
    </row>
    <row r="40" spans="1:12">
      <c r="A40" s="449"/>
      <c r="B40" s="449"/>
      <c r="C40" s="449"/>
      <c r="D40" s="449"/>
      <c r="E40" s="449"/>
      <c r="F40" s="449"/>
      <c r="G40" s="449"/>
      <c r="H40" s="449"/>
      <c r="I40" s="449"/>
      <c r="J40" s="449"/>
      <c r="K40" s="449"/>
      <c r="L40" s="449"/>
    </row>
    <row r="41" spans="1:12">
      <c r="A41" s="449"/>
      <c r="B41" s="449"/>
      <c r="C41" s="449"/>
      <c r="D41" s="449"/>
      <c r="E41" s="449"/>
      <c r="F41" s="449"/>
      <c r="G41" s="449"/>
      <c r="H41" s="449"/>
      <c r="I41" s="449"/>
      <c r="J41" s="449"/>
      <c r="K41" s="449"/>
      <c r="L41" s="449"/>
    </row>
    <row r="42" spans="1:12">
      <c r="A42" s="449"/>
      <c r="B42" s="449"/>
      <c r="C42" s="449"/>
      <c r="D42" s="449"/>
      <c r="E42" s="449"/>
      <c r="F42" s="449"/>
      <c r="G42" s="449"/>
      <c r="H42" s="449"/>
      <c r="I42" s="449"/>
      <c r="J42" s="449"/>
      <c r="K42" s="449"/>
      <c r="L42" s="449"/>
    </row>
    <row r="43" spans="1:12">
      <c r="A43" s="449"/>
      <c r="B43" s="449"/>
      <c r="C43" s="449"/>
      <c r="D43" s="449"/>
      <c r="E43" s="449"/>
      <c r="F43" s="449"/>
      <c r="G43" s="449"/>
      <c r="H43" s="449"/>
      <c r="I43" s="449"/>
      <c r="J43" s="449"/>
      <c r="K43" s="449"/>
      <c r="L43" s="449"/>
    </row>
    <row r="44" spans="1:12">
      <c r="A44" s="449"/>
      <c r="B44" s="449"/>
      <c r="C44" s="449"/>
      <c r="D44" s="449"/>
      <c r="E44" s="449"/>
      <c r="F44" s="449"/>
      <c r="G44" s="449"/>
      <c r="H44" s="449"/>
      <c r="I44" s="449"/>
      <c r="J44" s="449"/>
      <c r="K44" s="449"/>
      <c r="L44" s="449"/>
    </row>
    <row r="45" spans="1:12">
      <c r="A45" s="449"/>
      <c r="B45" s="449"/>
      <c r="C45" s="449"/>
      <c r="D45" s="449"/>
      <c r="E45" s="449"/>
      <c r="F45" s="449"/>
      <c r="G45" s="449"/>
      <c r="H45" s="449"/>
      <c r="I45" s="449"/>
      <c r="J45" s="449"/>
      <c r="K45" s="449"/>
      <c r="L45" s="449"/>
    </row>
    <row r="46" spans="1:12">
      <c r="A46" s="449"/>
      <c r="B46" s="449"/>
      <c r="C46" s="449"/>
      <c r="D46" s="449"/>
      <c r="E46" s="449"/>
      <c r="F46" s="449"/>
      <c r="G46" s="449"/>
      <c r="H46" s="449"/>
      <c r="I46" s="449"/>
      <c r="J46" s="449"/>
      <c r="K46" s="449"/>
      <c r="L46" s="449"/>
    </row>
    <row r="47" spans="1:12">
      <c r="A47" s="449"/>
      <c r="B47" s="449"/>
      <c r="C47" s="449"/>
      <c r="D47" s="449"/>
      <c r="E47" s="449"/>
      <c r="F47" s="449"/>
      <c r="G47" s="449"/>
      <c r="H47" s="449"/>
      <c r="I47" s="449"/>
      <c r="J47" s="449"/>
      <c r="K47" s="449"/>
      <c r="L47" s="449"/>
    </row>
    <row r="48" spans="1:12">
      <c r="A48" s="449"/>
      <c r="B48" s="449"/>
      <c r="C48" s="449"/>
      <c r="D48" s="449"/>
      <c r="E48" s="449"/>
      <c r="F48" s="449"/>
      <c r="G48" s="449"/>
      <c r="H48" s="449"/>
      <c r="I48" s="449"/>
      <c r="J48" s="449"/>
      <c r="K48" s="449"/>
      <c r="L48" s="449"/>
    </row>
    <row r="49" spans="1:12">
      <c r="A49" s="449"/>
      <c r="B49" s="449"/>
      <c r="C49" s="449"/>
      <c r="D49" s="449"/>
      <c r="E49" s="449"/>
      <c r="F49" s="449"/>
      <c r="G49" s="449"/>
      <c r="H49" s="449"/>
      <c r="I49" s="449"/>
      <c r="J49" s="449"/>
      <c r="K49" s="449"/>
      <c r="L49" s="449"/>
    </row>
    <row r="50" spans="1:12">
      <c r="A50" s="449"/>
      <c r="B50" s="449"/>
      <c r="C50" s="449"/>
      <c r="D50" s="449"/>
      <c r="E50" s="449"/>
      <c r="F50" s="449"/>
      <c r="G50" s="449"/>
      <c r="H50" s="449"/>
      <c r="I50" s="449"/>
      <c r="J50" s="449"/>
      <c r="K50" s="449"/>
      <c r="L50" s="449"/>
    </row>
    <row r="51" spans="1:12">
      <c r="A51" s="449"/>
      <c r="B51" s="449"/>
      <c r="C51" s="449"/>
      <c r="D51" s="449"/>
      <c r="E51" s="449"/>
      <c r="F51" s="449"/>
      <c r="G51" s="449"/>
      <c r="H51" s="449"/>
      <c r="I51" s="449"/>
      <c r="J51" s="449"/>
      <c r="K51" s="449"/>
      <c r="L51" s="449"/>
    </row>
    <row r="52" spans="1:12">
      <c r="A52" s="449"/>
      <c r="B52" s="449"/>
      <c r="C52" s="449"/>
      <c r="D52" s="449"/>
      <c r="E52" s="449"/>
      <c r="F52" s="449"/>
      <c r="G52" s="449"/>
      <c r="H52" s="449"/>
      <c r="I52" s="449"/>
      <c r="J52" s="449"/>
      <c r="K52" s="449"/>
      <c r="L52" s="449"/>
    </row>
    <row r="53" spans="1:12" ht="75.75" customHeight="1">
      <c r="A53" s="449"/>
      <c r="B53" s="449"/>
      <c r="C53" s="449"/>
      <c r="D53" s="449"/>
      <c r="E53" s="449"/>
      <c r="F53" s="449"/>
      <c r="G53" s="449"/>
      <c r="H53" s="449"/>
      <c r="I53" s="449"/>
      <c r="J53" s="449"/>
      <c r="K53" s="449"/>
      <c r="L53" s="449"/>
    </row>
  </sheetData>
  <printOptions horizontalCentered="1" verticalCentered="1"/>
  <pageMargins left="0" right="0" top="0" bottom="0" header="0" footer="0"/>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91436-4C8E-482A-BE5E-9CCB7C607029}">
  <sheetPr codeName="Folha5">
    <tabColor rgb="FFFFFF00"/>
    <pageSetUpPr fitToPage="1"/>
  </sheetPr>
  <dimension ref="A1:AB56"/>
  <sheetViews>
    <sheetView showGridLines="0" showRowColHeaders="0" zoomScaleNormal="100" zoomScaleSheetLayoutView="90" workbookViewId="0"/>
  </sheetViews>
  <sheetFormatPr defaultColWidth="0" defaultRowHeight="15" zeroHeight="1"/>
  <cols>
    <col min="1" max="11" width="8.42578125" style="841" customWidth="1"/>
    <col min="12" max="12" width="7" style="841" customWidth="1"/>
    <col min="13" max="23" width="8.7109375" style="841" customWidth="1"/>
    <col min="24" max="28" width="0" style="841" hidden="1"/>
    <col min="29" max="16384" width="8.7109375" style="841" hidden="1"/>
  </cols>
  <sheetData>
    <row r="1" spans="1:28">
      <c r="A1" s="863"/>
      <c r="B1" s="863"/>
      <c r="C1" s="863"/>
      <c r="D1" s="863"/>
      <c r="E1" s="863"/>
      <c r="F1" s="863"/>
      <c r="G1" s="863"/>
      <c r="H1" s="863"/>
      <c r="I1" s="863"/>
      <c r="J1" s="863"/>
      <c r="K1" s="863"/>
      <c r="L1" s="863"/>
      <c r="M1" s="863"/>
      <c r="N1" s="863"/>
      <c r="O1" s="863"/>
      <c r="P1" s="863"/>
      <c r="Q1" s="863"/>
      <c r="R1" s="863"/>
      <c r="S1" s="863"/>
      <c r="T1" s="863"/>
      <c r="U1" s="863"/>
      <c r="V1" s="863"/>
      <c r="W1" s="863"/>
    </row>
    <row r="2" spans="1:28" ht="18.75" customHeight="1">
      <c r="A2" s="863"/>
      <c r="B2" s="863"/>
      <c r="C2" s="863"/>
      <c r="D2" s="863"/>
      <c r="E2" s="863"/>
      <c r="F2" s="863"/>
      <c r="G2" s="863"/>
      <c r="H2" s="863"/>
      <c r="I2" s="863"/>
      <c r="J2" s="863"/>
      <c r="K2" s="863"/>
      <c r="L2" s="863"/>
      <c r="M2" s="863"/>
      <c r="N2" s="863"/>
      <c r="O2" s="863"/>
      <c r="P2" s="863"/>
      <c r="Q2" s="863"/>
      <c r="R2" s="863"/>
      <c r="S2" s="863"/>
      <c r="T2" s="863"/>
      <c r="U2" s="863"/>
      <c r="V2" s="863"/>
      <c r="W2" s="863"/>
    </row>
    <row r="3" spans="1:28">
      <c r="A3" s="863"/>
      <c r="B3" s="863"/>
      <c r="C3" s="863"/>
      <c r="D3" s="863"/>
      <c r="E3" s="863"/>
      <c r="F3" s="863"/>
      <c r="G3" s="863"/>
      <c r="H3" s="863"/>
      <c r="I3" s="863"/>
      <c r="J3" s="863"/>
      <c r="K3" s="863"/>
      <c r="L3" s="863"/>
      <c r="M3" s="863"/>
      <c r="N3" s="863"/>
      <c r="O3" s="863"/>
      <c r="P3" s="863"/>
      <c r="Q3" s="863"/>
      <c r="R3" s="863"/>
      <c r="S3" s="863"/>
      <c r="T3" s="863"/>
      <c r="U3" s="863"/>
      <c r="V3" s="863"/>
      <c r="W3" s="863"/>
    </row>
    <row r="4" spans="1:28">
      <c r="A4" s="863"/>
      <c r="B4" s="863"/>
      <c r="C4" s="863"/>
      <c r="D4" s="863"/>
      <c r="E4" s="863"/>
      <c r="F4" s="863"/>
      <c r="G4" s="863"/>
      <c r="H4" s="863"/>
      <c r="I4" s="863"/>
      <c r="J4" s="863"/>
      <c r="K4" s="863"/>
      <c r="L4" s="863"/>
      <c r="M4" s="863"/>
      <c r="N4" s="863"/>
      <c r="O4" s="863"/>
      <c r="P4" s="863"/>
      <c r="Q4" s="863"/>
      <c r="R4" s="863"/>
      <c r="S4" s="863"/>
      <c r="T4" s="863"/>
      <c r="U4" s="863"/>
      <c r="V4" s="863"/>
      <c r="W4" s="863"/>
    </row>
    <row r="5" spans="1:28">
      <c r="A5" s="863"/>
      <c r="B5" s="863"/>
      <c r="C5" s="863"/>
      <c r="D5" s="863"/>
      <c r="E5" s="863"/>
      <c r="F5" s="863"/>
      <c r="G5" s="863"/>
      <c r="H5" s="863"/>
      <c r="I5" s="863"/>
      <c r="J5" s="863"/>
      <c r="K5" s="863"/>
      <c r="L5" s="863"/>
      <c r="M5" s="863"/>
      <c r="N5" s="863"/>
      <c r="O5" s="863"/>
      <c r="P5" s="863"/>
      <c r="Q5" s="863"/>
      <c r="R5" s="863"/>
      <c r="S5" s="863"/>
      <c r="T5" s="863"/>
      <c r="U5" s="863"/>
      <c r="V5" s="863"/>
      <c r="W5" s="863"/>
    </row>
    <row r="6" spans="1:28">
      <c r="A6" s="863"/>
      <c r="B6" s="863"/>
      <c r="C6" s="863"/>
      <c r="D6" s="863"/>
      <c r="E6" s="863"/>
      <c r="F6" s="863"/>
      <c r="G6" s="864"/>
      <c r="H6" s="863"/>
      <c r="I6" s="863"/>
      <c r="J6" s="863"/>
      <c r="K6" s="863"/>
      <c r="L6" s="877"/>
      <c r="M6" s="877"/>
      <c r="N6" s="877"/>
      <c r="O6" s="877"/>
      <c r="P6" s="877"/>
      <c r="Q6" s="877"/>
      <c r="R6" s="863"/>
      <c r="S6" s="863"/>
      <c r="T6" s="863"/>
      <c r="U6" s="863"/>
      <c r="V6" s="863"/>
      <c r="W6" s="863"/>
    </row>
    <row r="7" spans="1:28">
      <c r="A7" s="866"/>
      <c r="B7" s="866"/>
      <c r="C7" s="866"/>
      <c r="D7" s="866"/>
      <c r="E7" s="866"/>
      <c r="F7" s="866"/>
      <c r="G7" s="863"/>
      <c r="H7" s="863"/>
      <c r="I7" s="863"/>
      <c r="J7" s="863"/>
      <c r="K7" s="863"/>
      <c r="L7" s="863"/>
      <c r="M7" s="863"/>
      <c r="N7" s="863"/>
      <c r="O7" s="863"/>
      <c r="P7" s="863"/>
      <c r="Q7" s="863"/>
      <c r="R7" s="863"/>
      <c r="S7" s="863"/>
      <c r="T7" s="863"/>
      <c r="U7" s="863"/>
      <c r="V7" s="863"/>
      <c r="W7" s="863"/>
    </row>
    <row r="8" spans="1:28">
      <c r="A8" s="878"/>
      <c r="B8" s="878"/>
      <c r="C8" s="878"/>
      <c r="D8" s="878"/>
      <c r="E8" s="878"/>
      <c r="F8" s="878"/>
      <c r="G8" s="863"/>
      <c r="H8" s="863"/>
      <c r="I8" s="863"/>
      <c r="J8" s="863"/>
      <c r="K8" s="863"/>
      <c r="L8" s="863"/>
      <c r="M8" s="863"/>
      <c r="N8" s="863"/>
      <c r="O8" s="863"/>
      <c r="P8" s="863"/>
      <c r="Q8" s="863"/>
      <c r="R8" s="863"/>
      <c r="S8" s="863"/>
      <c r="T8" s="863"/>
      <c r="U8" s="863"/>
      <c r="V8" s="863"/>
      <c r="W8" s="863"/>
    </row>
    <row r="9" spans="1:28" ht="15" customHeight="1">
      <c r="A9" s="863"/>
      <c r="B9" s="863"/>
      <c r="C9" s="863"/>
      <c r="D9" s="863"/>
      <c r="E9" s="863"/>
      <c r="F9" s="867"/>
      <c r="G9" s="867"/>
      <c r="H9" s="863"/>
      <c r="I9" s="863"/>
      <c r="J9" s="863"/>
      <c r="K9" s="863"/>
      <c r="L9" s="863"/>
      <c r="M9" s="863"/>
      <c r="N9" s="863"/>
      <c r="O9" s="863"/>
      <c r="P9" s="863"/>
      <c r="Q9" s="863"/>
      <c r="R9" s="863"/>
      <c r="S9" s="863"/>
      <c r="T9" s="863"/>
      <c r="U9" s="863"/>
      <c r="V9" s="863"/>
      <c r="W9" s="863"/>
    </row>
    <row r="10" spans="1:28" ht="15" customHeight="1">
      <c r="A10" s="863"/>
      <c r="B10" s="863"/>
      <c r="C10" s="863"/>
      <c r="D10" s="863"/>
      <c r="E10" s="863"/>
      <c r="F10" s="867"/>
      <c r="G10" s="867"/>
      <c r="H10" s="863"/>
      <c r="I10" s="863"/>
      <c r="J10" s="863"/>
      <c r="K10" s="863"/>
      <c r="L10" s="863"/>
      <c r="M10" s="863"/>
      <c r="N10" s="863"/>
      <c r="O10" s="863"/>
      <c r="P10" s="863"/>
      <c r="Q10" s="863"/>
      <c r="R10" s="863"/>
      <c r="S10" s="863"/>
      <c r="T10" s="863"/>
      <c r="U10" s="863"/>
      <c r="V10" s="863"/>
      <c r="W10" s="863"/>
    </row>
    <row r="11" spans="1:28">
      <c r="A11" s="863"/>
      <c r="B11" s="863"/>
      <c r="C11" s="863"/>
      <c r="D11" s="863"/>
      <c r="E11" s="863"/>
      <c r="F11" s="867"/>
      <c r="G11" s="867"/>
      <c r="H11" s="863"/>
      <c r="I11" s="863"/>
      <c r="J11" s="863"/>
      <c r="K11" s="863"/>
      <c r="L11" s="863"/>
      <c r="M11" s="863"/>
      <c r="N11" s="863"/>
      <c r="O11" s="863"/>
      <c r="P11" s="863"/>
      <c r="Q11" s="863"/>
      <c r="R11" s="863"/>
      <c r="S11" s="863"/>
      <c r="T11" s="863"/>
      <c r="U11" s="863"/>
      <c r="V11" s="863"/>
      <c r="W11" s="863"/>
    </row>
    <row r="12" spans="1:28" ht="15" customHeight="1">
      <c r="A12" s="863"/>
      <c r="B12" s="863"/>
      <c r="C12" s="863"/>
      <c r="D12" s="863"/>
      <c r="E12" s="863"/>
      <c r="F12" s="867"/>
      <c r="G12" s="867"/>
      <c r="H12" s="863"/>
      <c r="I12" s="863"/>
      <c r="J12" s="863"/>
      <c r="K12" s="863"/>
      <c r="L12" s="863"/>
      <c r="M12" s="863"/>
      <c r="N12" s="863"/>
      <c r="O12" s="863"/>
      <c r="P12" s="863"/>
      <c r="Q12" s="863"/>
      <c r="R12" s="863"/>
      <c r="S12" s="863"/>
      <c r="T12" s="863"/>
      <c r="U12" s="863"/>
      <c r="V12" s="863"/>
      <c r="W12" s="863"/>
      <c r="AB12" s="847"/>
    </row>
    <row r="13" spans="1:28" ht="15" customHeight="1">
      <c r="A13" s="863"/>
      <c r="B13" s="863"/>
      <c r="C13" s="863"/>
      <c r="D13" s="863"/>
      <c r="E13" s="863"/>
      <c r="F13" s="867"/>
      <c r="G13" s="867"/>
      <c r="H13" s="863"/>
      <c r="I13" s="863"/>
      <c r="J13" s="863"/>
      <c r="K13" s="863"/>
      <c r="L13" s="863"/>
      <c r="M13" s="863"/>
      <c r="N13" s="863"/>
      <c r="O13" s="863"/>
      <c r="P13" s="863"/>
      <c r="Q13" s="863"/>
      <c r="R13" s="863"/>
      <c r="S13" s="863"/>
      <c r="T13" s="863"/>
      <c r="U13" s="863"/>
      <c r="V13" s="863"/>
      <c r="W13" s="863"/>
    </row>
    <row r="14" spans="1:28">
      <c r="A14" s="863"/>
      <c r="B14" s="863"/>
      <c r="C14" s="863"/>
      <c r="D14" s="863"/>
      <c r="E14" s="863"/>
      <c r="F14" s="867"/>
      <c r="G14" s="867"/>
      <c r="H14" s="863"/>
      <c r="I14" s="863"/>
      <c r="J14" s="863"/>
      <c r="K14" s="863"/>
      <c r="L14" s="863"/>
      <c r="M14" s="863"/>
      <c r="N14" s="863"/>
      <c r="O14" s="863"/>
      <c r="P14" s="863"/>
      <c r="Q14" s="863"/>
      <c r="R14" s="863"/>
      <c r="S14" s="863"/>
      <c r="T14" s="863"/>
      <c r="U14" s="863"/>
      <c r="V14" s="863"/>
      <c r="W14" s="863"/>
    </row>
    <row r="15" spans="1:28">
      <c r="A15" s="863"/>
      <c r="B15" s="863"/>
      <c r="C15" s="863"/>
      <c r="D15" s="863"/>
      <c r="E15" s="863"/>
      <c r="F15" s="863"/>
      <c r="G15" s="863"/>
      <c r="H15" s="863"/>
      <c r="I15" s="863"/>
      <c r="J15" s="863"/>
      <c r="K15" s="863"/>
      <c r="L15" s="863"/>
      <c r="M15" s="863"/>
      <c r="N15" s="863"/>
      <c r="O15" s="863"/>
      <c r="P15" s="863"/>
      <c r="Q15" s="863"/>
      <c r="R15" s="863"/>
      <c r="S15" s="863"/>
      <c r="T15" s="863"/>
      <c r="U15" s="863"/>
      <c r="V15" s="863"/>
      <c r="W15" s="863"/>
    </row>
    <row r="16" spans="1:28">
      <c r="A16" s="863"/>
      <c r="B16" s="863"/>
      <c r="C16" s="863"/>
      <c r="D16" s="863"/>
      <c r="E16" s="863"/>
      <c r="F16" s="863"/>
      <c r="G16" s="863"/>
      <c r="H16" s="863"/>
      <c r="I16" s="863"/>
      <c r="J16" s="863"/>
      <c r="K16" s="863"/>
      <c r="L16" s="863"/>
      <c r="M16" s="863"/>
      <c r="N16" s="863"/>
      <c r="O16" s="863"/>
      <c r="P16" s="863"/>
      <c r="Q16" s="863"/>
      <c r="R16" s="863"/>
      <c r="S16" s="863"/>
      <c r="T16" s="863"/>
      <c r="U16" s="863"/>
      <c r="V16" s="863"/>
      <c r="W16" s="863"/>
    </row>
    <row r="17" spans="1:25">
      <c r="A17" s="863"/>
      <c r="B17" s="863"/>
      <c r="C17" s="863"/>
      <c r="D17" s="863"/>
      <c r="E17" s="863"/>
      <c r="F17" s="863"/>
      <c r="G17" s="863"/>
      <c r="H17" s="863"/>
      <c r="I17" s="863"/>
      <c r="J17" s="863"/>
      <c r="K17" s="863"/>
      <c r="L17" s="863"/>
      <c r="M17" s="863"/>
      <c r="N17" s="863"/>
      <c r="O17" s="863"/>
      <c r="P17" s="863"/>
      <c r="Q17" s="863"/>
      <c r="R17" s="863"/>
      <c r="S17" s="863"/>
      <c r="T17" s="863"/>
      <c r="U17" s="863"/>
      <c r="V17" s="863"/>
      <c r="W17" s="863"/>
    </row>
    <row r="18" spans="1:25">
      <c r="A18" s="863"/>
      <c r="B18" s="863"/>
      <c r="C18" s="863"/>
      <c r="D18" s="863"/>
      <c r="E18" s="863"/>
      <c r="F18" s="863"/>
      <c r="G18" s="863"/>
      <c r="H18" s="863"/>
      <c r="I18" s="863"/>
      <c r="J18" s="863"/>
      <c r="K18" s="863"/>
      <c r="L18" s="863"/>
      <c r="M18" s="863"/>
      <c r="N18" s="863"/>
      <c r="O18" s="863"/>
      <c r="P18" s="863"/>
      <c r="Q18" s="863"/>
      <c r="R18" s="863"/>
      <c r="S18" s="863"/>
      <c r="T18" s="863"/>
      <c r="U18" s="863"/>
      <c r="V18" s="863"/>
      <c r="W18" s="863"/>
    </row>
    <row r="19" spans="1:25">
      <c r="A19" s="863"/>
      <c r="B19" s="863"/>
      <c r="C19" s="863"/>
      <c r="D19" s="863"/>
      <c r="E19" s="863"/>
      <c r="F19" s="863"/>
      <c r="G19" s="863"/>
      <c r="H19" s="863"/>
      <c r="I19" s="863"/>
      <c r="J19" s="863"/>
      <c r="K19" s="863"/>
      <c r="L19" s="863"/>
      <c r="M19" s="863"/>
      <c r="N19" s="863"/>
      <c r="O19" s="863"/>
      <c r="P19" s="863"/>
      <c r="Q19" s="863"/>
      <c r="R19" s="863"/>
      <c r="S19" s="863"/>
      <c r="T19" s="863"/>
      <c r="U19" s="863"/>
      <c r="V19" s="863"/>
      <c r="W19" s="863"/>
    </row>
    <row r="20" spans="1:25">
      <c r="A20" s="863"/>
      <c r="B20" s="863"/>
      <c r="C20" s="863"/>
      <c r="D20" s="863"/>
      <c r="E20" s="863"/>
      <c r="F20" s="863"/>
      <c r="G20" s="863"/>
      <c r="H20" s="863"/>
      <c r="I20" s="863"/>
      <c r="J20" s="863"/>
      <c r="K20" s="863"/>
      <c r="L20" s="863"/>
      <c r="M20" s="863"/>
      <c r="N20" s="863"/>
      <c r="O20" s="863"/>
      <c r="P20" s="863"/>
      <c r="Q20" s="863"/>
      <c r="R20" s="863"/>
      <c r="S20" s="863"/>
      <c r="T20" s="863"/>
      <c r="U20" s="863"/>
      <c r="V20" s="863"/>
      <c r="W20" s="863"/>
    </row>
    <row r="21" spans="1:25">
      <c r="A21" s="863"/>
      <c r="B21" s="863"/>
      <c r="C21" s="863"/>
      <c r="D21" s="863"/>
      <c r="E21" s="863"/>
      <c r="F21" s="863"/>
      <c r="G21" s="863"/>
      <c r="H21" s="863"/>
      <c r="I21" s="863"/>
      <c r="J21" s="863"/>
      <c r="K21" s="863"/>
      <c r="L21" s="863"/>
      <c r="M21" s="863"/>
      <c r="N21" s="863"/>
      <c r="O21" s="863"/>
      <c r="P21" s="863"/>
      <c r="Q21" s="863"/>
      <c r="R21" s="863"/>
      <c r="S21" s="863"/>
      <c r="T21" s="863"/>
      <c r="U21" s="863"/>
      <c r="V21" s="863"/>
      <c r="W21" s="863"/>
    </row>
    <row r="22" spans="1:25">
      <c r="A22" s="863"/>
      <c r="B22" s="863"/>
      <c r="C22" s="863"/>
      <c r="D22" s="863"/>
      <c r="E22" s="863"/>
      <c r="F22" s="863"/>
      <c r="G22" s="863"/>
      <c r="H22" s="863"/>
      <c r="I22" s="863"/>
      <c r="J22" s="863"/>
      <c r="K22" s="863"/>
      <c r="L22" s="863"/>
      <c r="M22" s="863"/>
      <c r="N22" s="863"/>
      <c r="O22" s="863"/>
      <c r="P22" s="863"/>
      <c r="Q22" s="863"/>
      <c r="R22" s="863"/>
      <c r="S22" s="863"/>
      <c r="T22" s="863"/>
      <c r="U22" s="863"/>
      <c r="V22" s="863"/>
      <c r="W22" s="863"/>
    </row>
    <row r="23" spans="1:25">
      <c r="A23" s="863"/>
      <c r="B23" s="863"/>
      <c r="C23" s="863"/>
      <c r="D23" s="863"/>
      <c r="E23" s="863"/>
      <c r="F23" s="863"/>
      <c r="G23" s="863"/>
      <c r="H23" s="863"/>
      <c r="I23" s="863"/>
      <c r="J23" s="863"/>
      <c r="K23" s="863"/>
      <c r="L23" s="863"/>
      <c r="M23" s="863"/>
      <c r="N23" s="863"/>
      <c r="O23" s="863"/>
      <c r="P23" s="863"/>
      <c r="Q23" s="863"/>
      <c r="R23" s="863"/>
      <c r="S23" s="863"/>
      <c r="T23" s="863"/>
      <c r="U23" s="863"/>
      <c r="V23" s="863"/>
      <c r="W23" s="863"/>
    </row>
    <row r="24" spans="1:25">
      <c r="A24" s="863"/>
      <c r="B24" s="863"/>
      <c r="C24" s="863"/>
      <c r="D24" s="863"/>
      <c r="E24" s="863"/>
      <c r="F24" s="863"/>
      <c r="G24" s="863"/>
      <c r="H24" s="863"/>
      <c r="I24" s="863"/>
      <c r="J24" s="863"/>
      <c r="K24" s="863"/>
      <c r="L24" s="863"/>
      <c r="M24" s="863"/>
      <c r="N24" s="863"/>
      <c r="O24" s="863"/>
      <c r="P24" s="863"/>
      <c r="Q24" s="863"/>
      <c r="R24" s="863"/>
      <c r="S24" s="863"/>
      <c r="T24" s="863"/>
      <c r="U24" s="863"/>
      <c r="V24" s="863"/>
      <c r="W24" s="863"/>
    </row>
    <row r="25" spans="1:25">
      <c r="A25" s="863"/>
      <c r="B25" s="863"/>
      <c r="C25" s="863"/>
      <c r="D25" s="863"/>
      <c r="E25" s="863"/>
      <c r="F25" s="863"/>
      <c r="G25" s="863"/>
      <c r="H25" s="863"/>
      <c r="I25" s="863"/>
      <c r="J25" s="863"/>
      <c r="K25" s="863"/>
      <c r="L25" s="863"/>
      <c r="M25" s="863"/>
      <c r="N25" s="863"/>
      <c r="O25" s="863"/>
      <c r="P25" s="863"/>
      <c r="Q25" s="863"/>
      <c r="R25" s="863"/>
      <c r="S25" s="863"/>
      <c r="T25" s="863"/>
      <c r="U25" s="863"/>
      <c r="V25" s="863"/>
      <c r="W25" s="863"/>
    </row>
    <row r="26" spans="1:25">
      <c r="A26" s="863"/>
      <c r="B26" s="863"/>
      <c r="C26" s="863"/>
      <c r="D26" s="863"/>
      <c r="E26" s="863"/>
      <c r="F26" s="863"/>
      <c r="G26" s="863"/>
      <c r="H26" s="863"/>
      <c r="I26" s="863"/>
      <c r="J26" s="863"/>
      <c r="K26" s="863"/>
      <c r="L26" s="863"/>
      <c r="M26" s="863"/>
      <c r="N26" s="863"/>
      <c r="O26" s="863"/>
      <c r="P26" s="863"/>
      <c r="Q26" s="863"/>
      <c r="R26" s="863"/>
      <c r="S26" s="863"/>
      <c r="T26" s="863"/>
      <c r="U26" s="863"/>
      <c r="V26" s="863"/>
      <c r="W26" s="863"/>
    </row>
    <row r="27" spans="1:25">
      <c r="A27" s="863"/>
      <c r="B27" s="863"/>
      <c r="C27" s="863"/>
      <c r="D27" s="863"/>
      <c r="E27" s="863"/>
      <c r="F27" s="863"/>
      <c r="G27" s="863"/>
      <c r="H27" s="863"/>
      <c r="I27" s="863"/>
      <c r="J27" s="863"/>
      <c r="K27" s="863"/>
      <c r="L27" s="863"/>
      <c r="M27" s="863"/>
      <c r="N27" s="863"/>
      <c r="O27" s="863"/>
      <c r="P27" s="863"/>
      <c r="Q27" s="863"/>
      <c r="R27" s="863"/>
      <c r="S27" s="863"/>
      <c r="T27" s="863"/>
      <c r="U27" s="863"/>
      <c r="V27" s="863"/>
      <c r="W27" s="863"/>
    </row>
    <row r="28" spans="1:25">
      <c r="A28" s="863"/>
      <c r="B28" s="863"/>
      <c r="C28" s="863"/>
      <c r="D28" s="863"/>
      <c r="E28" s="863"/>
      <c r="F28" s="863"/>
      <c r="G28" s="863"/>
      <c r="H28" s="863"/>
      <c r="I28" s="863"/>
      <c r="J28" s="863"/>
      <c r="K28" s="863"/>
      <c r="L28" s="863"/>
      <c r="M28" s="863"/>
      <c r="N28" s="863"/>
      <c r="O28" s="863"/>
      <c r="P28" s="863"/>
      <c r="Q28" s="863"/>
      <c r="R28" s="863"/>
      <c r="S28" s="863"/>
      <c r="T28" s="863"/>
      <c r="U28" s="863"/>
      <c r="V28" s="863"/>
      <c r="W28" s="863"/>
    </row>
    <row r="29" spans="1:25">
      <c r="A29" s="863"/>
      <c r="B29" s="863"/>
      <c r="C29" s="863"/>
      <c r="D29" s="863"/>
      <c r="E29" s="863"/>
      <c r="F29" s="863"/>
      <c r="G29" s="863"/>
      <c r="H29" s="863"/>
      <c r="I29" s="863"/>
      <c r="J29" s="863"/>
      <c r="K29" s="863"/>
      <c r="L29" s="863"/>
      <c r="M29" s="863"/>
      <c r="N29" s="863"/>
      <c r="O29" s="863"/>
      <c r="P29" s="863"/>
      <c r="Q29" s="863"/>
      <c r="R29" s="863"/>
      <c r="S29" s="863"/>
      <c r="T29" s="863"/>
      <c r="U29" s="863"/>
      <c r="V29" s="863"/>
      <c r="W29" s="863"/>
    </row>
    <row r="30" spans="1:25">
      <c r="A30" s="876"/>
      <c r="B30" s="876"/>
      <c r="C30" s="876"/>
      <c r="D30" s="876"/>
      <c r="E30" s="876"/>
      <c r="F30" s="876"/>
      <c r="G30" s="876"/>
      <c r="H30" s="863"/>
      <c r="I30" s="876"/>
      <c r="J30" s="876"/>
      <c r="K30" s="876"/>
      <c r="L30" s="876"/>
      <c r="M30" s="876"/>
      <c r="N30" s="876"/>
      <c r="O30" s="876"/>
      <c r="P30" s="863"/>
      <c r="Q30" s="876"/>
      <c r="R30" s="876"/>
      <c r="S30" s="876"/>
      <c r="T30" s="876"/>
      <c r="U30" s="876"/>
      <c r="V30" s="876"/>
      <c r="W30" s="876"/>
    </row>
    <row r="31" spans="1:25">
      <c r="A31" s="876"/>
      <c r="B31" s="876"/>
      <c r="C31" s="876"/>
      <c r="D31" s="876"/>
      <c r="E31" s="876"/>
      <c r="F31" s="876"/>
      <c r="G31" s="876"/>
      <c r="H31" s="863"/>
      <c r="I31" s="876"/>
      <c r="J31" s="876"/>
      <c r="K31" s="876"/>
      <c r="L31" s="876"/>
      <c r="M31" s="876"/>
      <c r="N31" s="876"/>
      <c r="O31" s="876"/>
      <c r="P31" s="863"/>
      <c r="Q31" s="876"/>
      <c r="R31" s="876"/>
      <c r="S31" s="876"/>
      <c r="T31" s="876"/>
      <c r="U31" s="876"/>
      <c r="V31" s="876"/>
      <c r="W31" s="876"/>
    </row>
    <row r="32" spans="1:25">
      <c r="A32" s="876"/>
      <c r="B32" s="876"/>
      <c r="C32" s="876"/>
      <c r="D32" s="876"/>
      <c r="E32" s="876"/>
      <c r="F32" s="876"/>
      <c r="G32" s="876"/>
      <c r="H32" s="863"/>
      <c r="I32" s="876"/>
      <c r="J32" s="876"/>
      <c r="K32" s="876"/>
      <c r="L32" s="876"/>
      <c r="M32" s="876"/>
      <c r="N32" s="876"/>
      <c r="O32" s="876"/>
      <c r="P32" s="868"/>
      <c r="Q32" s="868"/>
      <c r="R32" s="868"/>
      <c r="S32" s="868"/>
      <c r="T32" s="868"/>
      <c r="U32" s="868"/>
      <c r="V32" s="868"/>
      <c r="W32" s="868"/>
      <c r="X32" s="842"/>
      <c r="Y32" s="842"/>
    </row>
    <row r="33" spans="1:25">
      <c r="A33" s="863"/>
      <c r="B33" s="863"/>
      <c r="C33" s="863"/>
      <c r="D33" s="863"/>
      <c r="E33" s="863"/>
      <c r="F33" s="863"/>
      <c r="G33" s="863"/>
      <c r="H33" s="863"/>
      <c r="I33" s="863"/>
      <c r="J33" s="863"/>
      <c r="K33" s="863"/>
      <c r="L33" s="863"/>
      <c r="M33" s="863"/>
      <c r="N33" s="863"/>
      <c r="O33" s="863"/>
      <c r="P33" s="869"/>
      <c r="Q33" s="869"/>
      <c r="R33" s="869"/>
      <c r="S33" s="869"/>
      <c r="T33" s="869"/>
      <c r="U33" s="869"/>
      <c r="V33" s="863"/>
      <c r="W33" s="870"/>
      <c r="X33" s="843"/>
      <c r="Y33" s="843"/>
    </row>
    <row r="34" spans="1:25">
      <c r="A34" s="863"/>
      <c r="B34" s="863"/>
      <c r="C34" s="863"/>
      <c r="D34" s="863"/>
      <c r="E34" s="863"/>
      <c r="F34" s="863"/>
      <c r="G34" s="863"/>
      <c r="H34" s="863"/>
      <c r="I34" s="863"/>
      <c r="J34" s="863"/>
      <c r="K34" s="863"/>
      <c r="L34" s="863"/>
      <c r="M34" s="863"/>
      <c r="N34" s="863"/>
      <c r="O34" s="863"/>
      <c r="P34" s="863"/>
      <c r="Q34" s="863"/>
      <c r="R34" s="863"/>
      <c r="S34" s="863"/>
      <c r="T34" s="863"/>
      <c r="U34" s="863"/>
      <c r="V34" s="863"/>
      <c r="W34" s="863"/>
    </row>
    <row r="35" spans="1:25">
      <c r="A35" s="863"/>
      <c r="B35" s="863"/>
      <c r="C35" s="863"/>
      <c r="D35" s="863"/>
      <c r="E35" s="863"/>
      <c r="F35" s="863"/>
      <c r="G35" s="863"/>
      <c r="H35" s="879"/>
      <c r="I35" s="863"/>
      <c r="J35" s="863"/>
      <c r="K35" s="863"/>
      <c r="L35" s="863"/>
      <c r="M35" s="863"/>
      <c r="N35" s="863"/>
      <c r="O35" s="863"/>
      <c r="P35" s="871"/>
      <c r="Q35" s="863"/>
      <c r="R35" s="863"/>
      <c r="S35" s="863"/>
      <c r="T35" s="863"/>
      <c r="U35" s="863"/>
      <c r="V35" s="863"/>
      <c r="W35" s="863"/>
    </row>
    <row r="36" spans="1:25">
      <c r="A36" s="863"/>
      <c r="B36" s="863"/>
      <c r="C36" s="863"/>
      <c r="D36" s="863"/>
      <c r="E36" s="863"/>
      <c r="F36" s="863"/>
      <c r="G36" s="863"/>
      <c r="H36" s="863"/>
      <c r="I36" s="863"/>
      <c r="J36" s="863"/>
      <c r="K36" s="863"/>
      <c r="L36" s="863"/>
      <c r="M36" s="863"/>
      <c r="N36" s="863"/>
      <c r="O36" s="863"/>
      <c r="P36" s="870"/>
      <c r="Q36" s="863"/>
      <c r="R36" s="863"/>
      <c r="S36" s="863"/>
      <c r="T36" s="863"/>
      <c r="U36" s="863"/>
      <c r="V36" s="863"/>
      <c r="W36" s="863"/>
    </row>
    <row r="37" spans="1:25">
      <c r="A37" s="863"/>
      <c r="B37" s="863"/>
      <c r="C37" s="863"/>
      <c r="D37" s="863"/>
      <c r="E37" s="863"/>
      <c r="F37" s="863"/>
      <c r="G37" s="863"/>
      <c r="H37" s="863"/>
      <c r="I37" s="863"/>
      <c r="J37" s="863"/>
      <c r="K37" s="863"/>
      <c r="L37" s="863"/>
      <c r="M37" s="863"/>
      <c r="N37" s="863"/>
      <c r="O37" s="863"/>
      <c r="P37" s="870"/>
      <c r="Q37" s="863"/>
      <c r="R37" s="863"/>
      <c r="S37" s="863"/>
      <c r="T37" s="863"/>
      <c r="U37" s="863"/>
      <c r="V37" s="863"/>
      <c r="W37" s="863"/>
    </row>
    <row r="38" spans="1:25">
      <c r="A38" s="863"/>
      <c r="B38" s="863"/>
      <c r="C38" s="863"/>
      <c r="D38" s="863"/>
      <c r="E38" s="863"/>
      <c r="F38" s="863"/>
      <c r="G38" s="863"/>
      <c r="H38" s="863"/>
      <c r="I38" s="863"/>
      <c r="J38" s="863"/>
      <c r="K38" s="863"/>
      <c r="L38" s="863"/>
      <c r="M38" s="863"/>
      <c r="N38" s="863"/>
      <c r="O38" s="863"/>
      <c r="P38" s="870"/>
      <c r="Q38" s="863"/>
      <c r="R38" s="863"/>
      <c r="S38" s="863"/>
      <c r="T38" s="863"/>
      <c r="U38" s="863"/>
      <c r="V38" s="863"/>
      <c r="W38" s="863"/>
    </row>
    <row r="39" spans="1:25">
      <c r="A39" s="863"/>
      <c r="B39" s="863"/>
      <c r="C39" s="863"/>
      <c r="D39" s="863"/>
      <c r="E39" s="863"/>
      <c r="F39" s="863"/>
      <c r="G39" s="863"/>
      <c r="H39" s="872"/>
      <c r="I39" s="863"/>
      <c r="J39" s="871"/>
      <c r="K39" s="863"/>
      <c r="L39" s="863"/>
      <c r="M39" s="870"/>
      <c r="N39" s="870"/>
      <c r="O39" s="870"/>
      <c r="P39" s="870"/>
      <c r="Q39" s="863"/>
      <c r="R39" s="863"/>
      <c r="S39" s="863"/>
      <c r="T39" s="863"/>
      <c r="U39" s="863"/>
      <c r="V39" s="863"/>
      <c r="W39" s="863"/>
    </row>
    <row r="40" spans="1:25">
      <c r="A40" s="863"/>
      <c r="B40" s="863"/>
      <c r="C40" s="863"/>
      <c r="D40" s="863"/>
      <c r="E40" s="863"/>
      <c r="F40" s="863"/>
      <c r="G40" s="863"/>
      <c r="H40" s="872"/>
      <c r="I40" s="863"/>
      <c r="J40" s="871"/>
      <c r="K40" s="863"/>
      <c r="L40" s="863"/>
      <c r="M40" s="870"/>
      <c r="N40" s="870"/>
      <c r="O40" s="870"/>
      <c r="P40" s="870"/>
      <c r="Q40" s="863"/>
      <c r="R40" s="863"/>
      <c r="S40" s="863"/>
      <c r="T40" s="863"/>
      <c r="U40" s="863"/>
      <c r="V40" s="863"/>
      <c r="W40" s="863"/>
    </row>
    <row r="41" spans="1:25">
      <c r="A41" s="863"/>
      <c r="B41" s="863"/>
      <c r="C41" s="863"/>
      <c r="D41" s="863"/>
      <c r="E41" s="863"/>
      <c r="F41" s="863"/>
      <c r="G41" s="863"/>
      <c r="H41" s="863"/>
      <c r="I41" s="863"/>
      <c r="J41" s="871"/>
      <c r="K41" s="863"/>
      <c r="L41" s="863"/>
      <c r="M41" s="873"/>
      <c r="N41" s="872"/>
      <c r="O41" s="870"/>
      <c r="P41" s="870"/>
      <c r="Q41" s="863"/>
      <c r="R41" s="863"/>
      <c r="S41" s="863"/>
      <c r="T41" s="863"/>
      <c r="U41" s="863"/>
      <c r="V41" s="863"/>
      <c r="W41" s="863"/>
    </row>
    <row r="42" spans="1:25">
      <c r="A42" s="863"/>
      <c r="B42" s="863"/>
      <c r="C42" s="863"/>
      <c r="D42" s="863"/>
      <c r="E42" s="863"/>
      <c r="F42" s="863"/>
      <c r="G42" s="863"/>
      <c r="H42" s="872"/>
      <c r="I42" s="863"/>
      <c r="J42" s="871"/>
      <c r="K42" s="863"/>
      <c r="L42" s="863"/>
      <c r="M42" s="870"/>
      <c r="N42" s="870"/>
      <c r="O42" s="870"/>
      <c r="P42" s="870"/>
      <c r="Q42" s="863"/>
      <c r="R42" s="863"/>
      <c r="S42" s="863"/>
      <c r="T42" s="863"/>
      <c r="U42" s="863"/>
      <c r="V42" s="863"/>
      <c r="W42" s="863"/>
    </row>
    <row r="43" spans="1:25">
      <c r="A43" s="863"/>
      <c r="B43" s="863"/>
      <c r="C43" s="863"/>
      <c r="D43" s="863"/>
      <c r="E43" s="863"/>
      <c r="F43" s="863"/>
      <c r="G43" s="863"/>
      <c r="H43" s="871"/>
      <c r="I43" s="871"/>
      <c r="J43" s="871"/>
      <c r="K43" s="863"/>
      <c r="L43" s="870"/>
      <c r="M43" s="870"/>
      <c r="N43" s="870"/>
      <c r="O43" s="870"/>
      <c r="P43" s="870"/>
      <c r="Q43" s="863"/>
      <c r="R43" s="863"/>
      <c r="S43" s="863"/>
      <c r="T43" s="863"/>
      <c r="U43" s="863"/>
      <c r="V43" s="863"/>
      <c r="W43" s="863"/>
    </row>
    <row r="44" spans="1:25">
      <c r="A44" s="863"/>
      <c r="B44" s="863"/>
      <c r="C44" s="863"/>
      <c r="D44" s="863"/>
      <c r="E44" s="863"/>
      <c r="F44" s="863"/>
      <c r="G44" s="870"/>
      <c r="H44" s="870"/>
      <c r="I44" s="870"/>
      <c r="J44" s="870"/>
      <c r="K44" s="870"/>
      <c r="L44" s="870"/>
      <c r="M44" s="870"/>
      <c r="N44" s="870"/>
      <c r="O44" s="870"/>
      <c r="P44" s="870"/>
      <c r="Q44" s="863"/>
      <c r="R44" s="863"/>
      <c r="S44" s="863"/>
      <c r="T44" s="863"/>
      <c r="U44" s="863"/>
      <c r="V44" s="863"/>
      <c r="W44" s="863"/>
    </row>
    <row r="45" spans="1:25">
      <c r="A45" s="863"/>
      <c r="B45" s="863"/>
      <c r="C45" s="863"/>
      <c r="D45" s="863"/>
      <c r="E45" s="863"/>
      <c r="F45" s="863"/>
      <c r="G45" s="870"/>
      <c r="H45" s="870"/>
      <c r="I45" s="870"/>
      <c r="J45" s="870"/>
      <c r="K45" s="870"/>
      <c r="L45" s="870"/>
      <c r="M45" s="870"/>
      <c r="N45" s="870"/>
      <c r="O45" s="870"/>
      <c r="P45" s="870"/>
      <c r="Q45" s="863"/>
      <c r="R45" s="863"/>
      <c r="S45" s="863"/>
      <c r="T45" s="863"/>
      <c r="U45" s="863"/>
      <c r="V45" s="863"/>
      <c r="W45" s="863"/>
    </row>
    <row r="46" spans="1:25">
      <c r="A46" s="863"/>
      <c r="B46" s="863"/>
      <c r="C46" s="863"/>
      <c r="D46" s="863"/>
      <c r="E46" s="863"/>
      <c r="F46" s="863"/>
      <c r="G46" s="870"/>
      <c r="H46" s="870"/>
      <c r="I46" s="870"/>
      <c r="J46" s="870"/>
      <c r="K46" s="870"/>
      <c r="L46" s="870"/>
      <c r="M46" s="870"/>
      <c r="N46" s="870"/>
      <c r="O46" s="870"/>
      <c r="P46" s="870"/>
      <c r="Q46" s="863"/>
      <c r="R46" s="863"/>
      <c r="S46" s="863"/>
      <c r="T46" s="863"/>
      <c r="U46" s="863"/>
      <c r="V46" s="863"/>
      <c r="W46" s="863"/>
    </row>
    <row r="47" spans="1:25">
      <c r="A47" s="863"/>
      <c r="B47" s="863"/>
      <c r="C47" s="863"/>
      <c r="D47" s="863"/>
      <c r="E47" s="863"/>
      <c r="F47" s="863"/>
      <c r="G47" s="870"/>
      <c r="H47" s="870"/>
      <c r="I47" s="870"/>
      <c r="J47" s="870"/>
      <c r="K47" s="870"/>
      <c r="L47" s="870"/>
      <c r="M47" s="870"/>
      <c r="N47" s="870"/>
      <c r="O47" s="870"/>
      <c r="P47" s="870"/>
      <c r="Q47" s="863"/>
      <c r="R47" s="863"/>
      <c r="S47" s="863"/>
      <c r="T47" s="863"/>
      <c r="U47" s="863"/>
      <c r="V47" s="863"/>
      <c r="W47" s="863"/>
    </row>
    <row r="48" spans="1:25">
      <c r="A48" s="863"/>
      <c r="B48" s="863"/>
      <c r="C48" s="863"/>
      <c r="D48" s="863"/>
      <c r="E48" s="863"/>
      <c r="F48" s="863"/>
      <c r="G48" s="870"/>
      <c r="H48" s="870"/>
      <c r="I48" s="870"/>
      <c r="J48" s="870"/>
      <c r="K48" s="870"/>
      <c r="L48" s="870"/>
      <c r="M48" s="870"/>
      <c r="N48" s="870"/>
      <c r="O48" s="870"/>
      <c r="P48" s="870"/>
      <c r="Q48" s="863"/>
      <c r="R48" s="863"/>
      <c r="S48" s="863"/>
      <c r="T48" s="863"/>
      <c r="U48" s="863"/>
      <c r="V48" s="863"/>
      <c r="W48" s="863"/>
    </row>
    <row r="49" spans="1:25">
      <c r="A49" s="863"/>
      <c r="B49" s="863"/>
      <c r="C49" s="863"/>
      <c r="D49" s="863"/>
      <c r="E49" s="863"/>
      <c r="F49" s="863"/>
      <c r="G49" s="870"/>
      <c r="H49" s="870"/>
      <c r="I49" s="870"/>
      <c r="J49" s="870"/>
      <c r="K49" s="870"/>
      <c r="L49" s="870"/>
      <c r="M49" s="874"/>
      <c r="N49" s="870"/>
      <c r="O49" s="870"/>
      <c r="P49" s="875"/>
      <c r="Q49" s="875"/>
      <c r="R49" s="863"/>
      <c r="S49" s="863"/>
      <c r="T49" s="863"/>
      <c r="U49" s="863"/>
      <c r="V49" s="863"/>
      <c r="W49" s="863"/>
    </row>
    <row r="50" spans="1:25">
      <c r="A50" s="863"/>
      <c r="B50" s="863"/>
      <c r="C50" s="863"/>
      <c r="D50" s="863"/>
      <c r="E50" s="863"/>
      <c r="F50" s="863"/>
      <c r="G50" s="870"/>
      <c r="H50" s="870"/>
      <c r="I50" s="870"/>
      <c r="J50" s="870"/>
      <c r="K50" s="870"/>
      <c r="L50" s="870"/>
      <c r="M50" s="870"/>
      <c r="N50" s="870"/>
      <c r="O50" s="870"/>
      <c r="P50" s="870"/>
      <c r="Q50" s="863"/>
      <c r="R50" s="863"/>
      <c r="S50" s="863"/>
      <c r="T50" s="863"/>
      <c r="U50" s="863"/>
      <c r="V50" s="863"/>
      <c r="W50" s="863"/>
    </row>
    <row r="51" spans="1:25">
      <c r="A51" s="863"/>
      <c r="B51" s="863"/>
      <c r="C51" s="863"/>
      <c r="D51" s="863"/>
      <c r="E51" s="863"/>
      <c r="F51" s="863"/>
      <c r="G51" s="870"/>
      <c r="H51" s="870"/>
      <c r="I51" s="870"/>
      <c r="J51" s="870"/>
      <c r="K51" s="870"/>
      <c r="L51" s="870"/>
      <c r="M51" s="870"/>
      <c r="N51" s="870"/>
      <c r="O51" s="870"/>
      <c r="P51" s="870"/>
      <c r="Q51" s="863"/>
      <c r="R51" s="863"/>
      <c r="S51" s="863"/>
      <c r="T51" s="863"/>
      <c r="U51" s="863"/>
      <c r="V51" s="863"/>
      <c r="W51" s="863"/>
    </row>
    <row r="52" spans="1:25">
      <c r="A52" s="863"/>
      <c r="B52" s="863"/>
      <c r="C52" s="863"/>
      <c r="D52" s="863"/>
      <c r="E52" s="863"/>
      <c r="F52" s="863"/>
      <c r="G52" s="870"/>
      <c r="H52" s="870"/>
      <c r="I52" s="870"/>
      <c r="J52" s="870"/>
      <c r="K52" s="870"/>
      <c r="L52" s="870"/>
      <c r="M52" s="870"/>
      <c r="N52" s="870"/>
      <c r="O52" s="870"/>
      <c r="P52" s="870"/>
      <c r="Q52" s="863"/>
      <c r="R52" s="863"/>
      <c r="S52" s="863"/>
      <c r="T52" s="863"/>
      <c r="U52" s="863"/>
      <c r="V52" s="863"/>
      <c r="W52" s="863"/>
    </row>
    <row r="53" spans="1:25">
      <c r="A53" s="863"/>
      <c r="B53" s="863"/>
      <c r="C53" s="863"/>
      <c r="D53" s="863"/>
      <c r="E53" s="863"/>
      <c r="F53" s="863"/>
      <c r="G53" s="870"/>
      <c r="H53" s="870"/>
      <c r="I53" s="870"/>
      <c r="J53" s="870"/>
      <c r="K53" s="870"/>
      <c r="L53" s="876"/>
      <c r="M53" s="876"/>
      <c r="N53" s="876"/>
      <c r="O53" s="876"/>
      <c r="P53" s="870"/>
      <c r="Q53" s="870"/>
      <c r="R53" s="870"/>
      <c r="S53" s="870"/>
      <c r="T53" s="870"/>
      <c r="U53" s="870"/>
      <c r="V53" s="870"/>
      <c r="W53" s="870"/>
      <c r="X53" s="843"/>
      <c r="Y53" s="843"/>
    </row>
    <row r="54" spans="1:25">
      <c r="A54" s="863"/>
      <c r="B54" s="863"/>
      <c r="C54" s="863"/>
      <c r="D54" s="863"/>
      <c r="E54" s="863"/>
      <c r="F54" s="863"/>
      <c r="G54" s="870"/>
      <c r="H54" s="870"/>
      <c r="I54" s="870"/>
      <c r="J54" s="870"/>
      <c r="K54" s="870"/>
      <c r="L54" s="870"/>
      <c r="M54" s="870"/>
      <c r="N54" s="870"/>
      <c r="O54" s="870"/>
      <c r="P54" s="870"/>
      <c r="Q54" s="870"/>
      <c r="R54" s="870"/>
      <c r="S54" s="870"/>
      <c r="T54" s="870"/>
      <c r="U54" s="870"/>
      <c r="V54" s="870"/>
      <c r="W54" s="870"/>
      <c r="X54" s="843"/>
      <c r="Y54" s="843"/>
    </row>
    <row r="55" spans="1:25">
      <c r="A55" s="863"/>
      <c r="B55" s="863"/>
      <c r="C55" s="863"/>
      <c r="D55" s="863"/>
      <c r="E55" s="863"/>
      <c r="F55" s="863"/>
      <c r="G55" s="870"/>
      <c r="H55" s="870"/>
      <c r="I55" s="870"/>
      <c r="J55" s="870"/>
      <c r="K55" s="870"/>
      <c r="L55" s="870"/>
      <c r="M55" s="870"/>
      <c r="N55" s="870"/>
      <c r="O55" s="870"/>
      <c r="P55" s="863"/>
      <c r="Q55" s="863"/>
      <c r="R55" s="863"/>
      <c r="S55" s="863"/>
      <c r="T55" s="863"/>
      <c r="U55" s="863"/>
      <c r="V55" s="863"/>
      <c r="W55" s="863"/>
    </row>
    <row r="56" spans="1:25">
      <c r="A56" s="863"/>
      <c r="B56" s="863"/>
      <c r="C56" s="863"/>
      <c r="D56" s="863"/>
      <c r="E56" s="863"/>
      <c r="F56" s="863"/>
      <c r="G56" s="863"/>
      <c r="H56" s="863"/>
      <c r="I56" s="863"/>
      <c r="J56" s="863"/>
      <c r="K56" s="863"/>
      <c r="L56" s="863"/>
      <c r="M56" s="863"/>
      <c r="N56" s="863"/>
      <c r="O56" s="863"/>
      <c r="P56" s="863"/>
      <c r="Q56" s="863"/>
      <c r="R56" s="863"/>
      <c r="S56" s="863"/>
      <c r="T56" s="863"/>
      <c r="U56" s="863"/>
      <c r="V56" s="863"/>
      <c r="W56" s="863"/>
    </row>
  </sheetData>
  <sheetProtection algorithmName="SHA-512" hashValue="+yy4hK318Zv3j8ubczrNGnvHoKWn6DKxiVUZU1lB6r/7wjrev7TJiwcNgIgT15rpCc9522LaEmaqgNaQ+o0c7w==" saltValue="f6FHY/d8t7zvdWVFSj8vOQ==" spinCount="100000" sheet="1" objects="1" scenarios="1"/>
  <mergeCells count="1">
    <mergeCell ref="L6:Q6"/>
  </mergeCells>
  <printOptions horizontalCentered="1" verticalCentered="1"/>
  <pageMargins left="0.19685039370078741" right="0.19685039370078741" top="0.19685039370078741" bottom="0.19685039370078741" header="0.19685039370078741" footer="0.19685039370078741"/>
  <pageSetup paperSize="9" scale="66"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2100" r:id="rId4" name="Drop Down 4">
              <controlPr defaultSize="0" autoLine="0" autoPict="0">
                <anchor moveWithCells="1">
                  <from>
                    <xdr:col>2</xdr:col>
                    <xdr:colOff>428625</xdr:colOff>
                    <xdr:row>2</xdr:row>
                    <xdr:rowOff>161925</xdr:rowOff>
                  </from>
                  <to>
                    <xdr:col>4</xdr:col>
                    <xdr:colOff>371475</xdr:colOff>
                    <xdr:row>3</xdr:row>
                    <xdr:rowOff>171450</xdr:rowOff>
                  </to>
                </anchor>
              </controlPr>
            </control>
          </mc:Choice>
        </mc:AlternateContent>
        <mc:AlternateContent xmlns:mc="http://schemas.openxmlformats.org/markup-compatibility/2006">
          <mc:Choice Requires="x14">
            <control shapeId="132106" r:id="rId5" name="Drop Down 10">
              <controlPr defaultSize="0" autoLine="0" autoPict="0">
                <anchor moveWithCells="1">
                  <from>
                    <xdr:col>3</xdr:col>
                    <xdr:colOff>9525</xdr:colOff>
                    <xdr:row>26</xdr:row>
                    <xdr:rowOff>76200</xdr:rowOff>
                  </from>
                  <to>
                    <xdr:col>4</xdr:col>
                    <xdr:colOff>190500</xdr:colOff>
                    <xdr:row>27</xdr:row>
                    <xdr:rowOff>114300</xdr:rowOff>
                  </to>
                </anchor>
              </controlPr>
            </control>
          </mc:Choice>
        </mc:AlternateContent>
        <mc:AlternateContent xmlns:mc="http://schemas.openxmlformats.org/markup-compatibility/2006">
          <mc:Choice Requires="x14">
            <control shapeId="132107" r:id="rId6" name="Drop Down 11">
              <controlPr defaultSize="0" autoLine="0" autoPict="0">
                <anchor moveWithCells="1">
                  <from>
                    <xdr:col>10</xdr:col>
                    <xdr:colOff>495300</xdr:colOff>
                    <xdr:row>26</xdr:row>
                    <xdr:rowOff>57150</xdr:rowOff>
                  </from>
                  <to>
                    <xdr:col>12</xdr:col>
                    <xdr:colOff>200025</xdr:colOff>
                    <xdr:row>27</xdr:row>
                    <xdr:rowOff>95250</xdr:rowOff>
                  </to>
                </anchor>
              </controlPr>
            </control>
          </mc:Choice>
        </mc:AlternateContent>
        <mc:AlternateContent xmlns:mc="http://schemas.openxmlformats.org/markup-compatibility/2006">
          <mc:Choice Requires="x14">
            <control shapeId="132108" r:id="rId7" name="Drop Down 12">
              <controlPr defaultSize="0" autoLine="0" autoPict="0">
                <anchor moveWithCells="1">
                  <from>
                    <xdr:col>18</xdr:col>
                    <xdr:colOff>419100</xdr:colOff>
                    <xdr:row>26</xdr:row>
                    <xdr:rowOff>47625</xdr:rowOff>
                  </from>
                  <to>
                    <xdr:col>19</xdr:col>
                    <xdr:colOff>561975</xdr:colOff>
                    <xdr:row>27</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F7DE-CB1B-4362-A205-00D067EA43C0}">
  <sheetPr>
    <tabColor rgb="FFFFFF00"/>
    <pageSetUpPr fitToPage="1"/>
  </sheetPr>
  <dimension ref="A1:AB58"/>
  <sheetViews>
    <sheetView showGridLines="0" showRowColHeaders="0" zoomScaleNormal="100" zoomScaleSheetLayoutView="100" workbookViewId="0"/>
  </sheetViews>
  <sheetFormatPr defaultColWidth="0" defaultRowHeight="15" zeroHeight="1"/>
  <cols>
    <col min="1" max="11" width="8.42578125" style="841" customWidth="1"/>
    <col min="12" max="12" width="7" style="841" customWidth="1"/>
    <col min="13" max="23" width="8.7109375" style="841" customWidth="1"/>
    <col min="24" max="28" width="0" style="841" hidden="1"/>
    <col min="29" max="16384" width="8.7109375" style="841" hidden="1"/>
  </cols>
  <sheetData>
    <row r="1" spans="1:28">
      <c r="A1" s="863"/>
      <c r="B1" s="863"/>
      <c r="C1" s="863"/>
      <c r="D1" s="863"/>
      <c r="E1" s="863"/>
      <c r="F1" s="863"/>
      <c r="G1" s="863"/>
      <c r="H1" s="863"/>
      <c r="I1" s="863"/>
      <c r="J1" s="863"/>
      <c r="K1" s="863"/>
      <c r="L1" s="863"/>
      <c r="M1" s="863"/>
      <c r="N1" s="863"/>
      <c r="O1" s="863"/>
      <c r="P1" s="863"/>
      <c r="Q1" s="863"/>
      <c r="R1" s="863"/>
      <c r="S1" s="863"/>
      <c r="T1" s="863"/>
      <c r="U1" s="863"/>
      <c r="V1" s="863"/>
      <c r="W1" s="863"/>
    </row>
    <row r="2" spans="1:28" ht="18.75" customHeight="1">
      <c r="A2" s="863"/>
      <c r="B2" s="863"/>
      <c r="C2" s="863"/>
      <c r="D2" s="863"/>
      <c r="E2" s="863"/>
      <c r="F2" s="863"/>
      <c r="G2" s="863"/>
      <c r="H2" s="863"/>
      <c r="I2" s="863"/>
      <c r="J2" s="863"/>
      <c r="K2" s="863"/>
      <c r="L2" s="863"/>
      <c r="M2" s="863"/>
      <c r="N2" s="863"/>
      <c r="O2" s="863"/>
      <c r="P2" s="863"/>
      <c r="Q2" s="863"/>
      <c r="R2" s="863"/>
      <c r="S2" s="863"/>
      <c r="T2" s="863"/>
      <c r="U2" s="863"/>
      <c r="V2" s="863"/>
      <c r="W2" s="863"/>
    </row>
    <row r="3" spans="1:28">
      <c r="A3" s="863"/>
      <c r="B3" s="863"/>
      <c r="C3" s="863"/>
      <c r="D3" s="863"/>
      <c r="E3" s="863"/>
      <c r="F3" s="863"/>
      <c r="G3" s="863"/>
      <c r="H3" s="863"/>
      <c r="I3" s="863"/>
      <c r="J3" s="863"/>
      <c r="K3" s="863"/>
      <c r="L3" s="863"/>
      <c r="M3" s="863"/>
      <c r="N3" s="863"/>
      <c r="O3" s="863"/>
      <c r="P3" s="863"/>
      <c r="Q3" s="863"/>
      <c r="R3" s="863"/>
      <c r="S3" s="863"/>
      <c r="T3" s="863"/>
      <c r="U3" s="863"/>
      <c r="V3" s="863"/>
      <c r="W3" s="863"/>
    </row>
    <row r="4" spans="1:28">
      <c r="A4" s="863"/>
      <c r="B4" s="863"/>
      <c r="C4" s="863"/>
      <c r="D4" s="863"/>
      <c r="E4" s="863"/>
      <c r="F4" s="863"/>
      <c r="G4" s="863"/>
      <c r="H4" s="863"/>
      <c r="I4" s="863"/>
      <c r="J4" s="863"/>
      <c r="K4" s="863"/>
      <c r="L4" s="863"/>
      <c r="M4" s="863"/>
      <c r="N4" s="863"/>
      <c r="O4" s="863"/>
      <c r="P4" s="863"/>
      <c r="Q4" s="863"/>
      <c r="R4" s="863"/>
      <c r="S4" s="863"/>
      <c r="T4" s="863"/>
      <c r="U4" s="863"/>
      <c r="V4" s="863"/>
      <c r="W4" s="863"/>
    </row>
    <row r="5" spans="1:28">
      <c r="A5" s="863"/>
      <c r="B5" s="863"/>
      <c r="C5" s="863"/>
      <c r="D5" s="863"/>
      <c r="E5" s="863"/>
      <c r="F5" s="863"/>
      <c r="G5" s="863"/>
      <c r="H5" s="863"/>
      <c r="I5" s="863"/>
      <c r="J5" s="863"/>
      <c r="K5" s="863"/>
      <c r="L5" s="863"/>
      <c r="M5" s="863"/>
      <c r="N5" s="863"/>
      <c r="O5" s="863"/>
      <c r="P5" s="863"/>
      <c r="Q5" s="863"/>
      <c r="R5" s="863"/>
      <c r="S5" s="863"/>
      <c r="T5" s="863"/>
      <c r="U5" s="863"/>
      <c r="V5" s="863"/>
      <c r="W5" s="863"/>
    </row>
    <row r="6" spans="1:28">
      <c r="A6" s="863"/>
      <c r="B6" s="863"/>
      <c r="C6" s="863"/>
      <c r="D6" s="863"/>
      <c r="E6" s="863"/>
      <c r="F6" s="863"/>
      <c r="G6" s="864"/>
      <c r="H6" s="863"/>
      <c r="I6" s="863"/>
      <c r="J6" s="863"/>
      <c r="K6" s="863"/>
      <c r="L6" s="877"/>
      <c r="M6" s="877"/>
      <c r="N6" s="877"/>
      <c r="O6" s="877"/>
      <c r="P6" s="877"/>
      <c r="Q6" s="877"/>
      <c r="R6" s="863"/>
      <c r="S6" s="863"/>
      <c r="T6" s="863"/>
      <c r="U6" s="863"/>
      <c r="V6" s="863"/>
      <c r="W6" s="863"/>
    </row>
    <row r="7" spans="1:28">
      <c r="A7" s="866"/>
      <c r="B7" s="866"/>
      <c r="C7" s="866"/>
      <c r="D7" s="866"/>
      <c r="E7" s="866"/>
      <c r="F7" s="866"/>
      <c r="G7" s="863"/>
      <c r="H7" s="863"/>
      <c r="I7" s="863"/>
      <c r="J7" s="863"/>
      <c r="K7" s="863"/>
      <c r="L7" s="863"/>
      <c r="M7" s="863"/>
      <c r="N7" s="863"/>
      <c r="O7" s="863"/>
      <c r="P7" s="863"/>
      <c r="Q7" s="863"/>
      <c r="R7" s="863"/>
      <c r="S7" s="863"/>
      <c r="T7" s="863"/>
      <c r="U7" s="863"/>
      <c r="V7" s="863"/>
      <c r="W7" s="863"/>
    </row>
    <row r="8" spans="1:28">
      <c r="A8" s="878"/>
      <c r="B8" s="878"/>
      <c r="C8" s="878"/>
      <c r="D8" s="878"/>
      <c r="E8" s="878"/>
      <c r="F8" s="878"/>
      <c r="G8" s="863"/>
      <c r="H8" s="863"/>
      <c r="I8" s="863"/>
      <c r="J8" s="863"/>
      <c r="K8" s="863"/>
      <c r="L8" s="863"/>
      <c r="M8" s="863"/>
      <c r="N8" s="863"/>
      <c r="O8" s="863"/>
      <c r="P8" s="863"/>
      <c r="Q8" s="863"/>
      <c r="R8" s="863"/>
      <c r="S8" s="863"/>
      <c r="T8" s="863"/>
      <c r="U8" s="863"/>
      <c r="V8" s="863"/>
      <c r="W8" s="863"/>
    </row>
    <row r="9" spans="1:28" ht="15" customHeight="1">
      <c r="A9" s="863"/>
      <c r="B9" s="863"/>
      <c r="C9" s="863"/>
      <c r="D9" s="863"/>
      <c r="E9" s="863"/>
      <c r="F9" s="867"/>
      <c r="G9" s="867"/>
      <c r="H9" s="863"/>
      <c r="I9" s="863"/>
      <c r="J9" s="863"/>
      <c r="K9" s="863"/>
      <c r="L9" s="863"/>
      <c r="M9" s="863"/>
      <c r="N9" s="863"/>
      <c r="O9" s="863"/>
      <c r="P9" s="863"/>
      <c r="Q9" s="863"/>
      <c r="R9" s="863"/>
      <c r="S9" s="863"/>
      <c r="T9" s="863"/>
      <c r="U9" s="863"/>
      <c r="V9" s="863"/>
      <c r="W9" s="863"/>
    </row>
    <row r="10" spans="1:28" ht="15" customHeight="1">
      <c r="A10" s="863"/>
      <c r="B10" s="863"/>
      <c r="C10" s="863"/>
      <c r="D10" s="863"/>
      <c r="E10" s="863"/>
      <c r="F10" s="867"/>
      <c r="G10" s="867"/>
      <c r="H10" s="863"/>
      <c r="I10" s="863"/>
      <c r="J10" s="863"/>
      <c r="K10" s="863"/>
      <c r="L10" s="863"/>
      <c r="M10" s="863"/>
      <c r="N10" s="863"/>
      <c r="O10" s="863"/>
      <c r="P10" s="863"/>
      <c r="Q10" s="863"/>
      <c r="R10" s="863"/>
      <c r="S10" s="863"/>
      <c r="T10" s="863"/>
      <c r="U10" s="863"/>
      <c r="V10" s="863"/>
      <c r="W10" s="863"/>
    </row>
    <row r="11" spans="1:28">
      <c r="A11" s="863"/>
      <c r="B11" s="863"/>
      <c r="C11" s="863"/>
      <c r="D11" s="863"/>
      <c r="E11" s="863"/>
      <c r="F11" s="867"/>
      <c r="G11" s="867"/>
      <c r="H11" s="863"/>
      <c r="I11" s="863"/>
      <c r="J11" s="863"/>
      <c r="K11" s="863"/>
      <c r="L11" s="863"/>
      <c r="M11" s="863"/>
      <c r="N11" s="863"/>
      <c r="O11" s="863"/>
      <c r="P11" s="863"/>
      <c r="Q11" s="863"/>
      <c r="R11" s="863"/>
      <c r="S11" s="863"/>
      <c r="T11" s="863"/>
      <c r="U11" s="863"/>
      <c r="V11" s="863"/>
      <c r="W11" s="863"/>
    </row>
    <row r="12" spans="1:28" ht="15" customHeight="1">
      <c r="A12" s="863"/>
      <c r="B12" s="863"/>
      <c r="C12" s="863"/>
      <c r="D12" s="863"/>
      <c r="E12" s="863"/>
      <c r="F12" s="867"/>
      <c r="G12" s="867"/>
      <c r="H12" s="863"/>
      <c r="I12" s="863"/>
      <c r="J12" s="863"/>
      <c r="K12" s="863"/>
      <c r="L12" s="863"/>
      <c r="M12" s="863"/>
      <c r="N12" s="863"/>
      <c r="O12" s="863"/>
      <c r="P12" s="863"/>
      <c r="Q12" s="863"/>
      <c r="R12" s="863"/>
      <c r="S12" s="863"/>
      <c r="T12" s="863"/>
      <c r="U12" s="863"/>
      <c r="V12" s="863"/>
      <c r="W12" s="863"/>
      <c r="AB12" s="847"/>
    </row>
    <row r="13" spans="1:28" ht="15" customHeight="1">
      <c r="A13" s="863"/>
      <c r="B13" s="863"/>
      <c r="C13" s="863"/>
      <c r="D13" s="863"/>
      <c r="E13" s="863"/>
      <c r="F13" s="867"/>
      <c r="G13" s="867"/>
      <c r="H13" s="863"/>
      <c r="I13" s="863"/>
      <c r="J13" s="863"/>
      <c r="K13" s="863"/>
      <c r="L13" s="863"/>
      <c r="M13" s="863"/>
      <c r="N13" s="863"/>
      <c r="O13" s="863"/>
      <c r="P13" s="863"/>
      <c r="Q13" s="863"/>
      <c r="R13" s="863"/>
      <c r="S13" s="863"/>
      <c r="T13" s="863"/>
      <c r="U13" s="863"/>
      <c r="V13" s="863"/>
      <c r="W13" s="863"/>
    </row>
    <row r="14" spans="1:28">
      <c r="A14" s="863"/>
      <c r="B14" s="863"/>
      <c r="C14" s="863"/>
      <c r="D14" s="863"/>
      <c r="E14" s="863"/>
      <c r="F14" s="867"/>
      <c r="G14" s="867"/>
      <c r="H14" s="863"/>
      <c r="I14" s="863"/>
      <c r="J14" s="863"/>
      <c r="K14" s="863"/>
      <c r="L14" s="863"/>
      <c r="M14" s="863"/>
      <c r="N14" s="863"/>
      <c r="O14" s="863"/>
      <c r="P14" s="863"/>
      <c r="Q14" s="863"/>
      <c r="R14" s="863"/>
      <c r="S14" s="863"/>
      <c r="T14" s="863"/>
      <c r="U14" s="863"/>
      <c r="V14" s="863"/>
      <c r="W14" s="863"/>
    </row>
    <row r="15" spans="1:28">
      <c r="A15" s="863"/>
      <c r="B15" s="863"/>
      <c r="C15" s="863"/>
      <c r="D15" s="863"/>
      <c r="E15" s="863"/>
      <c r="F15" s="863"/>
      <c r="G15" s="863"/>
      <c r="H15" s="863"/>
      <c r="I15" s="863"/>
      <c r="J15" s="863"/>
      <c r="K15" s="863"/>
      <c r="L15" s="863"/>
      <c r="M15" s="863"/>
      <c r="N15" s="863"/>
      <c r="O15" s="863"/>
      <c r="P15" s="863"/>
      <c r="Q15" s="863"/>
      <c r="R15" s="863"/>
      <c r="S15" s="863"/>
      <c r="T15" s="863"/>
      <c r="U15" s="863"/>
      <c r="V15" s="863"/>
      <c r="W15" s="863"/>
    </row>
    <row r="16" spans="1:28">
      <c r="A16" s="863"/>
      <c r="B16" s="863"/>
      <c r="C16" s="863"/>
      <c r="D16" s="863"/>
      <c r="E16" s="863"/>
      <c r="F16" s="863"/>
      <c r="G16" s="863"/>
      <c r="H16" s="863"/>
      <c r="I16" s="863"/>
      <c r="J16" s="863"/>
      <c r="K16" s="863"/>
      <c r="L16" s="863"/>
      <c r="M16" s="863"/>
      <c r="N16" s="863"/>
      <c r="O16" s="863"/>
      <c r="P16" s="863"/>
      <c r="Q16" s="863"/>
      <c r="R16" s="863"/>
      <c r="S16" s="863"/>
      <c r="T16" s="863"/>
      <c r="U16" s="863"/>
      <c r="V16" s="863"/>
      <c r="W16" s="863"/>
    </row>
    <row r="17" spans="1:25">
      <c r="A17" s="863"/>
      <c r="B17" s="863"/>
      <c r="C17" s="863"/>
      <c r="D17" s="863"/>
      <c r="E17" s="863"/>
      <c r="F17" s="863"/>
      <c r="G17" s="863"/>
      <c r="H17" s="863"/>
      <c r="I17" s="863"/>
      <c r="J17" s="863"/>
      <c r="K17" s="863"/>
      <c r="L17" s="863"/>
      <c r="M17" s="863"/>
      <c r="N17" s="863"/>
      <c r="O17" s="863"/>
      <c r="P17" s="863"/>
      <c r="Q17" s="863"/>
      <c r="R17" s="863"/>
      <c r="S17" s="863"/>
      <c r="T17" s="863"/>
      <c r="U17" s="863"/>
      <c r="V17" s="863"/>
      <c r="W17" s="863"/>
    </row>
    <row r="18" spans="1:25">
      <c r="A18" s="863"/>
      <c r="B18" s="863"/>
      <c r="C18" s="863"/>
      <c r="D18" s="863"/>
      <c r="E18" s="863"/>
      <c r="F18" s="863"/>
      <c r="G18" s="863"/>
      <c r="H18" s="863"/>
      <c r="I18" s="863"/>
      <c r="J18" s="863"/>
      <c r="K18" s="863"/>
      <c r="L18" s="863"/>
      <c r="M18" s="863"/>
      <c r="N18" s="863"/>
      <c r="O18" s="863"/>
      <c r="P18" s="863"/>
      <c r="Q18" s="863"/>
      <c r="R18" s="863"/>
      <c r="S18" s="863"/>
      <c r="T18" s="863"/>
      <c r="U18" s="863"/>
      <c r="V18" s="863"/>
      <c r="W18" s="863"/>
    </row>
    <row r="19" spans="1:25">
      <c r="A19" s="863"/>
      <c r="B19" s="863"/>
      <c r="C19" s="863"/>
      <c r="D19" s="863"/>
      <c r="E19" s="863"/>
      <c r="F19" s="863"/>
      <c r="G19" s="863"/>
      <c r="H19" s="863"/>
      <c r="I19" s="863"/>
      <c r="J19" s="863"/>
      <c r="K19" s="863"/>
      <c r="L19" s="863"/>
      <c r="M19" s="863"/>
      <c r="N19" s="863"/>
      <c r="O19" s="863"/>
      <c r="P19" s="863"/>
      <c r="Q19" s="863"/>
      <c r="R19" s="863"/>
      <c r="S19" s="863"/>
      <c r="T19" s="863"/>
      <c r="U19" s="863"/>
      <c r="V19" s="863"/>
      <c r="W19" s="863"/>
    </row>
    <row r="20" spans="1:25">
      <c r="A20" s="863"/>
      <c r="B20" s="863"/>
      <c r="C20" s="863"/>
      <c r="D20" s="863"/>
      <c r="E20" s="863"/>
      <c r="F20" s="863"/>
      <c r="G20" s="863"/>
      <c r="H20" s="863"/>
      <c r="I20" s="863"/>
      <c r="J20" s="863"/>
      <c r="K20" s="863"/>
      <c r="L20" s="863"/>
      <c r="M20" s="863"/>
      <c r="N20" s="863"/>
      <c r="O20" s="863"/>
      <c r="P20" s="863"/>
      <c r="Q20" s="863"/>
      <c r="R20" s="863"/>
      <c r="S20" s="863"/>
      <c r="T20" s="863"/>
      <c r="U20" s="863"/>
      <c r="V20" s="863"/>
      <c r="W20" s="863"/>
    </row>
    <row r="21" spans="1:25">
      <c r="A21" s="863"/>
      <c r="B21" s="863"/>
      <c r="C21" s="863"/>
      <c r="D21" s="863"/>
      <c r="E21" s="863"/>
      <c r="F21" s="863"/>
      <c r="G21" s="863"/>
      <c r="H21" s="863"/>
      <c r="I21" s="863"/>
      <c r="J21" s="863"/>
      <c r="K21" s="863"/>
      <c r="L21" s="863"/>
      <c r="M21" s="863"/>
      <c r="N21" s="863"/>
      <c r="O21" s="863"/>
      <c r="P21" s="863"/>
      <c r="Q21" s="863"/>
      <c r="R21" s="863"/>
      <c r="S21" s="863"/>
      <c r="T21" s="863"/>
      <c r="U21" s="863"/>
      <c r="V21" s="863"/>
      <c r="W21" s="863"/>
    </row>
    <row r="22" spans="1:25">
      <c r="A22" s="863"/>
      <c r="B22" s="863"/>
      <c r="C22" s="863"/>
      <c r="D22" s="863"/>
      <c r="E22" s="863"/>
      <c r="F22" s="863"/>
      <c r="G22" s="863"/>
      <c r="H22" s="863"/>
      <c r="I22" s="863"/>
      <c r="J22" s="863"/>
      <c r="K22" s="863"/>
      <c r="L22" s="863"/>
      <c r="M22" s="863"/>
      <c r="N22" s="863"/>
      <c r="O22" s="863"/>
      <c r="P22" s="863"/>
      <c r="Q22" s="863"/>
      <c r="R22" s="863"/>
      <c r="S22" s="863"/>
      <c r="T22" s="863"/>
      <c r="U22" s="863"/>
      <c r="V22" s="863"/>
      <c r="W22" s="863"/>
    </row>
    <row r="23" spans="1:25">
      <c r="A23" s="863"/>
      <c r="B23" s="863"/>
      <c r="C23" s="863"/>
      <c r="D23" s="863"/>
      <c r="E23" s="863"/>
      <c r="F23" s="863"/>
      <c r="G23" s="863"/>
      <c r="H23" s="863"/>
      <c r="I23" s="863"/>
      <c r="J23" s="863"/>
      <c r="K23" s="863"/>
      <c r="L23" s="863"/>
      <c r="M23" s="863"/>
      <c r="N23" s="863"/>
      <c r="O23" s="863"/>
      <c r="P23" s="863"/>
      <c r="Q23" s="863"/>
      <c r="R23" s="863"/>
      <c r="S23" s="863"/>
      <c r="T23" s="863"/>
      <c r="U23" s="863"/>
      <c r="V23" s="863"/>
      <c r="W23" s="863"/>
    </row>
    <row r="24" spans="1:25">
      <c r="A24" s="863"/>
      <c r="B24" s="863"/>
      <c r="C24" s="863"/>
      <c r="D24" s="863"/>
      <c r="E24" s="863"/>
      <c r="F24" s="863"/>
      <c r="G24" s="863"/>
      <c r="H24" s="863"/>
      <c r="I24" s="863"/>
      <c r="J24" s="863"/>
      <c r="K24" s="863"/>
      <c r="L24" s="863"/>
      <c r="M24" s="863"/>
      <c r="N24" s="863"/>
      <c r="O24" s="863"/>
      <c r="P24" s="863"/>
      <c r="Q24" s="863"/>
      <c r="R24" s="863"/>
      <c r="S24" s="863"/>
      <c r="T24" s="863"/>
      <c r="U24" s="863"/>
      <c r="V24" s="863"/>
      <c r="W24" s="863"/>
    </row>
    <row r="25" spans="1:25">
      <c r="A25" s="863"/>
      <c r="B25" s="863"/>
      <c r="C25" s="863"/>
      <c r="D25" s="863"/>
      <c r="E25" s="863"/>
      <c r="F25" s="863"/>
      <c r="G25" s="863"/>
      <c r="H25" s="863"/>
      <c r="I25" s="863"/>
      <c r="J25" s="863"/>
      <c r="K25" s="863"/>
      <c r="L25" s="863"/>
      <c r="M25" s="863"/>
      <c r="N25" s="863"/>
      <c r="O25" s="863"/>
      <c r="P25" s="863"/>
      <c r="Q25" s="863"/>
      <c r="R25" s="863"/>
      <c r="S25" s="863"/>
      <c r="T25" s="863"/>
      <c r="U25" s="863"/>
      <c r="V25" s="863"/>
      <c r="W25" s="863"/>
    </row>
    <row r="26" spans="1:25">
      <c r="A26" s="863"/>
      <c r="B26" s="863"/>
      <c r="C26" s="863"/>
      <c r="D26" s="863"/>
      <c r="E26" s="863"/>
      <c r="F26" s="863"/>
      <c r="G26" s="863"/>
      <c r="H26" s="863"/>
      <c r="I26" s="863"/>
      <c r="J26" s="863"/>
      <c r="K26" s="863"/>
      <c r="L26" s="863"/>
      <c r="M26" s="863"/>
      <c r="N26" s="863"/>
      <c r="O26" s="863"/>
      <c r="P26" s="863"/>
      <c r="Q26" s="863"/>
      <c r="R26" s="863"/>
      <c r="S26" s="863"/>
      <c r="T26" s="863"/>
      <c r="U26" s="863"/>
      <c r="V26" s="863"/>
      <c r="W26" s="863"/>
    </row>
    <row r="27" spans="1:25">
      <c r="A27" s="863"/>
      <c r="B27" s="863"/>
      <c r="C27" s="863"/>
      <c r="D27" s="863"/>
      <c r="E27" s="863"/>
      <c r="F27" s="863"/>
      <c r="G27" s="863"/>
      <c r="H27" s="863"/>
      <c r="I27" s="863"/>
      <c r="J27" s="863"/>
      <c r="K27" s="863"/>
      <c r="L27" s="863"/>
      <c r="M27" s="863"/>
      <c r="N27" s="863"/>
      <c r="O27" s="863"/>
      <c r="P27" s="863"/>
      <c r="Q27" s="863"/>
      <c r="R27" s="863"/>
      <c r="S27" s="863"/>
      <c r="T27" s="863"/>
      <c r="U27" s="863"/>
      <c r="V27" s="863"/>
      <c r="W27" s="863"/>
    </row>
    <row r="28" spans="1:25">
      <c r="A28" s="863"/>
      <c r="B28" s="863"/>
      <c r="C28" s="863"/>
      <c r="D28" s="863"/>
      <c r="E28" s="863"/>
      <c r="F28" s="863"/>
      <c r="G28" s="863"/>
      <c r="H28" s="863"/>
      <c r="I28" s="863"/>
      <c r="J28" s="863"/>
      <c r="K28" s="863"/>
      <c r="L28" s="863"/>
      <c r="M28" s="863"/>
      <c r="N28" s="863"/>
      <c r="O28" s="863"/>
      <c r="P28" s="863"/>
      <c r="Q28" s="863"/>
      <c r="R28" s="863"/>
      <c r="S28" s="863"/>
      <c r="T28" s="863"/>
      <c r="U28" s="863"/>
      <c r="V28" s="863"/>
      <c r="W28" s="863"/>
    </row>
    <row r="29" spans="1:25">
      <c r="A29" s="863"/>
      <c r="B29" s="863"/>
      <c r="C29" s="863"/>
      <c r="D29" s="863"/>
      <c r="E29" s="863"/>
      <c r="F29" s="863"/>
      <c r="G29" s="863"/>
      <c r="H29" s="863"/>
      <c r="I29" s="863"/>
      <c r="J29" s="863"/>
      <c r="K29" s="863"/>
      <c r="L29" s="863"/>
      <c r="M29" s="863"/>
      <c r="N29" s="863"/>
      <c r="O29" s="863"/>
      <c r="P29" s="863"/>
      <c r="Q29" s="863"/>
      <c r="R29" s="863"/>
      <c r="S29" s="863"/>
      <c r="T29" s="863"/>
      <c r="U29" s="863"/>
      <c r="V29" s="863"/>
      <c r="W29" s="863"/>
    </row>
    <row r="30" spans="1:25">
      <c r="A30" s="876"/>
      <c r="B30" s="876"/>
      <c r="C30" s="876"/>
      <c r="D30" s="876"/>
      <c r="E30" s="876"/>
      <c r="F30" s="876"/>
      <c r="G30" s="876"/>
      <c r="H30" s="863"/>
      <c r="I30" s="876"/>
      <c r="J30" s="876"/>
      <c r="K30" s="876"/>
      <c r="L30" s="876"/>
      <c r="M30" s="876"/>
      <c r="N30" s="876"/>
      <c r="O30" s="876"/>
      <c r="P30" s="863"/>
      <c r="Q30" s="876"/>
      <c r="R30" s="876"/>
      <c r="S30" s="876"/>
      <c r="T30" s="876"/>
      <c r="U30" s="876"/>
      <c r="V30" s="876"/>
      <c r="W30" s="876"/>
    </row>
    <row r="31" spans="1:25">
      <c r="A31" s="876"/>
      <c r="B31" s="876"/>
      <c r="C31" s="876"/>
      <c r="D31" s="876"/>
      <c r="E31" s="876"/>
      <c r="F31" s="876"/>
      <c r="G31" s="876"/>
      <c r="H31" s="863"/>
      <c r="I31" s="876"/>
      <c r="J31" s="876"/>
      <c r="K31" s="876"/>
      <c r="L31" s="876"/>
      <c r="M31" s="876"/>
      <c r="N31" s="876"/>
      <c r="O31" s="876"/>
      <c r="P31" s="863"/>
      <c r="Q31" s="876"/>
      <c r="R31" s="876"/>
      <c r="S31" s="876"/>
      <c r="T31" s="876"/>
      <c r="U31" s="876"/>
      <c r="V31" s="876"/>
      <c r="W31" s="876"/>
    </row>
    <row r="32" spans="1:25">
      <c r="A32" s="876"/>
      <c r="B32" s="876"/>
      <c r="C32" s="876"/>
      <c r="D32" s="876"/>
      <c r="E32" s="876"/>
      <c r="F32" s="876"/>
      <c r="G32" s="876"/>
      <c r="H32" s="863"/>
      <c r="I32" s="876"/>
      <c r="J32" s="876"/>
      <c r="K32" s="876"/>
      <c r="L32" s="876"/>
      <c r="M32" s="876"/>
      <c r="N32" s="876"/>
      <c r="O32" s="876"/>
      <c r="P32" s="868"/>
      <c r="Q32" s="868"/>
      <c r="R32" s="868"/>
      <c r="S32" s="868"/>
      <c r="T32" s="868"/>
      <c r="U32" s="868"/>
      <c r="V32" s="868"/>
      <c r="W32" s="868"/>
      <c r="X32" s="842"/>
      <c r="Y32" s="842"/>
    </row>
    <row r="33" spans="1:25">
      <c r="A33" s="863"/>
      <c r="B33" s="863"/>
      <c r="C33" s="863"/>
      <c r="D33" s="863"/>
      <c r="E33" s="863"/>
      <c r="F33" s="863"/>
      <c r="G33" s="863"/>
      <c r="H33" s="863"/>
      <c r="I33" s="863"/>
      <c r="J33" s="863"/>
      <c r="K33" s="863"/>
      <c r="L33" s="863"/>
      <c r="M33" s="863"/>
      <c r="N33" s="863"/>
      <c r="O33" s="863"/>
      <c r="P33" s="869"/>
      <c r="Q33" s="869"/>
      <c r="R33" s="869"/>
      <c r="S33" s="869"/>
      <c r="T33" s="869"/>
      <c r="U33" s="869"/>
      <c r="V33" s="863"/>
      <c r="W33" s="870"/>
      <c r="X33" s="843"/>
      <c r="Y33" s="843"/>
    </row>
    <row r="34" spans="1:25">
      <c r="A34" s="863"/>
      <c r="B34" s="863"/>
      <c r="C34" s="863"/>
      <c r="D34" s="863"/>
      <c r="E34" s="863"/>
      <c r="F34" s="863"/>
      <c r="G34" s="863"/>
      <c r="H34" s="863"/>
      <c r="I34" s="863"/>
      <c r="J34" s="863"/>
      <c r="K34" s="863"/>
      <c r="L34" s="863"/>
      <c r="M34" s="863"/>
      <c r="N34" s="863"/>
      <c r="O34" s="863"/>
      <c r="P34" s="863"/>
      <c r="Q34" s="863"/>
      <c r="R34" s="863"/>
      <c r="S34" s="863"/>
      <c r="T34" s="863"/>
      <c r="U34" s="863"/>
      <c r="V34" s="863"/>
      <c r="W34" s="863"/>
    </row>
    <row r="35" spans="1:25">
      <c r="A35" s="863"/>
      <c r="B35" s="863"/>
      <c r="C35" s="863"/>
      <c r="D35" s="863"/>
      <c r="E35" s="863"/>
      <c r="F35" s="863"/>
      <c r="G35" s="863"/>
      <c r="H35" s="879"/>
      <c r="I35" s="863"/>
      <c r="J35" s="863"/>
      <c r="K35" s="863"/>
      <c r="L35" s="863"/>
      <c r="M35" s="863"/>
      <c r="N35" s="863"/>
      <c r="O35" s="863"/>
      <c r="P35" s="871"/>
      <c r="Q35" s="863"/>
      <c r="R35" s="863"/>
      <c r="S35" s="863"/>
      <c r="T35" s="863"/>
      <c r="U35" s="863"/>
      <c r="V35" s="863"/>
      <c r="W35" s="863"/>
    </row>
    <row r="36" spans="1:25">
      <c r="A36" s="863"/>
      <c r="B36" s="863"/>
      <c r="C36" s="863"/>
      <c r="D36" s="863"/>
      <c r="E36" s="863"/>
      <c r="F36" s="863"/>
      <c r="G36" s="863"/>
      <c r="H36" s="863"/>
      <c r="I36" s="863"/>
      <c r="J36" s="863"/>
      <c r="K36" s="863"/>
      <c r="L36" s="863"/>
      <c r="M36" s="863"/>
      <c r="N36" s="863"/>
      <c r="O36" s="863"/>
      <c r="P36" s="870"/>
      <c r="Q36" s="863"/>
      <c r="R36" s="863"/>
      <c r="S36" s="863"/>
      <c r="T36" s="863"/>
      <c r="U36" s="863"/>
      <c r="V36" s="863"/>
      <c r="W36" s="863"/>
    </row>
    <row r="37" spans="1:25">
      <c r="A37" s="863"/>
      <c r="B37" s="863"/>
      <c r="C37" s="863"/>
      <c r="D37" s="863"/>
      <c r="E37" s="863"/>
      <c r="F37" s="863"/>
      <c r="G37" s="863"/>
      <c r="H37" s="863"/>
      <c r="I37" s="863"/>
      <c r="J37" s="863"/>
      <c r="K37" s="863"/>
      <c r="L37" s="863"/>
      <c r="M37" s="863"/>
      <c r="N37" s="863"/>
      <c r="O37" s="863"/>
      <c r="P37" s="870"/>
      <c r="Q37" s="863"/>
      <c r="R37" s="863"/>
      <c r="S37" s="863"/>
      <c r="T37" s="863"/>
      <c r="U37" s="863"/>
      <c r="V37" s="863"/>
      <c r="W37" s="863"/>
    </row>
    <row r="38" spans="1:25">
      <c r="A38" s="863"/>
      <c r="B38" s="863"/>
      <c r="C38" s="863"/>
      <c r="D38" s="863"/>
      <c r="E38" s="863"/>
      <c r="F38" s="863"/>
      <c r="G38" s="863"/>
      <c r="H38" s="863"/>
      <c r="I38" s="863"/>
      <c r="J38" s="863"/>
      <c r="K38" s="863"/>
      <c r="L38" s="863"/>
      <c r="M38" s="863"/>
      <c r="N38" s="863"/>
      <c r="O38" s="863"/>
      <c r="P38" s="870"/>
      <c r="Q38" s="863"/>
      <c r="R38" s="863"/>
      <c r="S38" s="863"/>
      <c r="T38" s="863"/>
      <c r="U38" s="863"/>
      <c r="V38" s="863"/>
      <c r="W38" s="863"/>
    </row>
    <row r="39" spans="1:25">
      <c r="A39" s="863"/>
      <c r="B39" s="863"/>
      <c r="C39" s="863"/>
      <c r="D39" s="863"/>
      <c r="E39" s="863"/>
      <c r="F39" s="863"/>
      <c r="G39" s="863"/>
      <c r="H39" s="872"/>
      <c r="I39" s="863"/>
      <c r="J39" s="871"/>
      <c r="K39" s="863"/>
      <c r="L39" s="863"/>
      <c r="M39" s="870"/>
      <c r="N39" s="870"/>
      <c r="O39" s="870"/>
      <c r="P39" s="870"/>
      <c r="Q39" s="863"/>
      <c r="R39" s="863"/>
      <c r="S39" s="863"/>
      <c r="T39" s="863"/>
      <c r="U39" s="863"/>
      <c r="V39" s="863"/>
      <c r="W39" s="863"/>
    </row>
    <row r="40" spans="1:25">
      <c r="A40" s="863"/>
      <c r="B40" s="863"/>
      <c r="C40" s="863"/>
      <c r="D40" s="863"/>
      <c r="E40" s="863"/>
      <c r="F40" s="863"/>
      <c r="G40" s="863"/>
      <c r="H40" s="872"/>
      <c r="I40" s="863"/>
      <c r="J40" s="871"/>
      <c r="K40" s="863"/>
      <c r="L40" s="863"/>
      <c r="M40" s="870"/>
      <c r="N40" s="870"/>
      <c r="O40" s="870"/>
      <c r="P40" s="870"/>
      <c r="Q40" s="863"/>
      <c r="R40" s="863"/>
      <c r="S40" s="863"/>
      <c r="T40" s="863"/>
      <c r="U40" s="863"/>
      <c r="V40" s="863"/>
      <c r="W40" s="863"/>
    </row>
    <row r="41" spans="1:25">
      <c r="A41" s="863"/>
      <c r="B41" s="863"/>
      <c r="C41" s="863"/>
      <c r="D41" s="863"/>
      <c r="E41" s="863"/>
      <c r="F41" s="863"/>
      <c r="G41" s="863"/>
      <c r="H41" s="863"/>
      <c r="I41" s="863"/>
      <c r="J41" s="871"/>
      <c r="K41" s="863"/>
      <c r="L41" s="863"/>
      <c r="M41" s="873"/>
      <c r="N41" s="872"/>
      <c r="O41" s="870"/>
      <c r="P41" s="870"/>
      <c r="Q41" s="863"/>
      <c r="R41" s="863"/>
      <c r="S41" s="863"/>
      <c r="T41" s="863"/>
      <c r="U41" s="863"/>
      <c r="V41" s="863"/>
      <c r="W41" s="863"/>
    </row>
    <row r="42" spans="1:25">
      <c r="A42" s="863"/>
      <c r="B42" s="863"/>
      <c r="C42" s="863"/>
      <c r="D42" s="863"/>
      <c r="E42" s="863"/>
      <c r="F42" s="863"/>
      <c r="G42" s="863"/>
      <c r="H42" s="872"/>
      <c r="I42" s="863"/>
      <c r="J42" s="871"/>
      <c r="K42" s="863"/>
      <c r="L42" s="863"/>
      <c r="M42" s="870"/>
      <c r="N42" s="870"/>
      <c r="O42" s="870"/>
      <c r="P42" s="870"/>
      <c r="Q42" s="863"/>
      <c r="R42" s="863"/>
      <c r="S42" s="863"/>
      <c r="T42" s="863"/>
      <c r="U42" s="863"/>
      <c r="V42" s="863"/>
      <c r="W42" s="863"/>
    </row>
    <row r="43" spans="1:25">
      <c r="A43" s="863"/>
      <c r="B43" s="863"/>
      <c r="C43" s="863"/>
      <c r="D43" s="863"/>
      <c r="E43" s="863"/>
      <c r="F43" s="863"/>
      <c r="G43" s="863"/>
      <c r="H43" s="871"/>
      <c r="I43" s="871"/>
      <c r="J43" s="871"/>
      <c r="K43" s="863"/>
      <c r="L43" s="870"/>
      <c r="M43" s="870"/>
      <c r="N43" s="870"/>
      <c r="O43" s="870"/>
      <c r="P43" s="870"/>
      <c r="Q43" s="863"/>
      <c r="R43" s="863"/>
      <c r="S43" s="863"/>
      <c r="T43" s="863"/>
      <c r="U43" s="863"/>
      <c r="V43" s="863"/>
      <c r="W43" s="863"/>
    </row>
    <row r="44" spans="1:25">
      <c r="A44" s="863"/>
      <c r="B44" s="863"/>
      <c r="C44" s="863"/>
      <c r="D44" s="863"/>
      <c r="E44" s="863"/>
      <c r="F44" s="863"/>
      <c r="G44" s="870"/>
      <c r="H44" s="870"/>
      <c r="I44" s="870"/>
      <c r="J44" s="870"/>
      <c r="K44" s="870"/>
      <c r="L44" s="870"/>
      <c r="M44" s="870"/>
      <c r="N44" s="870"/>
      <c r="O44" s="870"/>
      <c r="P44" s="870"/>
      <c r="Q44" s="863"/>
      <c r="R44" s="863"/>
      <c r="S44" s="863"/>
      <c r="T44" s="863"/>
      <c r="U44" s="863"/>
      <c r="V44" s="863"/>
      <c r="W44" s="863"/>
    </row>
    <row r="45" spans="1:25">
      <c r="A45" s="863"/>
      <c r="B45" s="863"/>
      <c r="C45" s="863"/>
      <c r="D45" s="863"/>
      <c r="E45" s="863"/>
      <c r="F45" s="863"/>
      <c r="G45" s="870"/>
      <c r="H45" s="870"/>
      <c r="I45" s="870"/>
      <c r="J45" s="870"/>
      <c r="K45" s="870"/>
      <c r="L45" s="870"/>
      <c r="M45" s="870"/>
      <c r="N45" s="870"/>
      <c r="O45" s="870"/>
      <c r="P45" s="870"/>
      <c r="Q45" s="863"/>
      <c r="R45" s="863"/>
      <c r="S45" s="863"/>
      <c r="T45" s="863"/>
      <c r="U45" s="863"/>
      <c r="V45" s="863"/>
      <c r="W45" s="863"/>
    </row>
    <row r="46" spans="1:25">
      <c r="A46" s="863"/>
      <c r="B46" s="863"/>
      <c r="C46" s="863"/>
      <c r="D46" s="863"/>
      <c r="E46" s="863"/>
      <c r="F46" s="863"/>
      <c r="G46" s="870"/>
      <c r="H46" s="870"/>
      <c r="I46" s="870"/>
      <c r="J46" s="870"/>
      <c r="K46" s="870"/>
      <c r="L46" s="870"/>
      <c r="M46" s="870"/>
      <c r="N46" s="870"/>
      <c r="O46" s="870"/>
      <c r="P46" s="870"/>
      <c r="Q46" s="863"/>
      <c r="R46" s="863"/>
      <c r="S46" s="863"/>
      <c r="T46" s="863"/>
      <c r="U46" s="863"/>
      <c r="V46" s="863"/>
      <c r="W46" s="863"/>
    </row>
    <row r="47" spans="1:25">
      <c r="A47" s="863"/>
      <c r="B47" s="863"/>
      <c r="C47" s="863"/>
      <c r="D47" s="863"/>
      <c r="E47" s="863"/>
      <c r="F47" s="863"/>
      <c r="G47" s="870"/>
      <c r="H47" s="870"/>
      <c r="I47" s="870"/>
      <c r="J47" s="870"/>
      <c r="K47" s="870"/>
      <c r="L47" s="870"/>
      <c r="M47" s="870"/>
      <c r="N47" s="870"/>
      <c r="O47" s="870"/>
      <c r="P47" s="870"/>
      <c r="Q47" s="863"/>
      <c r="R47" s="863"/>
      <c r="S47" s="863"/>
      <c r="T47" s="863"/>
      <c r="U47" s="863"/>
      <c r="V47" s="863"/>
      <c r="W47" s="863"/>
    </row>
    <row r="48" spans="1:25">
      <c r="A48" s="863"/>
      <c r="B48" s="863"/>
      <c r="C48" s="863"/>
      <c r="D48" s="863"/>
      <c r="E48" s="863"/>
      <c r="F48" s="863"/>
      <c r="G48" s="870"/>
      <c r="H48" s="870"/>
      <c r="I48" s="870"/>
      <c r="J48" s="870"/>
      <c r="K48" s="870"/>
      <c r="L48" s="870"/>
      <c r="M48" s="870"/>
      <c r="N48" s="870"/>
      <c r="O48" s="870"/>
      <c r="P48" s="870"/>
      <c r="Q48" s="863"/>
      <c r="R48" s="863"/>
      <c r="S48" s="863"/>
      <c r="T48" s="863"/>
      <c r="U48" s="863"/>
      <c r="V48" s="863"/>
      <c r="W48" s="863"/>
    </row>
    <row r="49" spans="1:25">
      <c r="A49" s="863"/>
      <c r="B49" s="863"/>
      <c r="C49" s="863"/>
      <c r="D49" s="863"/>
      <c r="E49" s="863"/>
      <c r="F49" s="863"/>
      <c r="G49" s="870"/>
      <c r="H49" s="870"/>
      <c r="I49" s="870"/>
      <c r="J49" s="870"/>
      <c r="K49" s="870"/>
      <c r="L49" s="870"/>
      <c r="M49" s="874"/>
      <c r="N49" s="870"/>
      <c r="O49" s="870"/>
      <c r="P49" s="875"/>
      <c r="Q49" s="875"/>
      <c r="R49" s="863"/>
      <c r="S49" s="863"/>
      <c r="T49" s="863"/>
      <c r="U49" s="863"/>
      <c r="V49" s="863"/>
      <c r="W49" s="863"/>
    </row>
    <row r="50" spans="1:25">
      <c r="A50" s="863"/>
      <c r="B50" s="863"/>
      <c r="C50" s="863"/>
      <c r="D50" s="863"/>
      <c r="E50" s="863"/>
      <c r="F50" s="863"/>
      <c r="G50" s="870"/>
      <c r="H50" s="870"/>
      <c r="I50" s="870"/>
      <c r="J50" s="870"/>
      <c r="K50" s="870"/>
      <c r="L50" s="870"/>
      <c r="M50" s="870"/>
      <c r="N50" s="870"/>
      <c r="O50" s="870"/>
      <c r="P50" s="870"/>
      <c r="Q50" s="863"/>
      <c r="R50" s="863"/>
      <c r="S50" s="863"/>
      <c r="T50" s="863"/>
      <c r="U50" s="863"/>
      <c r="V50" s="863"/>
      <c r="W50" s="863"/>
    </row>
    <row r="51" spans="1:25">
      <c r="A51" s="863"/>
      <c r="B51" s="863"/>
      <c r="C51" s="863"/>
      <c r="D51" s="863"/>
      <c r="E51" s="863"/>
      <c r="F51" s="863"/>
      <c r="G51" s="870"/>
      <c r="H51" s="870"/>
      <c r="I51" s="870"/>
      <c r="J51" s="870"/>
      <c r="K51" s="870"/>
      <c r="L51" s="870"/>
      <c r="M51" s="870"/>
      <c r="N51" s="870"/>
      <c r="O51" s="870"/>
      <c r="P51" s="870"/>
      <c r="Q51" s="863"/>
      <c r="R51" s="863"/>
      <c r="S51" s="863"/>
      <c r="T51" s="863"/>
      <c r="U51" s="863"/>
      <c r="V51" s="863"/>
      <c r="W51" s="863"/>
    </row>
    <row r="52" spans="1:25">
      <c r="A52" s="863"/>
      <c r="B52" s="863"/>
      <c r="C52" s="863"/>
      <c r="D52" s="863"/>
      <c r="E52" s="863"/>
      <c r="F52" s="863"/>
      <c r="G52" s="870"/>
      <c r="H52" s="870"/>
      <c r="I52" s="870"/>
      <c r="J52" s="870"/>
      <c r="K52" s="870"/>
      <c r="L52" s="870"/>
      <c r="M52" s="870"/>
      <c r="N52" s="870"/>
      <c r="O52" s="870"/>
      <c r="P52" s="870"/>
      <c r="Q52" s="863"/>
      <c r="R52" s="863"/>
      <c r="S52" s="863"/>
      <c r="T52" s="863"/>
      <c r="U52" s="863"/>
      <c r="V52" s="863"/>
      <c r="W52" s="863"/>
    </row>
    <row r="53" spans="1:25">
      <c r="A53" s="863"/>
      <c r="B53" s="863"/>
      <c r="C53" s="863"/>
      <c r="D53" s="863"/>
      <c r="E53" s="863"/>
      <c r="F53" s="863"/>
      <c r="G53" s="870"/>
      <c r="H53" s="870"/>
      <c r="I53" s="870"/>
      <c r="J53" s="870"/>
      <c r="K53" s="870"/>
      <c r="L53" s="876"/>
      <c r="M53" s="876"/>
      <c r="N53" s="876"/>
      <c r="O53" s="876"/>
      <c r="P53" s="870"/>
      <c r="Q53" s="870"/>
      <c r="R53" s="870"/>
      <c r="S53" s="870"/>
      <c r="T53" s="870"/>
      <c r="U53" s="870"/>
      <c r="V53" s="870"/>
      <c r="W53" s="870"/>
      <c r="X53" s="843"/>
      <c r="Y53" s="843"/>
    </row>
    <row r="54" spans="1:25">
      <c r="A54" s="863"/>
      <c r="B54" s="863"/>
      <c r="C54" s="863"/>
      <c r="D54" s="863"/>
      <c r="E54" s="863"/>
      <c r="F54" s="863"/>
      <c r="G54" s="870"/>
      <c r="H54" s="870"/>
      <c r="I54" s="870"/>
      <c r="J54" s="870"/>
      <c r="K54" s="870"/>
      <c r="L54" s="870"/>
      <c r="M54" s="870"/>
      <c r="N54" s="870"/>
      <c r="O54" s="870"/>
      <c r="P54" s="870"/>
      <c r="Q54" s="870"/>
      <c r="R54" s="870"/>
      <c r="S54" s="870"/>
      <c r="T54" s="870"/>
      <c r="U54" s="870"/>
      <c r="V54" s="870"/>
      <c r="W54" s="870"/>
      <c r="X54" s="843"/>
      <c r="Y54" s="843"/>
    </row>
    <row r="55" spans="1:25">
      <c r="A55" s="863"/>
      <c r="B55" s="863"/>
      <c r="C55" s="863"/>
      <c r="D55" s="863"/>
      <c r="E55" s="863"/>
      <c r="F55" s="863"/>
      <c r="G55" s="870"/>
      <c r="H55" s="870"/>
      <c r="I55" s="870"/>
      <c r="J55" s="870"/>
      <c r="K55" s="870"/>
      <c r="L55" s="870"/>
      <c r="M55" s="870"/>
      <c r="N55" s="870"/>
      <c r="O55" s="870"/>
      <c r="P55" s="863"/>
      <c r="Q55" s="863"/>
      <c r="R55" s="863"/>
      <c r="S55" s="863"/>
      <c r="T55" s="863"/>
      <c r="U55" s="863"/>
      <c r="V55" s="863"/>
      <c r="W55" s="863"/>
    </row>
    <row r="56" spans="1:25">
      <c r="A56" s="863"/>
      <c r="B56" s="863"/>
      <c r="C56" s="863"/>
      <c r="D56" s="863"/>
      <c r="E56" s="863"/>
      <c r="F56" s="863"/>
      <c r="G56" s="863"/>
      <c r="H56" s="863"/>
      <c r="I56" s="863"/>
      <c r="J56" s="863"/>
      <c r="K56" s="863"/>
      <c r="L56" s="863"/>
      <c r="M56" s="863"/>
      <c r="N56" s="863"/>
      <c r="O56" s="863"/>
      <c r="P56" s="863"/>
      <c r="Q56" s="863"/>
      <c r="R56" s="863"/>
      <c r="S56" s="863"/>
      <c r="T56" s="863"/>
      <c r="U56" s="863"/>
      <c r="V56" s="863"/>
      <c r="W56" s="863"/>
    </row>
    <row r="57" spans="1:25">
      <c r="A57" s="863"/>
      <c r="B57" s="863"/>
      <c r="C57" s="863"/>
      <c r="D57" s="863"/>
      <c r="E57" s="863"/>
      <c r="F57" s="863"/>
      <c r="G57" s="863"/>
      <c r="H57" s="863"/>
      <c r="I57" s="863"/>
      <c r="J57" s="863"/>
      <c r="K57" s="863"/>
      <c r="L57" s="863"/>
      <c r="M57" s="863"/>
      <c r="N57" s="863"/>
      <c r="O57" s="863"/>
      <c r="P57" s="863"/>
      <c r="Q57" s="863"/>
      <c r="R57" s="863"/>
      <c r="S57" s="863"/>
      <c r="T57" s="863"/>
      <c r="U57" s="863"/>
      <c r="V57" s="863"/>
      <c r="W57" s="863"/>
    </row>
    <row r="58" spans="1:25">
      <c r="A58" s="863"/>
      <c r="B58" s="863"/>
      <c r="C58" s="863"/>
      <c r="D58" s="863"/>
      <c r="E58" s="863"/>
      <c r="F58" s="863"/>
      <c r="G58" s="863"/>
      <c r="H58" s="863"/>
      <c r="I58" s="863"/>
      <c r="J58" s="863"/>
      <c r="K58" s="863"/>
      <c r="L58" s="863"/>
      <c r="M58" s="863"/>
      <c r="N58" s="863"/>
      <c r="O58" s="863"/>
      <c r="P58" s="863"/>
      <c r="Q58" s="863"/>
      <c r="R58" s="863"/>
      <c r="S58" s="863"/>
      <c r="T58" s="863"/>
      <c r="U58" s="863"/>
      <c r="V58" s="863"/>
      <c r="W58" s="863"/>
    </row>
  </sheetData>
  <sheetProtection algorithmName="SHA-512" hashValue="t6EA1FmN0sBmXxQtJoz/oIJzFz2GVGw7dqfNXjqJ/afy4oKitlVFhdoypg1Ylr+1Hc9MIChnf3iGV9enITEyjg==" saltValue="TsF4S6admf58UQ3Z38v0bQ==" spinCount="100000" sheet="1" objects="1" scenarios="1"/>
  <mergeCells count="1">
    <mergeCell ref="L6:Q6"/>
  </mergeCells>
  <printOptions horizontalCentered="1" verticalCentered="1"/>
  <pageMargins left="0.19685039370078741" right="0.19685039370078741" top="0.19685039370078741" bottom="0.19685039370078741" header="0.19685039370078741" footer="0.19685039370078741"/>
  <pageSetup paperSize="9" scale="66"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88769" r:id="rId4" name="Drop Down 1">
              <controlPr defaultSize="0" autoLine="0" autoPict="0">
                <anchor moveWithCells="1">
                  <from>
                    <xdr:col>3</xdr:col>
                    <xdr:colOff>19050</xdr:colOff>
                    <xdr:row>26</xdr:row>
                    <xdr:rowOff>57150</xdr:rowOff>
                  </from>
                  <to>
                    <xdr:col>4</xdr:col>
                    <xdr:colOff>200025</xdr:colOff>
                    <xdr:row>27</xdr:row>
                    <xdr:rowOff>85725</xdr:rowOff>
                  </to>
                </anchor>
              </controlPr>
            </control>
          </mc:Choice>
        </mc:AlternateContent>
        <mc:AlternateContent xmlns:mc="http://schemas.openxmlformats.org/markup-compatibility/2006">
          <mc:Choice Requires="x14">
            <control shapeId="288770" r:id="rId5" name="Drop Down 2">
              <controlPr defaultSize="0" autoLine="0" autoPict="0">
                <anchor moveWithCells="1">
                  <from>
                    <xdr:col>11</xdr:col>
                    <xdr:colOff>47625</xdr:colOff>
                    <xdr:row>26</xdr:row>
                    <xdr:rowOff>47625</xdr:rowOff>
                  </from>
                  <to>
                    <xdr:col>12</xdr:col>
                    <xdr:colOff>323850</xdr:colOff>
                    <xdr:row>27</xdr:row>
                    <xdr:rowOff>76200</xdr:rowOff>
                  </to>
                </anchor>
              </controlPr>
            </control>
          </mc:Choice>
        </mc:AlternateContent>
        <mc:AlternateContent xmlns:mc="http://schemas.openxmlformats.org/markup-compatibility/2006">
          <mc:Choice Requires="x14">
            <control shapeId="288771" r:id="rId6" name="Drop Down 3">
              <controlPr defaultSize="0" autoLine="0" autoPict="0">
                <anchor moveWithCells="1">
                  <from>
                    <xdr:col>19</xdr:col>
                    <xdr:colOff>57150</xdr:colOff>
                    <xdr:row>26</xdr:row>
                    <xdr:rowOff>66675</xdr:rowOff>
                  </from>
                  <to>
                    <xdr:col>20</xdr:col>
                    <xdr:colOff>219075</xdr:colOff>
                    <xdr:row>27</xdr:row>
                    <xdr:rowOff>95250</xdr:rowOff>
                  </to>
                </anchor>
              </controlPr>
            </control>
          </mc:Choice>
        </mc:AlternateContent>
        <mc:AlternateContent xmlns:mc="http://schemas.openxmlformats.org/markup-compatibility/2006">
          <mc:Choice Requires="x14">
            <control shapeId="288772" r:id="rId7" name="Drop Down 4">
              <controlPr defaultSize="0" autoLine="0" autoPict="0">
                <anchor moveWithCells="1">
                  <from>
                    <xdr:col>3</xdr:col>
                    <xdr:colOff>295275</xdr:colOff>
                    <xdr:row>2</xdr:row>
                    <xdr:rowOff>171450</xdr:rowOff>
                  </from>
                  <to>
                    <xdr:col>5</xdr:col>
                    <xdr:colOff>495300</xdr:colOff>
                    <xdr:row>3</xdr:row>
                    <xdr:rowOff>180975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DEB6E-D6AE-4190-828F-D495D7F6AE9C}">
  <sheetPr>
    <tabColor rgb="FFFFFF00"/>
    <pageSetUpPr fitToPage="1"/>
  </sheetPr>
  <dimension ref="A1:AB96"/>
  <sheetViews>
    <sheetView showGridLines="0" showRowColHeaders="0" zoomScaleNormal="100" zoomScaleSheetLayoutView="100" workbookViewId="0"/>
  </sheetViews>
  <sheetFormatPr defaultColWidth="0" defaultRowHeight="15" zeroHeight="1"/>
  <cols>
    <col min="1" max="11" width="8.42578125" style="841" customWidth="1"/>
    <col min="12" max="12" width="7" style="841" customWidth="1"/>
    <col min="13" max="23" width="8.7109375" style="841" customWidth="1"/>
    <col min="24" max="27" width="8.7109375" style="841" hidden="1"/>
    <col min="28" max="28" width="11.28515625" style="841" hidden="1"/>
    <col min="29" max="16384" width="8.7109375" style="841" hidden="1"/>
  </cols>
  <sheetData>
    <row r="1" spans="1:28">
      <c r="A1" s="863"/>
      <c r="B1" s="863"/>
      <c r="C1" s="863"/>
      <c r="D1" s="863"/>
      <c r="E1" s="863"/>
      <c r="F1" s="863"/>
      <c r="G1" s="863"/>
      <c r="H1" s="863"/>
      <c r="I1" s="863"/>
      <c r="J1" s="863"/>
      <c r="K1" s="863"/>
      <c r="L1" s="863"/>
      <c r="M1" s="863"/>
      <c r="N1" s="863"/>
      <c r="O1" s="863"/>
      <c r="P1" s="863"/>
      <c r="Q1" s="863"/>
      <c r="R1" s="863"/>
      <c r="S1" s="863"/>
      <c r="T1" s="863"/>
      <c r="U1" s="863"/>
      <c r="V1" s="863"/>
      <c r="W1" s="863"/>
    </row>
    <row r="2" spans="1:28">
      <c r="A2" s="863"/>
      <c r="B2" s="863"/>
      <c r="C2" s="863"/>
      <c r="D2" s="863"/>
      <c r="E2" s="863"/>
      <c r="F2" s="863"/>
      <c r="G2" s="863"/>
      <c r="H2" s="863"/>
      <c r="I2" s="863"/>
      <c r="J2" s="863"/>
      <c r="K2" s="863"/>
      <c r="L2" s="863"/>
      <c r="M2" s="863"/>
      <c r="N2" s="863"/>
      <c r="O2" s="863"/>
      <c r="P2" s="863"/>
      <c r="Q2" s="863"/>
      <c r="R2" s="863"/>
      <c r="S2" s="863"/>
      <c r="T2" s="863"/>
      <c r="U2" s="863"/>
      <c r="V2" s="863"/>
      <c r="W2" s="863"/>
    </row>
    <row r="3" spans="1:28">
      <c r="A3" s="863"/>
      <c r="B3" s="863"/>
      <c r="C3" s="863"/>
      <c r="D3" s="863"/>
      <c r="E3" s="863"/>
      <c r="F3" s="863"/>
      <c r="G3" s="863"/>
      <c r="H3" s="863"/>
      <c r="I3" s="863"/>
      <c r="J3" s="863"/>
      <c r="K3" s="863"/>
      <c r="L3" s="863"/>
      <c r="M3" s="863"/>
      <c r="N3" s="863"/>
      <c r="O3" s="863"/>
      <c r="P3" s="863"/>
      <c r="Q3" s="863"/>
      <c r="R3" s="863"/>
      <c r="S3" s="863"/>
      <c r="T3" s="863"/>
      <c r="U3" s="863"/>
      <c r="V3" s="863"/>
      <c r="W3" s="863"/>
    </row>
    <row r="4" spans="1:28">
      <c r="A4" s="863"/>
      <c r="B4" s="863"/>
      <c r="C4" s="863"/>
      <c r="D4" s="863"/>
      <c r="E4" s="863"/>
      <c r="F4" s="863"/>
      <c r="G4" s="863"/>
      <c r="H4" s="863"/>
      <c r="I4" s="863"/>
      <c r="J4" s="863"/>
      <c r="K4" s="863"/>
      <c r="L4" s="863"/>
      <c r="M4" s="863"/>
      <c r="N4" s="863"/>
      <c r="O4" s="863"/>
      <c r="P4" s="863"/>
      <c r="Q4" s="863"/>
      <c r="R4" s="863"/>
      <c r="S4" s="863"/>
      <c r="T4" s="863"/>
      <c r="U4" s="863"/>
      <c r="V4" s="863"/>
      <c r="W4" s="863"/>
    </row>
    <row r="5" spans="1:28">
      <c r="A5" s="863"/>
      <c r="B5" s="863"/>
      <c r="C5" s="863"/>
      <c r="D5" s="863"/>
      <c r="E5" s="863"/>
      <c r="F5" s="863"/>
      <c r="G5" s="863"/>
      <c r="H5" s="863"/>
      <c r="I5" s="863"/>
      <c r="J5" s="863"/>
      <c r="K5" s="863"/>
      <c r="L5" s="863"/>
      <c r="M5" s="863"/>
      <c r="N5" s="863"/>
      <c r="O5" s="863"/>
      <c r="P5" s="863"/>
      <c r="Q5" s="863"/>
      <c r="R5" s="863"/>
      <c r="S5" s="863"/>
      <c r="T5" s="863"/>
      <c r="U5" s="863"/>
      <c r="V5" s="863"/>
      <c r="W5" s="863"/>
      <c r="Z5" s="849"/>
    </row>
    <row r="6" spans="1:28">
      <c r="A6" s="863"/>
      <c r="B6" s="863"/>
      <c r="C6" s="863"/>
      <c r="D6" s="863"/>
      <c r="E6" s="863"/>
      <c r="F6" s="863"/>
      <c r="G6" s="864"/>
      <c r="H6" s="863"/>
      <c r="I6" s="863"/>
      <c r="J6" s="863"/>
      <c r="K6" s="863"/>
      <c r="L6" s="877"/>
      <c r="M6" s="877"/>
      <c r="N6" s="877"/>
      <c r="O6" s="877"/>
      <c r="P6" s="877"/>
      <c r="Q6" s="877"/>
      <c r="R6" s="863"/>
      <c r="S6" s="863"/>
      <c r="T6" s="863"/>
      <c r="U6" s="863"/>
      <c r="V6" s="863"/>
      <c r="W6" s="863"/>
    </row>
    <row r="7" spans="1:28">
      <c r="A7" s="880"/>
      <c r="B7" s="880"/>
      <c r="C7" s="880"/>
      <c r="D7" s="880"/>
      <c r="E7" s="880"/>
      <c r="F7" s="880"/>
      <c r="G7" s="863"/>
      <c r="H7" s="863"/>
      <c r="I7" s="863"/>
      <c r="J7" s="863"/>
      <c r="K7" s="863"/>
      <c r="L7" s="863"/>
      <c r="M7" s="863"/>
      <c r="N7" s="863"/>
      <c r="O7" s="863"/>
      <c r="P7" s="863"/>
      <c r="Q7" s="863"/>
      <c r="R7" s="863"/>
      <c r="S7" s="863"/>
      <c r="T7" s="863"/>
      <c r="U7" s="863"/>
      <c r="V7" s="863"/>
      <c r="W7" s="863"/>
    </row>
    <row r="8" spans="1:28" ht="15" customHeight="1">
      <c r="A8" s="863"/>
      <c r="B8" s="863"/>
      <c r="C8" s="863"/>
      <c r="D8" s="863"/>
      <c r="E8" s="863"/>
      <c r="F8" s="867"/>
      <c r="G8" s="867"/>
      <c r="H8" s="863"/>
      <c r="I8" s="863"/>
      <c r="J8" s="863"/>
      <c r="K8" s="863"/>
      <c r="L8" s="863"/>
      <c r="M8" s="863"/>
      <c r="N8" s="863"/>
      <c r="O8" s="863"/>
      <c r="P8" s="863"/>
      <c r="Q8" s="863"/>
      <c r="R8" s="863"/>
      <c r="S8" s="863"/>
      <c r="T8" s="863"/>
      <c r="U8" s="863"/>
      <c r="V8" s="863"/>
      <c r="W8" s="863"/>
    </row>
    <row r="9" spans="1:28" ht="15" customHeight="1">
      <c r="A9" s="863"/>
      <c r="B9" s="863"/>
      <c r="C9" s="863"/>
      <c r="D9" s="863"/>
      <c r="E9" s="863"/>
      <c r="F9" s="867"/>
      <c r="G9" s="867"/>
      <c r="H9" s="863"/>
      <c r="I9" s="863"/>
      <c r="J9" s="863"/>
      <c r="K9" s="863"/>
      <c r="L9" s="863"/>
      <c r="M9" s="863"/>
      <c r="N9" s="863"/>
      <c r="O9" s="863"/>
      <c r="P9" s="863"/>
      <c r="Q9" s="863"/>
      <c r="R9" s="863"/>
      <c r="S9" s="863"/>
      <c r="T9" s="863"/>
      <c r="U9" s="863"/>
      <c r="V9" s="863"/>
      <c r="W9" s="863"/>
    </row>
    <row r="10" spans="1:28">
      <c r="A10" s="863"/>
      <c r="B10" s="863"/>
      <c r="C10" s="863"/>
      <c r="D10" s="863"/>
      <c r="E10" s="863"/>
      <c r="F10" s="867"/>
      <c r="G10" s="867"/>
      <c r="H10" s="863"/>
      <c r="I10" s="863"/>
      <c r="J10" s="863"/>
      <c r="K10" s="863"/>
      <c r="L10" s="863"/>
      <c r="M10" s="863"/>
      <c r="N10" s="863"/>
      <c r="O10" s="863"/>
      <c r="P10" s="863"/>
      <c r="Q10" s="863"/>
      <c r="R10" s="863"/>
      <c r="S10" s="863"/>
      <c r="T10" s="863"/>
      <c r="U10" s="863"/>
      <c r="V10" s="863"/>
      <c r="W10" s="863"/>
      <c r="AB10" s="850"/>
    </row>
    <row r="11" spans="1:28" ht="15" customHeight="1">
      <c r="A11" s="863"/>
      <c r="B11" s="863"/>
      <c r="C11" s="863"/>
      <c r="D11" s="863"/>
      <c r="E11" s="863"/>
      <c r="F11" s="867"/>
      <c r="G11" s="867"/>
      <c r="H11" s="863"/>
      <c r="I11" s="863"/>
      <c r="J11" s="863"/>
      <c r="K11" s="863"/>
      <c r="L11" s="863"/>
      <c r="M11" s="863"/>
      <c r="N11" s="863"/>
      <c r="O11" s="863"/>
      <c r="P11" s="863"/>
      <c r="Q11" s="863"/>
      <c r="R11" s="863"/>
      <c r="S11" s="863"/>
      <c r="T11" s="863"/>
      <c r="U11" s="863"/>
      <c r="V11" s="863"/>
      <c r="W11" s="863"/>
    </row>
    <row r="12" spans="1:28" ht="15" customHeight="1">
      <c r="A12" s="863"/>
      <c r="B12" s="863"/>
      <c r="C12" s="863"/>
      <c r="D12" s="863"/>
      <c r="E12" s="863"/>
      <c r="F12" s="867"/>
      <c r="G12" s="867"/>
      <c r="H12" s="863"/>
      <c r="I12" s="863"/>
      <c r="J12" s="863"/>
      <c r="K12" s="863"/>
      <c r="L12" s="863"/>
      <c r="M12" s="863"/>
      <c r="N12" s="863"/>
      <c r="O12" s="863"/>
      <c r="P12" s="863"/>
      <c r="Q12" s="863"/>
      <c r="R12" s="863"/>
      <c r="S12" s="863"/>
      <c r="T12" s="863"/>
      <c r="U12" s="863"/>
      <c r="V12" s="863"/>
      <c r="W12" s="863"/>
    </row>
    <row r="13" spans="1:28">
      <c r="A13" s="863"/>
      <c r="B13" s="863"/>
      <c r="C13" s="863"/>
      <c r="D13" s="863"/>
      <c r="E13" s="863"/>
      <c r="F13" s="867"/>
      <c r="G13" s="867"/>
      <c r="H13" s="863"/>
      <c r="I13" s="863"/>
      <c r="J13" s="863"/>
      <c r="K13" s="863"/>
      <c r="L13" s="863"/>
      <c r="M13" s="863"/>
      <c r="N13" s="863"/>
      <c r="O13" s="863"/>
      <c r="P13" s="863"/>
      <c r="Q13" s="863"/>
      <c r="R13" s="863"/>
      <c r="S13" s="863"/>
      <c r="T13" s="863"/>
      <c r="U13" s="863"/>
      <c r="V13" s="863"/>
      <c r="W13" s="863"/>
    </row>
    <row r="14" spans="1:28">
      <c r="A14" s="863"/>
      <c r="B14" s="863"/>
      <c r="C14" s="863"/>
      <c r="D14" s="863"/>
      <c r="E14" s="863"/>
      <c r="F14" s="863"/>
      <c r="G14" s="863"/>
      <c r="H14" s="863"/>
      <c r="I14" s="863"/>
      <c r="J14" s="863"/>
      <c r="K14" s="863"/>
      <c r="L14" s="863"/>
      <c r="M14" s="863"/>
      <c r="N14" s="863"/>
      <c r="O14" s="863"/>
      <c r="P14" s="863"/>
      <c r="Q14" s="863"/>
      <c r="R14" s="863"/>
      <c r="S14" s="863"/>
      <c r="T14" s="863"/>
      <c r="U14" s="863"/>
      <c r="V14" s="863"/>
      <c r="W14" s="863"/>
    </row>
    <row r="15" spans="1:28">
      <c r="A15" s="863"/>
      <c r="B15" s="863"/>
      <c r="C15" s="863"/>
      <c r="D15" s="863"/>
      <c r="E15" s="863"/>
      <c r="F15" s="863"/>
      <c r="G15" s="863"/>
      <c r="H15" s="863"/>
      <c r="I15" s="863"/>
      <c r="J15" s="863"/>
      <c r="K15" s="863"/>
      <c r="L15" s="863"/>
      <c r="M15" s="863"/>
      <c r="N15" s="863"/>
      <c r="O15" s="863"/>
      <c r="P15" s="863"/>
      <c r="Q15" s="863"/>
      <c r="R15" s="863"/>
      <c r="S15" s="863"/>
      <c r="T15" s="863"/>
      <c r="U15" s="863"/>
      <c r="V15" s="863"/>
      <c r="W15" s="863"/>
    </row>
    <row r="16" spans="1:28">
      <c r="A16" s="863"/>
      <c r="B16" s="863"/>
      <c r="C16" s="863"/>
      <c r="D16" s="863"/>
      <c r="E16" s="863"/>
      <c r="F16" s="863"/>
      <c r="G16" s="863"/>
      <c r="H16" s="863"/>
      <c r="I16" s="863"/>
      <c r="J16" s="863"/>
      <c r="K16" s="863"/>
      <c r="L16" s="863"/>
      <c r="M16" s="863"/>
      <c r="N16" s="863"/>
      <c r="O16" s="863"/>
      <c r="P16" s="863"/>
      <c r="Q16" s="863"/>
      <c r="R16" s="863"/>
      <c r="S16" s="863"/>
      <c r="T16" s="863"/>
      <c r="U16" s="863"/>
      <c r="V16" s="863"/>
      <c r="W16" s="863"/>
    </row>
    <row r="17" spans="1:28">
      <c r="A17" s="863"/>
      <c r="B17" s="863"/>
      <c r="C17" s="863"/>
      <c r="D17" s="863"/>
      <c r="E17" s="863"/>
      <c r="F17" s="863"/>
      <c r="G17" s="863"/>
      <c r="H17" s="863"/>
      <c r="I17" s="863"/>
      <c r="J17" s="863"/>
      <c r="K17" s="863"/>
      <c r="L17" s="863"/>
      <c r="M17" s="863"/>
      <c r="N17" s="863"/>
      <c r="O17" s="863"/>
      <c r="P17" s="863"/>
      <c r="Q17" s="863"/>
      <c r="R17" s="863"/>
      <c r="S17" s="863"/>
      <c r="T17" s="863"/>
      <c r="U17" s="863"/>
      <c r="V17" s="863"/>
      <c r="W17" s="863"/>
    </row>
    <row r="18" spans="1:28">
      <c r="A18" s="863"/>
      <c r="B18" s="863"/>
      <c r="C18" s="863"/>
      <c r="D18" s="863"/>
      <c r="E18" s="863"/>
      <c r="F18" s="863"/>
      <c r="G18" s="863"/>
      <c r="H18" s="863"/>
      <c r="I18" s="863"/>
      <c r="J18" s="863"/>
      <c r="K18" s="863"/>
      <c r="L18" s="863"/>
      <c r="M18" s="863"/>
      <c r="N18" s="863"/>
      <c r="O18" s="863"/>
      <c r="P18" s="863"/>
      <c r="Q18" s="863"/>
      <c r="R18" s="863"/>
      <c r="S18" s="863"/>
      <c r="T18" s="863"/>
      <c r="U18" s="863"/>
      <c r="V18" s="863"/>
      <c r="W18" s="863"/>
    </row>
    <row r="19" spans="1:28">
      <c r="A19" s="863"/>
      <c r="B19" s="863"/>
      <c r="C19" s="863"/>
      <c r="D19" s="863"/>
      <c r="E19" s="863"/>
      <c r="F19" s="863"/>
      <c r="G19" s="863"/>
      <c r="H19" s="863"/>
      <c r="I19" s="863"/>
      <c r="J19" s="863"/>
      <c r="K19" s="863"/>
      <c r="L19" s="863"/>
      <c r="M19" s="863"/>
      <c r="N19" s="863"/>
      <c r="O19" s="863"/>
      <c r="P19" s="863"/>
      <c r="Q19" s="863"/>
      <c r="R19" s="863"/>
      <c r="S19" s="863"/>
      <c r="T19" s="863"/>
      <c r="U19" s="863"/>
      <c r="V19" s="863"/>
      <c r="W19" s="863"/>
      <c r="AB19" s="851"/>
    </row>
    <row r="20" spans="1:28">
      <c r="A20" s="863"/>
      <c r="B20" s="863"/>
      <c r="C20" s="863"/>
      <c r="D20" s="863"/>
      <c r="E20" s="863"/>
      <c r="F20" s="863"/>
      <c r="G20" s="863"/>
      <c r="H20" s="863"/>
      <c r="I20" s="863"/>
      <c r="J20" s="863"/>
      <c r="K20" s="863"/>
      <c r="L20" s="863"/>
      <c r="M20" s="863"/>
      <c r="N20" s="863"/>
      <c r="O20" s="863"/>
      <c r="P20" s="863"/>
      <c r="Q20" s="863"/>
      <c r="R20" s="863"/>
      <c r="S20" s="863"/>
      <c r="T20" s="863"/>
      <c r="U20" s="863"/>
      <c r="V20" s="863"/>
      <c r="W20" s="863"/>
      <c r="AB20" s="851"/>
    </row>
    <row r="21" spans="1:28">
      <c r="A21" s="863"/>
      <c r="B21" s="863"/>
      <c r="C21" s="863"/>
      <c r="D21" s="863"/>
      <c r="E21" s="863"/>
      <c r="F21" s="863"/>
      <c r="G21" s="863"/>
      <c r="H21" s="863"/>
      <c r="I21" s="863"/>
      <c r="J21" s="863"/>
      <c r="K21" s="863"/>
      <c r="L21" s="863"/>
      <c r="M21" s="863"/>
      <c r="N21" s="863"/>
      <c r="O21" s="863"/>
      <c r="P21" s="863"/>
      <c r="Q21" s="863"/>
      <c r="R21" s="863"/>
      <c r="S21" s="863"/>
      <c r="T21" s="863"/>
      <c r="U21" s="863"/>
      <c r="V21" s="863"/>
      <c r="W21" s="863"/>
      <c r="AB21" s="852"/>
    </row>
    <row r="22" spans="1:28">
      <c r="A22" s="863"/>
      <c r="B22" s="863"/>
      <c r="C22" s="863"/>
      <c r="D22" s="863"/>
      <c r="E22" s="863"/>
      <c r="F22" s="863"/>
      <c r="G22" s="863"/>
      <c r="H22" s="863"/>
      <c r="I22" s="863"/>
      <c r="J22" s="863"/>
      <c r="K22" s="863"/>
      <c r="L22" s="863"/>
      <c r="M22" s="863"/>
      <c r="N22" s="863"/>
      <c r="O22" s="863"/>
      <c r="P22" s="863"/>
      <c r="Q22" s="863"/>
      <c r="R22" s="863"/>
      <c r="S22" s="863"/>
      <c r="T22" s="863"/>
      <c r="U22" s="863"/>
      <c r="V22" s="863"/>
      <c r="W22" s="863"/>
    </row>
    <row r="23" spans="1:28">
      <c r="A23" s="863"/>
      <c r="B23" s="863"/>
      <c r="C23" s="863"/>
      <c r="D23" s="863"/>
      <c r="E23" s="863"/>
      <c r="F23" s="863"/>
      <c r="G23" s="863"/>
      <c r="H23" s="863"/>
      <c r="I23" s="863"/>
      <c r="J23" s="863"/>
      <c r="K23" s="863"/>
      <c r="L23" s="863"/>
      <c r="M23" s="863"/>
      <c r="N23" s="863"/>
      <c r="O23" s="863"/>
      <c r="P23" s="863"/>
      <c r="Q23" s="863"/>
      <c r="R23" s="863"/>
      <c r="S23" s="863"/>
      <c r="T23" s="863"/>
      <c r="U23" s="863"/>
      <c r="V23" s="863"/>
      <c r="W23" s="863"/>
    </row>
    <row r="24" spans="1:28">
      <c r="A24" s="863"/>
      <c r="B24" s="863"/>
      <c r="C24" s="863"/>
      <c r="D24" s="863"/>
      <c r="E24" s="863"/>
      <c r="F24" s="863"/>
      <c r="G24" s="863"/>
      <c r="H24" s="863"/>
      <c r="I24" s="863"/>
      <c r="J24" s="863"/>
      <c r="K24" s="863"/>
      <c r="L24" s="863"/>
      <c r="M24" s="863"/>
      <c r="N24" s="863"/>
      <c r="O24" s="863"/>
      <c r="P24" s="863"/>
      <c r="Q24" s="863"/>
      <c r="R24" s="863"/>
      <c r="S24" s="863"/>
      <c r="T24" s="863"/>
      <c r="U24" s="863"/>
      <c r="V24" s="863"/>
      <c r="W24" s="863"/>
    </row>
    <row r="25" spans="1:28">
      <c r="A25" s="863"/>
      <c r="B25" s="863"/>
      <c r="C25" s="863"/>
      <c r="D25" s="863"/>
      <c r="E25" s="863"/>
      <c r="F25" s="863"/>
      <c r="G25" s="863"/>
      <c r="H25" s="863"/>
      <c r="I25" s="863"/>
      <c r="J25" s="863"/>
      <c r="K25" s="863"/>
      <c r="L25" s="863"/>
      <c r="M25" s="863"/>
      <c r="N25" s="863"/>
      <c r="O25" s="863"/>
      <c r="P25" s="863"/>
      <c r="Q25" s="863"/>
      <c r="R25" s="863"/>
      <c r="S25" s="863"/>
      <c r="T25" s="863"/>
      <c r="U25" s="863"/>
      <c r="V25" s="863"/>
      <c r="W25" s="863"/>
    </row>
    <row r="26" spans="1:28">
      <c r="A26" s="863"/>
      <c r="B26" s="863"/>
      <c r="C26" s="863"/>
      <c r="D26" s="863"/>
      <c r="E26" s="863"/>
      <c r="F26" s="863"/>
      <c r="G26" s="863"/>
      <c r="H26" s="863"/>
      <c r="I26" s="863"/>
      <c r="J26" s="863"/>
      <c r="K26" s="863"/>
      <c r="L26" s="863"/>
      <c r="M26" s="863"/>
      <c r="N26" s="863"/>
      <c r="O26" s="863"/>
      <c r="P26" s="863"/>
      <c r="Q26" s="863"/>
      <c r="R26" s="863"/>
      <c r="S26" s="863"/>
      <c r="T26" s="863"/>
      <c r="U26" s="863"/>
      <c r="V26" s="863"/>
      <c r="W26" s="863"/>
    </row>
    <row r="27" spans="1:28">
      <c r="A27" s="863"/>
      <c r="B27" s="863"/>
      <c r="C27" s="863"/>
      <c r="D27" s="863"/>
      <c r="E27" s="863"/>
      <c r="F27" s="863"/>
      <c r="G27" s="863"/>
      <c r="H27" s="863"/>
      <c r="I27" s="863"/>
      <c r="J27" s="863"/>
      <c r="K27" s="863"/>
      <c r="L27" s="863"/>
      <c r="M27" s="863"/>
      <c r="N27" s="863"/>
      <c r="O27" s="863"/>
      <c r="P27" s="863"/>
      <c r="Q27" s="863"/>
      <c r="R27" s="863"/>
      <c r="S27" s="863"/>
      <c r="T27" s="863"/>
      <c r="U27" s="863"/>
      <c r="V27" s="863"/>
      <c r="W27" s="863"/>
    </row>
    <row r="28" spans="1:28">
      <c r="A28" s="863"/>
      <c r="B28" s="863"/>
      <c r="C28" s="863"/>
      <c r="D28" s="863"/>
      <c r="E28" s="863"/>
      <c r="F28" s="863"/>
      <c r="G28" s="863"/>
      <c r="H28" s="863"/>
      <c r="I28" s="863"/>
      <c r="J28" s="863"/>
      <c r="K28" s="863"/>
      <c r="L28" s="863"/>
      <c r="M28" s="863"/>
      <c r="N28" s="863"/>
      <c r="O28" s="863"/>
      <c r="P28" s="868"/>
      <c r="Q28" s="868"/>
      <c r="R28" s="868"/>
      <c r="S28" s="868"/>
      <c r="T28" s="868"/>
      <c r="U28" s="868"/>
      <c r="V28" s="868"/>
      <c r="W28" s="868"/>
      <c r="X28" s="842"/>
      <c r="Y28" s="842"/>
    </row>
    <row r="29" spans="1:28">
      <c r="A29" s="863"/>
      <c r="B29" s="863"/>
      <c r="C29" s="863"/>
      <c r="D29" s="863"/>
      <c r="E29" s="863"/>
      <c r="F29" s="863"/>
      <c r="G29" s="863"/>
      <c r="H29" s="863"/>
      <c r="I29" s="863"/>
      <c r="J29" s="863"/>
      <c r="K29" s="863"/>
      <c r="L29" s="863"/>
      <c r="M29" s="863"/>
      <c r="N29" s="863"/>
      <c r="O29" s="863"/>
      <c r="P29" s="869"/>
      <c r="Q29" s="869"/>
      <c r="R29" s="869"/>
      <c r="S29" s="869"/>
      <c r="T29" s="869"/>
      <c r="U29" s="869"/>
      <c r="V29" s="863"/>
      <c r="W29" s="870"/>
      <c r="X29" s="843"/>
      <c r="Y29" s="853"/>
    </row>
    <row r="30" spans="1:28">
      <c r="A30" s="863"/>
      <c r="B30" s="863"/>
      <c r="C30" s="863"/>
      <c r="D30" s="863"/>
      <c r="E30" s="863"/>
      <c r="F30" s="863"/>
      <c r="G30" s="863"/>
      <c r="H30" s="863"/>
      <c r="I30" s="863"/>
      <c r="J30" s="863"/>
      <c r="K30" s="863"/>
      <c r="L30" s="863"/>
      <c r="M30" s="863"/>
      <c r="N30" s="863"/>
      <c r="O30" s="863"/>
      <c r="P30" s="863"/>
      <c r="Q30" s="863"/>
      <c r="R30" s="863"/>
      <c r="S30" s="863"/>
      <c r="T30" s="863"/>
      <c r="U30" s="863"/>
      <c r="V30" s="863"/>
      <c r="W30" s="863"/>
    </row>
    <row r="31" spans="1:28">
      <c r="A31" s="863"/>
      <c r="B31" s="863"/>
      <c r="C31" s="863"/>
      <c r="D31" s="863"/>
      <c r="E31" s="863"/>
      <c r="F31" s="863"/>
      <c r="G31" s="863"/>
      <c r="H31" s="863"/>
      <c r="I31" s="863"/>
      <c r="J31" s="863"/>
      <c r="K31" s="863"/>
      <c r="L31" s="863"/>
      <c r="M31" s="863"/>
      <c r="N31" s="863"/>
      <c r="O31" s="863"/>
      <c r="P31" s="871"/>
      <c r="Q31" s="863"/>
      <c r="R31" s="863"/>
      <c r="S31" s="863"/>
      <c r="T31" s="863"/>
      <c r="U31" s="863"/>
      <c r="V31" s="863"/>
      <c r="W31" s="863"/>
    </row>
    <row r="32" spans="1:28">
      <c r="A32" s="863"/>
      <c r="B32" s="863"/>
      <c r="C32" s="863"/>
      <c r="D32" s="863"/>
      <c r="E32" s="863"/>
      <c r="F32" s="863"/>
      <c r="G32" s="863"/>
      <c r="H32" s="863"/>
      <c r="I32" s="863"/>
      <c r="J32" s="863"/>
      <c r="K32" s="863"/>
      <c r="L32" s="863"/>
      <c r="M32" s="863"/>
      <c r="N32" s="863"/>
      <c r="O32" s="863"/>
      <c r="P32" s="870"/>
      <c r="Q32" s="863"/>
      <c r="R32" s="863"/>
      <c r="S32" s="863"/>
      <c r="T32" s="863"/>
      <c r="U32" s="863"/>
      <c r="V32" s="863"/>
      <c r="W32" s="863"/>
    </row>
    <row r="33" spans="1:25">
      <c r="A33" s="863"/>
      <c r="B33" s="863"/>
      <c r="C33" s="863"/>
      <c r="D33" s="863"/>
      <c r="E33" s="863"/>
      <c r="F33" s="863"/>
      <c r="G33" s="863"/>
      <c r="H33" s="863"/>
      <c r="I33" s="863"/>
      <c r="J33" s="863"/>
      <c r="K33" s="863"/>
      <c r="L33" s="863"/>
      <c r="M33" s="863"/>
      <c r="N33" s="863"/>
      <c r="O33" s="863"/>
      <c r="P33" s="870"/>
      <c r="Q33" s="863"/>
      <c r="R33" s="863"/>
      <c r="S33" s="863"/>
      <c r="T33" s="863"/>
      <c r="U33" s="863"/>
      <c r="V33" s="863"/>
      <c r="W33" s="863"/>
      <c r="Y33" s="847"/>
    </row>
    <row r="34" spans="1:25">
      <c r="A34" s="863"/>
      <c r="B34" s="863"/>
      <c r="C34" s="863"/>
      <c r="D34" s="863"/>
      <c r="E34" s="863"/>
      <c r="F34" s="863"/>
      <c r="G34" s="863"/>
      <c r="H34" s="863"/>
      <c r="I34" s="863"/>
      <c r="J34" s="863"/>
      <c r="K34" s="863"/>
      <c r="L34" s="863"/>
      <c r="M34" s="863"/>
      <c r="N34" s="863"/>
      <c r="O34" s="863"/>
      <c r="P34" s="870"/>
      <c r="Q34" s="863"/>
      <c r="R34" s="863"/>
      <c r="S34" s="863"/>
      <c r="T34" s="863"/>
      <c r="U34" s="863"/>
      <c r="V34" s="863"/>
      <c r="W34" s="863"/>
    </row>
    <row r="35" spans="1:25">
      <c r="A35" s="881"/>
      <c r="B35" s="863"/>
      <c r="C35" s="863"/>
      <c r="D35" s="863"/>
      <c r="E35" s="863"/>
      <c r="F35" s="863"/>
      <c r="G35" s="863"/>
      <c r="H35" s="872"/>
      <c r="I35" s="863"/>
      <c r="J35" s="871"/>
      <c r="K35" s="863"/>
      <c r="L35" s="863"/>
      <c r="M35" s="870"/>
      <c r="N35" s="870"/>
      <c r="O35" s="870"/>
      <c r="P35" s="870"/>
      <c r="Q35" s="863"/>
      <c r="R35" s="863"/>
      <c r="S35" s="863"/>
      <c r="T35" s="863"/>
      <c r="U35" s="863"/>
      <c r="V35" s="863"/>
      <c r="W35" s="863"/>
    </row>
    <row r="36" spans="1:25">
      <c r="A36" s="881"/>
      <c r="B36" s="863"/>
      <c r="C36" s="863"/>
      <c r="D36" s="863"/>
      <c r="E36" s="863"/>
      <c r="F36" s="863"/>
      <c r="G36" s="863"/>
      <c r="H36" s="872"/>
      <c r="I36" s="863"/>
      <c r="J36" s="871"/>
      <c r="K36" s="863"/>
      <c r="L36" s="863"/>
      <c r="M36" s="870"/>
      <c r="N36" s="870"/>
      <c r="O36" s="870"/>
      <c r="P36" s="870"/>
      <c r="Q36" s="863"/>
      <c r="R36" s="863"/>
      <c r="S36" s="863"/>
      <c r="T36" s="863"/>
      <c r="U36" s="863"/>
      <c r="V36" s="863"/>
      <c r="W36" s="863"/>
    </row>
    <row r="37" spans="1:25">
      <c r="A37" s="881"/>
      <c r="B37" s="863"/>
      <c r="C37" s="863"/>
      <c r="D37" s="863"/>
      <c r="E37" s="863"/>
      <c r="F37" s="863"/>
      <c r="G37" s="863"/>
      <c r="H37" s="863"/>
      <c r="I37" s="863"/>
      <c r="J37" s="871"/>
      <c r="K37" s="863"/>
      <c r="L37" s="863"/>
      <c r="M37" s="873"/>
      <c r="N37" s="872"/>
      <c r="O37" s="870"/>
      <c r="P37" s="870"/>
      <c r="Q37" s="882"/>
      <c r="R37" s="863"/>
      <c r="S37" s="863"/>
      <c r="T37" s="863"/>
      <c r="U37" s="863"/>
      <c r="V37" s="863"/>
      <c r="W37" s="863"/>
    </row>
    <row r="38" spans="1:25">
      <c r="A38" s="881"/>
      <c r="B38" s="863"/>
      <c r="C38" s="863"/>
      <c r="D38" s="863"/>
      <c r="E38" s="863"/>
      <c r="F38" s="863"/>
      <c r="G38" s="863"/>
      <c r="H38" s="872"/>
      <c r="I38" s="863"/>
      <c r="J38" s="871"/>
      <c r="K38" s="863"/>
      <c r="L38" s="863"/>
      <c r="M38" s="870"/>
      <c r="N38" s="870"/>
      <c r="O38" s="870"/>
      <c r="P38" s="870"/>
      <c r="Q38" s="863"/>
      <c r="R38" s="863"/>
      <c r="S38" s="863"/>
      <c r="T38" s="863"/>
      <c r="U38" s="863"/>
      <c r="V38" s="863"/>
      <c r="W38" s="863"/>
    </row>
    <row r="39" spans="1:25">
      <c r="A39" s="881"/>
      <c r="B39" s="863"/>
      <c r="C39" s="863"/>
      <c r="D39" s="863"/>
      <c r="E39" s="863"/>
      <c r="F39" s="863"/>
      <c r="G39" s="863"/>
      <c r="H39" s="871"/>
      <c r="I39" s="871"/>
      <c r="J39" s="871"/>
      <c r="K39" s="863"/>
      <c r="L39" s="870"/>
      <c r="M39" s="870"/>
      <c r="N39" s="870"/>
      <c r="O39" s="870"/>
      <c r="P39" s="870"/>
      <c r="Q39" s="863"/>
      <c r="R39" s="863"/>
      <c r="S39" s="863"/>
      <c r="T39" s="863"/>
      <c r="U39" s="863"/>
      <c r="V39" s="863"/>
      <c r="W39" s="863"/>
    </row>
    <row r="40" spans="1:25">
      <c r="A40" s="863"/>
      <c r="B40" s="863"/>
      <c r="C40" s="863"/>
      <c r="D40" s="863"/>
      <c r="E40" s="863"/>
      <c r="F40" s="863"/>
      <c r="G40" s="870"/>
      <c r="H40" s="870"/>
      <c r="I40" s="870"/>
      <c r="J40" s="870"/>
      <c r="K40" s="870"/>
      <c r="L40" s="870"/>
      <c r="M40" s="870"/>
      <c r="N40" s="870"/>
      <c r="O40" s="870"/>
      <c r="P40" s="870"/>
      <c r="Q40" s="863"/>
      <c r="R40" s="863"/>
      <c r="S40" s="863"/>
      <c r="T40" s="863"/>
      <c r="U40" s="863"/>
      <c r="V40" s="863"/>
      <c r="W40" s="863"/>
    </row>
    <row r="41" spans="1:25">
      <c r="A41" s="863"/>
      <c r="B41" s="863"/>
      <c r="C41" s="863"/>
      <c r="D41" s="863"/>
      <c r="E41" s="863"/>
      <c r="F41" s="863"/>
      <c r="G41" s="870"/>
      <c r="H41" s="870"/>
      <c r="I41" s="870"/>
      <c r="J41" s="870"/>
      <c r="K41" s="870"/>
      <c r="L41" s="870"/>
      <c r="M41" s="870"/>
      <c r="N41" s="870"/>
      <c r="O41" s="870"/>
      <c r="P41" s="870"/>
      <c r="Q41" s="863"/>
      <c r="R41" s="863"/>
      <c r="S41" s="863"/>
      <c r="T41" s="863"/>
      <c r="U41" s="863"/>
      <c r="V41" s="863"/>
      <c r="W41" s="863"/>
    </row>
    <row r="42" spans="1:25">
      <c r="A42" s="863"/>
      <c r="B42" s="863"/>
      <c r="C42" s="863"/>
      <c r="D42" s="863"/>
      <c r="E42" s="863"/>
      <c r="F42" s="863"/>
      <c r="G42" s="870"/>
      <c r="H42" s="870"/>
      <c r="I42" s="870"/>
      <c r="J42" s="870"/>
      <c r="K42" s="870"/>
      <c r="L42" s="870"/>
      <c r="M42" s="870"/>
      <c r="N42" s="870"/>
      <c r="O42" s="870"/>
      <c r="P42" s="870"/>
      <c r="Q42" s="863"/>
      <c r="R42" s="863"/>
      <c r="S42" s="863"/>
      <c r="T42" s="863"/>
      <c r="U42" s="863"/>
      <c r="V42" s="863"/>
      <c r="W42" s="863"/>
    </row>
    <row r="43" spans="1:25">
      <c r="A43" s="863"/>
      <c r="B43" s="863"/>
      <c r="C43" s="863"/>
      <c r="D43" s="863"/>
      <c r="E43" s="863"/>
      <c r="F43" s="863"/>
      <c r="G43" s="870"/>
      <c r="H43" s="870"/>
      <c r="I43" s="870"/>
      <c r="J43" s="870"/>
      <c r="K43" s="870"/>
      <c r="L43" s="870"/>
      <c r="M43" s="870"/>
      <c r="N43" s="870"/>
      <c r="O43" s="870"/>
      <c r="P43" s="870"/>
      <c r="Q43" s="863"/>
      <c r="R43" s="863"/>
      <c r="S43" s="863"/>
      <c r="T43" s="863"/>
      <c r="U43" s="863"/>
      <c r="V43" s="863"/>
      <c r="W43" s="863"/>
    </row>
    <row r="44" spans="1:25">
      <c r="A44" s="863"/>
      <c r="B44" s="863"/>
      <c r="C44" s="863"/>
      <c r="D44" s="863"/>
      <c r="E44" s="863"/>
      <c r="F44" s="863"/>
      <c r="G44" s="870"/>
      <c r="H44" s="870"/>
      <c r="I44" s="870"/>
      <c r="J44" s="870"/>
      <c r="K44" s="870"/>
      <c r="L44" s="870"/>
      <c r="M44" s="870"/>
      <c r="N44" s="870"/>
      <c r="O44" s="870"/>
      <c r="P44" s="870"/>
      <c r="Q44" s="863"/>
      <c r="R44" s="863"/>
      <c r="S44" s="863"/>
      <c r="T44" s="863"/>
      <c r="U44" s="863"/>
      <c r="V44" s="863"/>
      <c r="W44" s="863"/>
    </row>
    <row r="45" spans="1:25">
      <c r="A45" s="863"/>
      <c r="B45" s="863"/>
      <c r="C45" s="863"/>
      <c r="D45" s="863"/>
      <c r="E45" s="863"/>
      <c r="F45" s="863"/>
      <c r="G45" s="870"/>
      <c r="H45" s="870"/>
      <c r="I45" s="870"/>
      <c r="J45" s="870"/>
      <c r="K45" s="870"/>
      <c r="L45" s="870"/>
      <c r="M45" s="874"/>
      <c r="N45" s="870"/>
      <c r="O45" s="870"/>
      <c r="P45" s="875"/>
      <c r="Q45" s="875"/>
      <c r="R45" s="863"/>
      <c r="S45" s="863"/>
      <c r="T45" s="863"/>
      <c r="U45" s="863"/>
      <c r="V45" s="863"/>
      <c r="W45" s="863"/>
    </row>
    <row r="46" spans="1:25">
      <c r="A46" s="863"/>
      <c r="B46" s="863"/>
      <c r="C46" s="863"/>
      <c r="D46" s="863"/>
      <c r="E46" s="863"/>
      <c r="F46" s="863"/>
      <c r="G46" s="870"/>
      <c r="H46" s="870"/>
      <c r="I46" s="870"/>
      <c r="J46" s="870"/>
      <c r="K46" s="870"/>
      <c r="L46" s="870"/>
      <c r="M46" s="870"/>
      <c r="N46" s="870"/>
      <c r="O46" s="870"/>
      <c r="P46" s="870"/>
      <c r="Q46" s="863"/>
      <c r="R46" s="863"/>
      <c r="S46" s="863"/>
      <c r="T46" s="863"/>
      <c r="U46" s="863"/>
      <c r="V46" s="863"/>
      <c r="W46" s="863"/>
    </row>
    <row r="47" spans="1:25">
      <c r="A47" s="863"/>
      <c r="B47" s="863"/>
      <c r="C47" s="863"/>
      <c r="D47" s="863"/>
      <c r="E47" s="863"/>
      <c r="F47" s="863"/>
      <c r="G47" s="870"/>
      <c r="H47" s="870"/>
      <c r="I47" s="870"/>
      <c r="J47" s="870"/>
      <c r="K47" s="870"/>
      <c r="L47" s="870"/>
      <c r="M47" s="870"/>
      <c r="N47" s="870"/>
      <c r="O47" s="870"/>
      <c r="P47" s="870"/>
      <c r="Q47" s="863"/>
      <c r="R47" s="863"/>
      <c r="S47" s="863"/>
      <c r="T47" s="863"/>
      <c r="U47" s="863"/>
      <c r="V47" s="863"/>
      <c r="W47" s="863"/>
    </row>
    <row r="48" spans="1:25">
      <c r="A48" s="863"/>
      <c r="B48" s="863"/>
      <c r="C48" s="863"/>
      <c r="D48" s="863"/>
      <c r="E48" s="863"/>
      <c r="F48" s="863"/>
      <c r="G48" s="870"/>
      <c r="H48" s="870"/>
      <c r="I48" s="870"/>
      <c r="J48" s="870"/>
      <c r="K48" s="870"/>
      <c r="L48" s="870"/>
      <c r="M48" s="870"/>
      <c r="N48" s="870"/>
      <c r="O48" s="870"/>
      <c r="P48" s="870"/>
      <c r="Q48" s="863"/>
      <c r="R48" s="863"/>
      <c r="S48" s="863"/>
      <c r="T48" s="863"/>
      <c r="U48" s="863"/>
      <c r="V48" s="863"/>
      <c r="W48" s="863"/>
    </row>
    <row r="49" spans="1:28">
      <c r="A49" s="863"/>
      <c r="B49" s="863"/>
      <c r="C49" s="863"/>
      <c r="D49" s="863"/>
      <c r="E49" s="863"/>
      <c r="F49" s="863"/>
      <c r="G49" s="870"/>
      <c r="H49" s="870"/>
      <c r="I49" s="870"/>
      <c r="J49" s="870"/>
      <c r="K49" s="870"/>
      <c r="L49" s="876"/>
      <c r="M49" s="876"/>
      <c r="N49" s="876"/>
      <c r="O49" s="876"/>
      <c r="P49" s="870"/>
      <c r="Q49" s="870"/>
      <c r="R49" s="870"/>
      <c r="S49" s="870"/>
      <c r="T49" s="870"/>
      <c r="U49" s="870"/>
      <c r="V49" s="870"/>
      <c r="W49" s="870"/>
      <c r="X49" s="843"/>
      <c r="Y49" s="843"/>
    </row>
    <row r="50" spans="1:28">
      <c r="A50" s="863"/>
      <c r="B50" s="863"/>
      <c r="C50" s="863"/>
      <c r="D50" s="863"/>
      <c r="E50" s="863"/>
      <c r="F50" s="863"/>
      <c r="G50" s="870"/>
      <c r="H50" s="870"/>
      <c r="I50" s="870"/>
      <c r="J50" s="870"/>
      <c r="K50" s="870"/>
      <c r="L50" s="870"/>
      <c r="M50" s="870"/>
      <c r="N50" s="870"/>
      <c r="O50" s="870"/>
      <c r="P50" s="870"/>
      <c r="Q50" s="870"/>
      <c r="R50" s="870"/>
      <c r="S50" s="870"/>
      <c r="T50" s="870"/>
      <c r="U50" s="870"/>
      <c r="V50" s="870"/>
      <c r="W50" s="870"/>
      <c r="X50" s="843"/>
      <c r="Y50" s="843"/>
    </row>
    <row r="51" spans="1:28">
      <c r="A51" s="863"/>
      <c r="B51" s="863"/>
      <c r="C51" s="863"/>
      <c r="D51" s="863"/>
      <c r="E51" s="863"/>
      <c r="F51" s="863"/>
      <c r="G51" s="870"/>
      <c r="H51" s="870"/>
      <c r="I51" s="870"/>
      <c r="J51" s="870"/>
      <c r="K51" s="870"/>
      <c r="L51" s="870"/>
      <c r="M51" s="870"/>
      <c r="N51" s="870"/>
      <c r="O51" s="870"/>
      <c r="P51" s="863"/>
      <c r="Q51" s="863"/>
      <c r="R51" s="863"/>
      <c r="S51" s="863"/>
      <c r="T51" s="863"/>
      <c r="U51" s="863"/>
      <c r="V51" s="863"/>
      <c r="W51" s="863"/>
    </row>
    <row r="52" spans="1:28">
      <c r="A52" s="863"/>
      <c r="B52" s="863"/>
      <c r="C52" s="863"/>
      <c r="D52" s="863"/>
      <c r="E52" s="863"/>
      <c r="F52" s="863"/>
      <c r="G52" s="863"/>
      <c r="H52" s="863"/>
      <c r="I52" s="863"/>
      <c r="J52" s="863"/>
      <c r="K52" s="863"/>
      <c r="L52" s="863"/>
      <c r="M52" s="863"/>
      <c r="N52" s="863"/>
      <c r="O52" s="863"/>
      <c r="P52" s="863"/>
      <c r="Q52" s="863"/>
      <c r="R52" s="863"/>
      <c r="S52" s="863"/>
      <c r="T52" s="863"/>
      <c r="U52" s="863"/>
      <c r="V52" s="863"/>
      <c r="W52" s="863"/>
    </row>
    <row r="53" spans="1:28">
      <c r="A53" s="863"/>
      <c r="B53" s="863"/>
      <c r="C53" s="863"/>
      <c r="D53" s="863"/>
      <c r="E53" s="863"/>
      <c r="F53" s="863"/>
      <c r="G53" s="863"/>
      <c r="H53" s="863"/>
      <c r="I53" s="863"/>
      <c r="J53" s="863"/>
      <c r="K53" s="863"/>
      <c r="L53" s="863"/>
      <c r="M53" s="863"/>
      <c r="N53" s="863"/>
      <c r="O53" s="863"/>
      <c r="P53" s="863"/>
      <c r="Q53" s="863"/>
      <c r="R53" s="863"/>
      <c r="S53" s="863"/>
      <c r="T53" s="863"/>
      <c r="U53" s="863"/>
      <c r="V53" s="863"/>
      <c r="W53" s="863"/>
    </row>
    <row r="54" spans="1:28">
      <c r="A54" s="863"/>
      <c r="B54" s="863"/>
      <c r="C54" s="863"/>
      <c r="D54" s="863"/>
      <c r="E54" s="863"/>
      <c r="F54" s="863"/>
      <c r="G54" s="863"/>
      <c r="H54" s="863"/>
      <c r="I54" s="863"/>
      <c r="J54" s="863"/>
      <c r="K54" s="863"/>
      <c r="L54" s="863"/>
      <c r="M54" s="863"/>
      <c r="N54" s="863"/>
      <c r="O54" s="863"/>
      <c r="P54" s="863"/>
      <c r="Q54" s="863"/>
      <c r="R54" s="863"/>
      <c r="S54" s="863"/>
      <c r="T54" s="863"/>
      <c r="U54" s="863"/>
      <c r="V54" s="863"/>
      <c r="W54" s="863"/>
    </row>
    <row r="55" spans="1:28" hidden="1">
      <c r="B55" s="845"/>
      <c r="J55" s="846"/>
      <c r="R55" s="846"/>
    </row>
    <row r="56" spans="1:28" hidden="1">
      <c r="R56" s="846"/>
      <c r="AB56" s="848"/>
    </row>
    <row r="57" spans="1:28" hidden="1">
      <c r="C57" s="848"/>
      <c r="O57" s="848"/>
      <c r="AB57" s="848"/>
    </row>
    <row r="58" spans="1:28" hidden="1">
      <c r="AB58" s="848"/>
    </row>
    <row r="59" spans="1:28" hidden="1"/>
    <row r="60" spans="1:28" hidden="1">
      <c r="AB60" s="844"/>
    </row>
    <row r="61" spans="1:28" hidden="1">
      <c r="AB61" s="844"/>
    </row>
    <row r="62" spans="1:28" hidden="1"/>
    <row r="63" spans="1:28" hidden="1"/>
    <row r="64" spans="1:28"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 hidden="1"/>
    <row r="82" spans="2:2" hidden="1"/>
    <row r="83" spans="2:2" hidden="1"/>
    <row r="84" spans="2:2" hidden="1"/>
    <row r="85" spans="2:2" hidden="1"/>
    <row r="86" spans="2:2" hidden="1"/>
    <row r="87" spans="2:2" hidden="1"/>
    <row r="88" spans="2:2" hidden="1"/>
    <row r="89" spans="2:2" hidden="1"/>
    <row r="90" spans="2:2" hidden="1"/>
    <row r="91" spans="2:2" hidden="1"/>
    <row r="92" spans="2:2" hidden="1">
      <c r="B92" s="844"/>
    </row>
    <row r="93" spans="2:2" hidden="1">
      <c r="B93" s="844"/>
    </row>
    <row r="94" spans="2:2" hidden="1">
      <c r="B94" s="844"/>
    </row>
    <row r="95" spans="2:2" hidden="1">
      <c r="B95" s="844"/>
    </row>
    <row r="96" spans="2:2" hidden="1">
      <c r="B96" s="844"/>
    </row>
  </sheetData>
  <sheetProtection algorithmName="SHA-512" hashValue="cEYH41O9hoEwcBDL6fQx4GDdB6eMxNF05+68D3IDcl+Mh8FckWaNDPBrv4GVbUa7F5GVfAyl0y9IU9iPdwW4Sw==" saltValue="KN3w2+y9hfrXUYsb+S+Axw==" spinCount="100000" sheet="1" objects="1" scenarios="1"/>
  <mergeCells count="2">
    <mergeCell ref="L6:Q6"/>
    <mergeCell ref="A7:F7"/>
  </mergeCells>
  <printOptions horizontalCentered="1" verticalCentered="1"/>
  <pageMargins left="0.19685039370078741" right="0.19685039370078741" top="0.19685039370078741" bottom="0.19685039370078741" header="0.19685039370078741" footer="0.19685039370078741"/>
  <pageSetup paperSize="9" scale="71"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18817" r:id="rId4" name="Drop Down 1">
              <controlPr defaultSize="0" autoLine="0" autoPict="0">
                <anchor moveWithCells="1">
                  <from>
                    <xdr:col>12</xdr:col>
                    <xdr:colOff>523875</xdr:colOff>
                    <xdr:row>2</xdr:row>
                    <xdr:rowOff>152400</xdr:rowOff>
                  </from>
                  <to>
                    <xdr:col>14</xdr:col>
                    <xdr:colOff>76200</xdr:colOff>
                    <xdr:row>3</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84FF1-1DD3-4362-8C75-ABBF649D53B3}">
  <sheetPr>
    <tabColor rgb="FFFFFF00"/>
    <pageSetUpPr fitToPage="1"/>
  </sheetPr>
  <dimension ref="A1:AB96"/>
  <sheetViews>
    <sheetView showGridLines="0" showRowColHeaders="0" zoomScaleNormal="100" zoomScaleSheetLayoutView="100" workbookViewId="0"/>
  </sheetViews>
  <sheetFormatPr defaultColWidth="0" defaultRowHeight="15" zeroHeight="1"/>
  <cols>
    <col min="1" max="11" width="8.42578125" style="841" customWidth="1"/>
    <col min="12" max="12" width="7" style="841" customWidth="1"/>
    <col min="13" max="23" width="8.7109375" style="841" customWidth="1"/>
    <col min="24" max="27" width="8.7109375" style="841" hidden="1"/>
    <col min="28" max="28" width="11.28515625" style="841" hidden="1"/>
    <col min="29" max="16384" width="8.7109375" style="841" hidden="1"/>
  </cols>
  <sheetData>
    <row r="1" spans="1:28">
      <c r="A1" s="863"/>
      <c r="B1" s="863"/>
      <c r="C1" s="863"/>
      <c r="D1" s="863"/>
      <c r="E1" s="863"/>
      <c r="F1" s="863"/>
      <c r="G1" s="863"/>
      <c r="H1" s="863"/>
      <c r="I1" s="863"/>
      <c r="J1" s="863"/>
      <c r="K1" s="863"/>
      <c r="L1" s="863"/>
      <c r="M1" s="863"/>
      <c r="N1" s="863"/>
      <c r="O1" s="863"/>
      <c r="P1" s="863"/>
      <c r="Q1" s="863"/>
      <c r="R1" s="863"/>
      <c r="S1" s="863"/>
      <c r="T1" s="863"/>
      <c r="U1" s="863"/>
      <c r="V1" s="863"/>
      <c r="W1" s="863"/>
    </row>
    <row r="2" spans="1:28">
      <c r="A2" s="863"/>
      <c r="B2" s="863"/>
      <c r="C2" s="863"/>
      <c r="D2" s="863"/>
      <c r="E2" s="863"/>
      <c r="F2" s="863"/>
      <c r="G2" s="863"/>
      <c r="H2" s="863"/>
      <c r="I2" s="863"/>
      <c r="J2" s="863"/>
      <c r="K2" s="863"/>
      <c r="L2" s="863"/>
      <c r="M2" s="863"/>
      <c r="N2" s="863"/>
      <c r="O2" s="863"/>
      <c r="P2" s="863"/>
      <c r="Q2" s="863"/>
      <c r="R2" s="863"/>
      <c r="S2" s="863"/>
      <c r="T2" s="863"/>
      <c r="U2" s="863"/>
      <c r="V2" s="863"/>
      <c r="W2" s="863"/>
    </row>
    <row r="3" spans="1:28">
      <c r="A3" s="863"/>
      <c r="B3" s="863"/>
      <c r="C3" s="863"/>
      <c r="D3" s="863"/>
      <c r="E3" s="863"/>
      <c r="F3" s="863"/>
      <c r="G3" s="863"/>
      <c r="H3" s="863"/>
      <c r="I3" s="863"/>
      <c r="J3" s="863"/>
      <c r="K3" s="863"/>
      <c r="L3" s="863"/>
      <c r="M3" s="863"/>
      <c r="N3" s="863"/>
      <c r="O3" s="863"/>
      <c r="P3" s="863"/>
      <c r="Q3" s="863"/>
      <c r="R3" s="863"/>
      <c r="S3" s="863"/>
      <c r="T3" s="863"/>
      <c r="U3" s="863"/>
      <c r="V3" s="863"/>
      <c r="W3" s="863"/>
    </row>
    <row r="4" spans="1:28">
      <c r="A4" s="863"/>
      <c r="B4" s="863"/>
      <c r="C4" s="863"/>
      <c r="D4" s="863"/>
      <c r="E4" s="863"/>
      <c r="F4" s="863"/>
      <c r="G4" s="863"/>
      <c r="H4" s="863"/>
      <c r="I4" s="863"/>
      <c r="J4" s="863"/>
      <c r="K4" s="863"/>
      <c r="L4" s="863"/>
      <c r="M4" s="863"/>
      <c r="N4" s="863"/>
      <c r="O4" s="863"/>
      <c r="P4" s="863"/>
      <c r="Q4" s="863"/>
      <c r="R4" s="863"/>
      <c r="S4" s="863"/>
      <c r="T4" s="863"/>
      <c r="U4" s="863"/>
      <c r="V4" s="863"/>
      <c r="W4" s="863"/>
    </row>
    <row r="5" spans="1:28">
      <c r="A5" s="863"/>
      <c r="B5" s="863"/>
      <c r="C5" s="863"/>
      <c r="D5" s="863"/>
      <c r="E5" s="863"/>
      <c r="F5" s="863"/>
      <c r="G5" s="863"/>
      <c r="H5" s="863"/>
      <c r="I5" s="863"/>
      <c r="J5" s="863"/>
      <c r="K5" s="863"/>
      <c r="L5" s="863"/>
      <c r="M5" s="863"/>
      <c r="N5" s="863"/>
      <c r="O5" s="863"/>
      <c r="P5" s="863"/>
      <c r="Q5" s="863"/>
      <c r="R5" s="863"/>
      <c r="S5" s="863"/>
      <c r="T5" s="863"/>
      <c r="U5" s="863"/>
      <c r="V5" s="863"/>
      <c r="W5" s="863"/>
      <c r="Z5" s="849"/>
    </row>
    <row r="6" spans="1:28">
      <c r="A6" s="863"/>
      <c r="B6" s="863"/>
      <c r="C6" s="863"/>
      <c r="D6" s="863"/>
      <c r="E6" s="863"/>
      <c r="F6" s="863"/>
      <c r="G6" s="864"/>
      <c r="H6" s="863"/>
      <c r="I6" s="863"/>
      <c r="J6" s="863"/>
      <c r="K6" s="863"/>
      <c r="L6" s="877"/>
      <c r="M6" s="877"/>
      <c r="N6" s="877"/>
      <c r="O6" s="877"/>
      <c r="P6" s="877"/>
      <c r="Q6" s="877"/>
      <c r="R6" s="863"/>
      <c r="S6" s="863"/>
      <c r="T6" s="863"/>
      <c r="U6" s="863"/>
      <c r="V6" s="863"/>
      <c r="W6" s="863"/>
    </row>
    <row r="7" spans="1:28">
      <c r="A7" s="880"/>
      <c r="B7" s="880"/>
      <c r="C7" s="880"/>
      <c r="D7" s="880"/>
      <c r="E7" s="880"/>
      <c r="F7" s="880"/>
      <c r="G7" s="863"/>
      <c r="H7" s="863"/>
      <c r="I7" s="863"/>
      <c r="J7" s="863"/>
      <c r="K7" s="863"/>
      <c r="L7" s="863"/>
      <c r="M7" s="863"/>
      <c r="N7" s="863"/>
      <c r="O7" s="863"/>
      <c r="P7" s="863"/>
      <c r="Q7" s="863"/>
      <c r="R7" s="863"/>
      <c r="S7" s="863"/>
      <c r="T7" s="863"/>
      <c r="U7" s="863"/>
      <c r="V7" s="863"/>
      <c r="W7" s="863"/>
    </row>
    <row r="8" spans="1:28" ht="15" customHeight="1">
      <c r="A8" s="863"/>
      <c r="B8" s="863"/>
      <c r="C8" s="863"/>
      <c r="D8" s="863"/>
      <c r="E8" s="863"/>
      <c r="F8" s="867"/>
      <c r="G8" s="867"/>
      <c r="H8" s="863"/>
      <c r="I8" s="863"/>
      <c r="J8" s="863"/>
      <c r="K8" s="863"/>
      <c r="L8" s="863"/>
      <c r="M8" s="863"/>
      <c r="N8" s="863"/>
      <c r="O8" s="863"/>
      <c r="P8" s="863"/>
      <c r="Q8" s="863"/>
      <c r="R8" s="863"/>
      <c r="S8" s="863"/>
      <c r="T8" s="863"/>
      <c r="U8" s="863"/>
      <c r="V8" s="863"/>
      <c r="W8" s="863"/>
    </row>
    <row r="9" spans="1:28" ht="15" customHeight="1">
      <c r="A9" s="863"/>
      <c r="B9" s="863"/>
      <c r="C9" s="863"/>
      <c r="D9" s="863"/>
      <c r="E9" s="863"/>
      <c r="F9" s="867"/>
      <c r="G9" s="867"/>
      <c r="H9" s="863"/>
      <c r="I9" s="863"/>
      <c r="J9" s="863"/>
      <c r="K9" s="863"/>
      <c r="L9" s="863"/>
      <c r="M9" s="863"/>
      <c r="N9" s="863"/>
      <c r="O9" s="863"/>
      <c r="P9" s="863"/>
      <c r="Q9" s="863"/>
      <c r="R9" s="863"/>
      <c r="S9" s="863"/>
      <c r="T9" s="863"/>
      <c r="U9" s="863"/>
      <c r="V9" s="863"/>
      <c r="W9" s="863"/>
    </row>
    <row r="10" spans="1:28">
      <c r="A10" s="863"/>
      <c r="B10" s="863"/>
      <c r="C10" s="863"/>
      <c r="D10" s="863"/>
      <c r="E10" s="863"/>
      <c r="F10" s="867"/>
      <c r="G10" s="867"/>
      <c r="H10" s="863"/>
      <c r="I10" s="863"/>
      <c r="J10" s="863"/>
      <c r="K10" s="863"/>
      <c r="L10" s="863"/>
      <c r="M10" s="863"/>
      <c r="N10" s="863"/>
      <c r="O10" s="863"/>
      <c r="P10" s="863"/>
      <c r="Q10" s="863"/>
      <c r="R10" s="863"/>
      <c r="S10" s="863"/>
      <c r="T10" s="863"/>
      <c r="U10" s="863"/>
      <c r="V10" s="863"/>
      <c r="W10" s="863"/>
      <c r="AB10" s="850"/>
    </row>
    <row r="11" spans="1:28" ht="15" customHeight="1">
      <c r="A11" s="863"/>
      <c r="B11" s="863"/>
      <c r="C11" s="863"/>
      <c r="D11" s="863"/>
      <c r="E11" s="863"/>
      <c r="F11" s="867"/>
      <c r="G11" s="867"/>
      <c r="H11" s="863"/>
      <c r="I11" s="863"/>
      <c r="J11" s="863"/>
      <c r="K11" s="863"/>
      <c r="L11" s="863"/>
      <c r="M11" s="863"/>
      <c r="N11" s="863"/>
      <c r="O11" s="863"/>
      <c r="P11" s="863"/>
      <c r="Q11" s="863"/>
      <c r="R11" s="863"/>
      <c r="S11" s="863"/>
      <c r="T11" s="863"/>
      <c r="U11" s="863"/>
      <c r="V11" s="863"/>
      <c r="W11" s="863"/>
    </row>
    <row r="12" spans="1:28" ht="15" customHeight="1">
      <c r="A12" s="863"/>
      <c r="B12" s="863"/>
      <c r="C12" s="863"/>
      <c r="D12" s="863"/>
      <c r="E12" s="863"/>
      <c r="F12" s="867"/>
      <c r="G12" s="867"/>
      <c r="H12" s="863"/>
      <c r="I12" s="863"/>
      <c r="J12" s="863"/>
      <c r="K12" s="863"/>
      <c r="L12" s="863"/>
      <c r="M12" s="863"/>
      <c r="N12" s="863"/>
      <c r="O12" s="863"/>
      <c r="P12" s="863"/>
      <c r="Q12" s="863"/>
      <c r="R12" s="863"/>
      <c r="S12" s="863"/>
      <c r="T12" s="863"/>
      <c r="U12" s="863"/>
      <c r="V12" s="863"/>
      <c r="W12" s="863"/>
    </row>
    <row r="13" spans="1:28">
      <c r="A13" s="863"/>
      <c r="B13" s="863"/>
      <c r="C13" s="863"/>
      <c r="D13" s="863"/>
      <c r="E13" s="863"/>
      <c r="F13" s="867"/>
      <c r="G13" s="867"/>
      <c r="H13" s="863"/>
      <c r="I13" s="863"/>
      <c r="J13" s="863"/>
      <c r="K13" s="863"/>
      <c r="L13" s="863"/>
      <c r="M13" s="863"/>
      <c r="N13" s="863"/>
      <c r="O13" s="863"/>
      <c r="P13" s="863"/>
      <c r="Q13" s="863"/>
      <c r="R13" s="863"/>
      <c r="S13" s="863"/>
      <c r="T13" s="863"/>
      <c r="U13" s="863"/>
      <c r="V13" s="863"/>
      <c r="W13" s="863"/>
    </row>
    <row r="14" spans="1:28">
      <c r="A14" s="863"/>
      <c r="B14" s="863"/>
      <c r="C14" s="863"/>
      <c r="D14" s="863"/>
      <c r="E14" s="863"/>
      <c r="F14" s="863"/>
      <c r="G14" s="863"/>
      <c r="H14" s="863"/>
      <c r="I14" s="863"/>
      <c r="J14" s="863"/>
      <c r="K14" s="863"/>
      <c r="L14" s="863"/>
      <c r="M14" s="863"/>
      <c r="N14" s="863"/>
      <c r="O14" s="863"/>
      <c r="P14" s="863"/>
      <c r="Q14" s="863"/>
      <c r="R14" s="863"/>
      <c r="S14" s="863"/>
      <c r="T14" s="863"/>
      <c r="U14" s="863"/>
      <c r="V14" s="863"/>
      <c r="W14" s="863"/>
    </row>
    <row r="15" spans="1:28">
      <c r="A15" s="863"/>
      <c r="B15" s="863"/>
      <c r="C15" s="863"/>
      <c r="D15" s="863"/>
      <c r="E15" s="863"/>
      <c r="F15" s="863"/>
      <c r="G15" s="863"/>
      <c r="H15" s="863"/>
      <c r="I15" s="863"/>
      <c r="J15" s="863"/>
      <c r="K15" s="863"/>
      <c r="L15" s="863"/>
      <c r="M15" s="863"/>
      <c r="N15" s="863"/>
      <c r="O15" s="863"/>
      <c r="P15" s="863"/>
      <c r="Q15" s="863"/>
      <c r="R15" s="863"/>
      <c r="S15" s="863"/>
      <c r="T15" s="863"/>
      <c r="U15" s="863"/>
      <c r="V15" s="863"/>
      <c r="W15" s="863"/>
    </row>
    <row r="16" spans="1:28">
      <c r="A16" s="863"/>
      <c r="B16" s="863"/>
      <c r="C16" s="863"/>
      <c r="D16" s="863"/>
      <c r="E16" s="863"/>
      <c r="F16" s="863"/>
      <c r="G16" s="863"/>
      <c r="H16" s="863"/>
      <c r="I16" s="863"/>
      <c r="J16" s="863"/>
      <c r="K16" s="863"/>
      <c r="L16" s="863"/>
      <c r="M16" s="863"/>
      <c r="N16" s="863"/>
      <c r="O16" s="863"/>
      <c r="P16" s="863"/>
      <c r="Q16" s="863"/>
      <c r="R16" s="863"/>
      <c r="S16" s="863"/>
      <c r="T16" s="863"/>
      <c r="U16" s="863"/>
      <c r="V16" s="863"/>
      <c r="W16" s="863"/>
    </row>
    <row r="17" spans="1:28">
      <c r="A17" s="863"/>
      <c r="B17" s="863"/>
      <c r="C17" s="863"/>
      <c r="D17" s="863"/>
      <c r="E17" s="863"/>
      <c r="F17" s="863"/>
      <c r="G17" s="863"/>
      <c r="H17" s="863"/>
      <c r="I17" s="863"/>
      <c r="J17" s="863"/>
      <c r="K17" s="863"/>
      <c r="L17" s="863"/>
      <c r="M17" s="863"/>
      <c r="N17" s="863"/>
      <c r="O17" s="863"/>
      <c r="P17" s="863"/>
      <c r="Q17" s="863"/>
      <c r="R17" s="863"/>
      <c r="S17" s="863"/>
      <c r="T17" s="863"/>
      <c r="U17" s="863"/>
      <c r="V17" s="863"/>
      <c r="W17" s="863"/>
    </row>
    <row r="18" spans="1:28">
      <c r="A18" s="863"/>
      <c r="B18" s="863"/>
      <c r="C18" s="863"/>
      <c r="D18" s="863"/>
      <c r="E18" s="863"/>
      <c r="F18" s="863"/>
      <c r="G18" s="863"/>
      <c r="H18" s="863"/>
      <c r="I18" s="863"/>
      <c r="J18" s="863"/>
      <c r="K18" s="863"/>
      <c r="L18" s="863"/>
      <c r="M18" s="863"/>
      <c r="N18" s="863"/>
      <c r="O18" s="863"/>
      <c r="P18" s="863"/>
      <c r="Q18" s="863"/>
      <c r="R18" s="863"/>
      <c r="S18" s="863"/>
      <c r="T18" s="863"/>
      <c r="U18" s="863"/>
      <c r="V18" s="863"/>
      <c r="W18" s="863"/>
    </row>
    <row r="19" spans="1:28">
      <c r="A19" s="863"/>
      <c r="B19" s="863"/>
      <c r="C19" s="863"/>
      <c r="D19" s="863"/>
      <c r="E19" s="863"/>
      <c r="F19" s="863"/>
      <c r="G19" s="863"/>
      <c r="H19" s="863"/>
      <c r="I19" s="863"/>
      <c r="J19" s="863"/>
      <c r="K19" s="863"/>
      <c r="L19" s="863"/>
      <c r="M19" s="863"/>
      <c r="N19" s="863"/>
      <c r="O19" s="863"/>
      <c r="P19" s="863"/>
      <c r="Q19" s="863"/>
      <c r="R19" s="863"/>
      <c r="S19" s="863"/>
      <c r="T19" s="863"/>
      <c r="U19" s="863"/>
      <c r="V19" s="863"/>
      <c r="W19" s="863"/>
      <c r="AB19" s="851"/>
    </row>
    <row r="20" spans="1:28">
      <c r="A20" s="863"/>
      <c r="B20" s="863"/>
      <c r="C20" s="863"/>
      <c r="D20" s="863"/>
      <c r="E20" s="863"/>
      <c r="F20" s="863"/>
      <c r="G20" s="863"/>
      <c r="H20" s="863"/>
      <c r="I20" s="863"/>
      <c r="J20" s="863"/>
      <c r="K20" s="863"/>
      <c r="L20" s="863"/>
      <c r="M20" s="863"/>
      <c r="N20" s="863"/>
      <c r="O20" s="863"/>
      <c r="P20" s="863"/>
      <c r="Q20" s="863"/>
      <c r="R20" s="863"/>
      <c r="S20" s="863"/>
      <c r="T20" s="863"/>
      <c r="U20" s="863"/>
      <c r="V20" s="863"/>
      <c r="W20" s="863"/>
      <c r="AB20" s="851"/>
    </row>
    <row r="21" spans="1:28">
      <c r="A21" s="863"/>
      <c r="B21" s="863"/>
      <c r="C21" s="863"/>
      <c r="D21" s="863"/>
      <c r="E21" s="863"/>
      <c r="F21" s="863"/>
      <c r="G21" s="863"/>
      <c r="H21" s="863"/>
      <c r="I21" s="863"/>
      <c r="J21" s="863"/>
      <c r="K21" s="863"/>
      <c r="L21" s="863"/>
      <c r="M21" s="863"/>
      <c r="N21" s="863"/>
      <c r="O21" s="863"/>
      <c r="P21" s="863"/>
      <c r="Q21" s="863"/>
      <c r="R21" s="863"/>
      <c r="S21" s="863"/>
      <c r="T21" s="863"/>
      <c r="U21" s="863"/>
      <c r="V21" s="863"/>
      <c r="W21" s="863"/>
      <c r="AB21" s="852"/>
    </row>
    <row r="22" spans="1:28">
      <c r="A22" s="863"/>
      <c r="B22" s="863"/>
      <c r="C22" s="863"/>
      <c r="D22" s="863"/>
      <c r="E22" s="863"/>
      <c r="F22" s="863"/>
      <c r="G22" s="863"/>
      <c r="H22" s="863"/>
      <c r="I22" s="863"/>
      <c r="J22" s="863"/>
      <c r="K22" s="863"/>
      <c r="L22" s="863"/>
      <c r="M22" s="863"/>
      <c r="N22" s="863"/>
      <c r="O22" s="863"/>
      <c r="P22" s="863"/>
      <c r="Q22" s="863"/>
      <c r="R22" s="863"/>
      <c r="S22" s="863"/>
      <c r="T22" s="863"/>
      <c r="U22" s="863"/>
      <c r="V22" s="863"/>
      <c r="W22" s="863"/>
    </row>
    <row r="23" spans="1:28">
      <c r="A23" s="863"/>
      <c r="B23" s="863"/>
      <c r="C23" s="863"/>
      <c r="D23" s="863"/>
      <c r="E23" s="863"/>
      <c r="F23" s="863"/>
      <c r="G23" s="863"/>
      <c r="H23" s="863"/>
      <c r="I23" s="863"/>
      <c r="J23" s="863"/>
      <c r="K23" s="863"/>
      <c r="L23" s="863"/>
      <c r="M23" s="863"/>
      <c r="N23" s="863"/>
      <c r="O23" s="863"/>
      <c r="P23" s="863"/>
      <c r="Q23" s="863"/>
      <c r="R23" s="863"/>
      <c r="S23" s="863"/>
      <c r="T23" s="863"/>
      <c r="U23" s="863"/>
      <c r="V23" s="863"/>
      <c r="W23" s="863"/>
    </row>
    <row r="24" spans="1:28">
      <c r="A24" s="863"/>
      <c r="B24" s="863"/>
      <c r="C24" s="863"/>
      <c r="D24" s="863"/>
      <c r="E24" s="863"/>
      <c r="F24" s="863"/>
      <c r="G24" s="863"/>
      <c r="H24" s="863"/>
      <c r="I24" s="863"/>
      <c r="J24" s="863"/>
      <c r="K24" s="863"/>
      <c r="L24" s="863"/>
      <c r="M24" s="863"/>
      <c r="N24" s="863"/>
      <c r="O24" s="863"/>
      <c r="P24" s="863"/>
      <c r="Q24" s="863"/>
      <c r="R24" s="863"/>
      <c r="S24" s="863"/>
      <c r="T24" s="863"/>
      <c r="U24" s="863"/>
      <c r="V24" s="863"/>
      <c r="W24" s="863"/>
    </row>
    <row r="25" spans="1:28">
      <c r="A25" s="863"/>
      <c r="B25" s="863"/>
      <c r="C25" s="863"/>
      <c r="D25" s="863"/>
      <c r="E25" s="863"/>
      <c r="F25" s="863"/>
      <c r="G25" s="863"/>
      <c r="H25" s="863"/>
      <c r="I25" s="863"/>
      <c r="J25" s="863"/>
      <c r="K25" s="863"/>
      <c r="L25" s="863"/>
      <c r="M25" s="863"/>
      <c r="N25" s="863"/>
      <c r="O25" s="863"/>
      <c r="P25" s="863"/>
      <c r="Q25" s="863"/>
      <c r="R25" s="863"/>
      <c r="S25" s="863"/>
      <c r="T25" s="863"/>
      <c r="U25" s="863"/>
      <c r="V25" s="863"/>
      <c r="W25" s="863"/>
    </row>
    <row r="26" spans="1:28">
      <c r="A26" s="863"/>
      <c r="B26" s="863"/>
      <c r="C26" s="863"/>
      <c r="D26" s="863"/>
      <c r="E26" s="863"/>
      <c r="F26" s="863"/>
      <c r="G26" s="863"/>
      <c r="H26" s="863"/>
      <c r="I26" s="863"/>
      <c r="J26" s="863"/>
      <c r="K26" s="863"/>
      <c r="L26" s="863"/>
      <c r="M26" s="863"/>
      <c r="N26" s="863"/>
      <c r="O26" s="863"/>
      <c r="P26" s="863"/>
      <c r="Q26" s="863"/>
      <c r="R26" s="863"/>
      <c r="S26" s="863"/>
      <c r="T26" s="863"/>
      <c r="U26" s="863"/>
      <c r="V26" s="863"/>
      <c r="W26" s="863"/>
    </row>
    <row r="27" spans="1:28">
      <c r="A27" s="863"/>
      <c r="B27" s="863"/>
      <c r="C27" s="863"/>
      <c r="D27" s="863"/>
      <c r="E27" s="863"/>
      <c r="F27" s="863"/>
      <c r="G27" s="863"/>
      <c r="H27" s="863"/>
      <c r="I27" s="863"/>
      <c r="J27" s="863"/>
      <c r="K27" s="863"/>
      <c r="L27" s="863"/>
      <c r="M27" s="863"/>
      <c r="N27" s="863"/>
      <c r="O27" s="863"/>
      <c r="P27" s="863"/>
      <c r="Q27" s="863"/>
      <c r="R27" s="863"/>
      <c r="S27" s="863"/>
      <c r="T27" s="863"/>
      <c r="U27" s="863"/>
      <c r="V27" s="863"/>
      <c r="W27" s="863"/>
    </row>
    <row r="28" spans="1:28">
      <c r="A28" s="863"/>
      <c r="B28" s="863"/>
      <c r="C28" s="863"/>
      <c r="D28" s="863"/>
      <c r="E28" s="863"/>
      <c r="F28" s="863"/>
      <c r="G28" s="863"/>
      <c r="H28" s="863"/>
      <c r="I28" s="863"/>
      <c r="J28" s="863"/>
      <c r="K28" s="863"/>
      <c r="L28" s="863"/>
      <c r="M28" s="863"/>
      <c r="N28" s="863"/>
      <c r="O28" s="863"/>
      <c r="P28" s="868"/>
      <c r="Q28" s="868"/>
      <c r="R28" s="868"/>
      <c r="S28" s="868"/>
      <c r="T28" s="868"/>
      <c r="U28" s="868"/>
      <c r="V28" s="868"/>
      <c r="W28" s="868"/>
      <c r="X28" s="842"/>
      <c r="Y28" s="842"/>
    </row>
    <row r="29" spans="1:28">
      <c r="A29" s="863"/>
      <c r="B29" s="863"/>
      <c r="C29" s="863"/>
      <c r="D29" s="863"/>
      <c r="E29" s="863"/>
      <c r="F29" s="863"/>
      <c r="G29" s="863"/>
      <c r="H29" s="863"/>
      <c r="I29" s="863"/>
      <c r="J29" s="863"/>
      <c r="K29" s="863"/>
      <c r="L29" s="863"/>
      <c r="M29" s="863"/>
      <c r="N29" s="863"/>
      <c r="O29" s="863"/>
      <c r="P29" s="869"/>
      <c r="Q29" s="869"/>
      <c r="R29" s="869"/>
      <c r="S29" s="869"/>
      <c r="T29" s="869"/>
      <c r="U29" s="869"/>
      <c r="V29" s="863"/>
      <c r="W29" s="870"/>
      <c r="X29" s="843"/>
      <c r="Y29" s="853"/>
    </row>
    <row r="30" spans="1:28">
      <c r="A30" s="863"/>
      <c r="B30" s="863"/>
      <c r="C30" s="863"/>
      <c r="D30" s="863"/>
      <c r="E30" s="863"/>
      <c r="F30" s="863"/>
      <c r="G30" s="863"/>
      <c r="H30" s="863"/>
      <c r="I30" s="863"/>
      <c r="J30" s="863"/>
      <c r="K30" s="863"/>
      <c r="L30" s="863"/>
      <c r="M30" s="863"/>
      <c r="N30" s="863"/>
      <c r="O30" s="863"/>
      <c r="P30" s="863"/>
      <c r="Q30" s="863"/>
      <c r="R30" s="863"/>
      <c r="S30" s="863"/>
      <c r="T30" s="863"/>
      <c r="U30" s="863"/>
      <c r="V30" s="863"/>
      <c r="W30" s="863"/>
    </row>
    <row r="31" spans="1:28">
      <c r="A31" s="863"/>
      <c r="B31" s="863"/>
      <c r="C31" s="863"/>
      <c r="D31" s="863"/>
      <c r="E31" s="863"/>
      <c r="F31" s="863"/>
      <c r="G31" s="863"/>
      <c r="H31" s="863"/>
      <c r="I31" s="863"/>
      <c r="J31" s="863"/>
      <c r="K31" s="863"/>
      <c r="L31" s="863"/>
      <c r="M31" s="863"/>
      <c r="N31" s="863"/>
      <c r="O31" s="863"/>
      <c r="P31" s="871"/>
      <c r="Q31" s="863"/>
      <c r="R31" s="863"/>
      <c r="S31" s="863"/>
      <c r="T31" s="863"/>
      <c r="U31" s="863"/>
      <c r="V31" s="863"/>
      <c r="W31" s="863"/>
    </row>
    <row r="32" spans="1:28">
      <c r="A32" s="863"/>
      <c r="B32" s="863"/>
      <c r="C32" s="863"/>
      <c r="D32" s="863"/>
      <c r="E32" s="863"/>
      <c r="F32" s="863"/>
      <c r="G32" s="863"/>
      <c r="H32" s="863"/>
      <c r="I32" s="863"/>
      <c r="J32" s="863"/>
      <c r="K32" s="863"/>
      <c r="L32" s="863"/>
      <c r="M32" s="863"/>
      <c r="N32" s="863"/>
      <c r="O32" s="863"/>
      <c r="P32" s="870"/>
      <c r="Q32" s="863"/>
      <c r="R32" s="863"/>
      <c r="S32" s="863"/>
      <c r="T32" s="863"/>
      <c r="U32" s="863"/>
      <c r="V32" s="863"/>
      <c r="W32" s="863"/>
    </row>
    <row r="33" spans="1:25">
      <c r="A33" s="863"/>
      <c r="B33" s="863"/>
      <c r="C33" s="863"/>
      <c r="D33" s="863"/>
      <c r="E33" s="863"/>
      <c r="F33" s="863"/>
      <c r="G33" s="863"/>
      <c r="H33" s="863"/>
      <c r="I33" s="863"/>
      <c r="J33" s="863"/>
      <c r="K33" s="863"/>
      <c r="L33" s="863"/>
      <c r="M33" s="863"/>
      <c r="N33" s="863"/>
      <c r="O33" s="863"/>
      <c r="P33" s="870"/>
      <c r="Q33" s="863"/>
      <c r="R33" s="863"/>
      <c r="S33" s="863"/>
      <c r="T33" s="863"/>
      <c r="U33" s="863"/>
      <c r="V33" s="863"/>
      <c r="W33" s="863"/>
      <c r="Y33" s="847"/>
    </row>
    <row r="34" spans="1:25">
      <c r="A34" s="863"/>
      <c r="B34" s="863"/>
      <c r="C34" s="863"/>
      <c r="D34" s="863"/>
      <c r="E34" s="863"/>
      <c r="F34" s="863"/>
      <c r="G34" s="863"/>
      <c r="H34" s="863"/>
      <c r="I34" s="863"/>
      <c r="J34" s="863"/>
      <c r="K34" s="863"/>
      <c r="L34" s="863"/>
      <c r="M34" s="863"/>
      <c r="N34" s="863"/>
      <c r="O34" s="863"/>
      <c r="P34" s="870"/>
      <c r="Q34" s="863"/>
      <c r="R34" s="863"/>
      <c r="S34" s="863"/>
      <c r="T34" s="863"/>
      <c r="U34" s="863"/>
      <c r="V34" s="863"/>
      <c r="W34" s="863"/>
    </row>
    <row r="35" spans="1:25">
      <c r="A35" s="881"/>
      <c r="B35" s="863"/>
      <c r="C35" s="863"/>
      <c r="D35" s="863"/>
      <c r="E35" s="863"/>
      <c r="F35" s="863"/>
      <c r="G35" s="863"/>
      <c r="H35" s="872"/>
      <c r="I35" s="863"/>
      <c r="J35" s="871"/>
      <c r="K35" s="863"/>
      <c r="L35" s="863"/>
      <c r="M35" s="870"/>
      <c r="N35" s="870"/>
      <c r="O35" s="870"/>
      <c r="P35" s="870"/>
      <c r="Q35" s="863"/>
      <c r="R35" s="863"/>
      <c r="S35" s="863"/>
      <c r="T35" s="863"/>
      <c r="U35" s="863"/>
      <c r="V35" s="863"/>
      <c r="W35" s="863"/>
    </row>
    <row r="36" spans="1:25">
      <c r="A36" s="881"/>
      <c r="B36" s="863"/>
      <c r="C36" s="863"/>
      <c r="D36" s="863"/>
      <c r="E36" s="863"/>
      <c r="F36" s="863"/>
      <c r="G36" s="863"/>
      <c r="H36" s="872"/>
      <c r="I36" s="863"/>
      <c r="J36" s="871"/>
      <c r="K36" s="863"/>
      <c r="L36" s="863"/>
      <c r="M36" s="870"/>
      <c r="N36" s="870"/>
      <c r="O36" s="870"/>
      <c r="P36" s="870"/>
      <c r="Q36" s="863"/>
      <c r="R36" s="863"/>
      <c r="S36" s="863"/>
      <c r="T36" s="863"/>
      <c r="U36" s="863"/>
      <c r="V36" s="863"/>
      <c r="W36" s="863"/>
    </row>
    <row r="37" spans="1:25">
      <c r="A37" s="881"/>
      <c r="B37" s="863"/>
      <c r="C37" s="863"/>
      <c r="D37" s="863"/>
      <c r="E37" s="863"/>
      <c r="F37" s="863"/>
      <c r="G37" s="863"/>
      <c r="H37" s="863"/>
      <c r="I37" s="863"/>
      <c r="J37" s="871"/>
      <c r="K37" s="863"/>
      <c r="L37" s="863"/>
      <c r="M37" s="873"/>
      <c r="N37" s="872"/>
      <c r="O37" s="870"/>
      <c r="P37" s="870"/>
      <c r="Q37" s="882"/>
      <c r="R37" s="863"/>
      <c r="S37" s="863"/>
      <c r="T37" s="863"/>
      <c r="U37" s="863"/>
      <c r="V37" s="863"/>
      <c r="W37" s="863"/>
    </row>
    <row r="38" spans="1:25">
      <c r="A38" s="881"/>
      <c r="B38" s="863"/>
      <c r="C38" s="863"/>
      <c r="D38" s="863"/>
      <c r="E38" s="863"/>
      <c r="F38" s="863"/>
      <c r="G38" s="863"/>
      <c r="H38" s="872"/>
      <c r="I38" s="863"/>
      <c r="J38" s="871"/>
      <c r="K38" s="863"/>
      <c r="L38" s="863"/>
      <c r="M38" s="870"/>
      <c r="N38" s="870"/>
      <c r="O38" s="870"/>
      <c r="P38" s="870"/>
      <c r="Q38" s="863"/>
      <c r="R38" s="863"/>
      <c r="S38" s="863"/>
      <c r="T38" s="863"/>
      <c r="U38" s="863"/>
      <c r="V38" s="863"/>
      <c r="W38" s="863"/>
    </row>
    <row r="39" spans="1:25">
      <c r="A39" s="881"/>
      <c r="B39" s="863"/>
      <c r="C39" s="863"/>
      <c r="D39" s="863"/>
      <c r="E39" s="863"/>
      <c r="F39" s="863"/>
      <c r="G39" s="863"/>
      <c r="H39" s="871"/>
      <c r="I39" s="871"/>
      <c r="J39" s="871"/>
      <c r="K39" s="863"/>
      <c r="L39" s="870"/>
      <c r="M39" s="870"/>
      <c r="N39" s="870"/>
      <c r="O39" s="870"/>
      <c r="P39" s="870"/>
      <c r="Q39" s="863"/>
      <c r="R39" s="863"/>
      <c r="S39" s="863"/>
      <c r="T39" s="863"/>
      <c r="U39" s="863"/>
      <c r="V39" s="863"/>
      <c r="W39" s="863"/>
    </row>
    <row r="40" spans="1:25">
      <c r="A40" s="863"/>
      <c r="B40" s="863"/>
      <c r="C40" s="863"/>
      <c r="D40" s="863"/>
      <c r="E40" s="863"/>
      <c r="F40" s="863"/>
      <c r="G40" s="870"/>
      <c r="H40" s="870"/>
      <c r="I40" s="870"/>
      <c r="J40" s="870"/>
      <c r="K40" s="870"/>
      <c r="L40" s="870"/>
      <c r="M40" s="870"/>
      <c r="N40" s="870"/>
      <c r="O40" s="870"/>
      <c r="P40" s="870"/>
      <c r="Q40" s="863"/>
      <c r="R40" s="863"/>
      <c r="S40" s="863"/>
      <c r="T40" s="863"/>
      <c r="U40" s="863"/>
      <c r="V40" s="863"/>
      <c r="W40" s="863"/>
    </row>
    <row r="41" spans="1:25">
      <c r="A41" s="863"/>
      <c r="B41" s="863"/>
      <c r="C41" s="863"/>
      <c r="D41" s="863"/>
      <c r="E41" s="863"/>
      <c r="F41" s="863"/>
      <c r="G41" s="870"/>
      <c r="H41" s="870"/>
      <c r="I41" s="870"/>
      <c r="J41" s="870"/>
      <c r="K41" s="870"/>
      <c r="L41" s="870"/>
      <c r="M41" s="870"/>
      <c r="N41" s="870"/>
      <c r="O41" s="870"/>
      <c r="P41" s="870"/>
      <c r="Q41" s="863"/>
      <c r="R41" s="863"/>
      <c r="S41" s="863"/>
      <c r="T41" s="863"/>
      <c r="U41" s="863"/>
      <c r="V41" s="863"/>
      <c r="W41" s="863"/>
    </row>
    <row r="42" spans="1:25">
      <c r="A42" s="863"/>
      <c r="B42" s="863"/>
      <c r="C42" s="863"/>
      <c r="D42" s="863"/>
      <c r="E42" s="863"/>
      <c r="F42" s="863"/>
      <c r="G42" s="870"/>
      <c r="H42" s="870"/>
      <c r="I42" s="870"/>
      <c r="J42" s="870"/>
      <c r="K42" s="870"/>
      <c r="L42" s="870"/>
      <c r="M42" s="870"/>
      <c r="N42" s="870"/>
      <c r="O42" s="870"/>
      <c r="P42" s="870"/>
      <c r="Q42" s="863"/>
      <c r="R42" s="863"/>
      <c r="S42" s="863"/>
      <c r="T42" s="863"/>
      <c r="U42" s="863"/>
      <c r="V42" s="863"/>
      <c r="W42" s="863"/>
    </row>
    <row r="43" spans="1:25">
      <c r="A43" s="863"/>
      <c r="B43" s="863"/>
      <c r="C43" s="863"/>
      <c r="D43" s="863"/>
      <c r="E43" s="863"/>
      <c r="F43" s="863"/>
      <c r="G43" s="870"/>
      <c r="H43" s="870"/>
      <c r="I43" s="870"/>
      <c r="J43" s="870"/>
      <c r="K43" s="870"/>
      <c r="L43" s="870"/>
      <c r="M43" s="870"/>
      <c r="N43" s="870"/>
      <c r="O43" s="870"/>
      <c r="P43" s="870"/>
      <c r="Q43" s="863"/>
      <c r="R43" s="863"/>
      <c r="S43" s="863"/>
      <c r="T43" s="863"/>
      <c r="U43" s="863"/>
      <c r="V43" s="863"/>
      <c r="W43" s="863"/>
    </row>
    <row r="44" spans="1:25">
      <c r="A44" s="863"/>
      <c r="B44" s="863"/>
      <c r="C44" s="863"/>
      <c r="D44" s="863"/>
      <c r="E44" s="863"/>
      <c r="F44" s="863"/>
      <c r="G44" s="870"/>
      <c r="H44" s="870"/>
      <c r="I44" s="870"/>
      <c r="J44" s="870"/>
      <c r="K44" s="870"/>
      <c r="L44" s="870"/>
      <c r="M44" s="870"/>
      <c r="N44" s="870"/>
      <c r="O44" s="870"/>
      <c r="P44" s="870"/>
      <c r="Q44" s="863"/>
      <c r="R44" s="863"/>
      <c r="S44" s="863"/>
      <c r="T44" s="863"/>
      <c r="U44" s="863"/>
      <c r="V44" s="863"/>
      <c r="W44" s="863"/>
    </row>
    <row r="45" spans="1:25">
      <c r="A45" s="863"/>
      <c r="B45" s="863"/>
      <c r="C45" s="863"/>
      <c r="D45" s="863"/>
      <c r="E45" s="863"/>
      <c r="F45" s="863"/>
      <c r="G45" s="870"/>
      <c r="H45" s="870"/>
      <c r="I45" s="870"/>
      <c r="J45" s="870"/>
      <c r="K45" s="870"/>
      <c r="L45" s="870"/>
      <c r="M45" s="874"/>
      <c r="N45" s="870"/>
      <c r="O45" s="870"/>
      <c r="P45" s="875"/>
      <c r="Q45" s="875"/>
      <c r="R45" s="863"/>
      <c r="S45" s="863"/>
      <c r="T45" s="863"/>
      <c r="U45" s="863"/>
      <c r="V45" s="863"/>
      <c r="W45" s="863"/>
    </row>
    <row r="46" spans="1:25">
      <c r="A46" s="863"/>
      <c r="B46" s="863"/>
      <c r="C46" s="863"/>
      <c r="D46" s="863"/>
      <c r="E46" s="863"/>
      <c r="F46" s="863"/>
      <c r="G46" s="870"/>
      <c r="H46" s="870"/>
      <c r="I46" s="870"/>
      <c r="J46" s="870"/>
      <c r="K46" s="870"/>
      <c r="L46" s="870"/>
      <c r="M46" s="870"/>
      <c r="N46" s="870"/>
      <c r="O46" s="870"/>
      <c r="P46" s="870"/>
      <c r="Q46" s="863"/>
      <c r="R46" s="863"/>
      <c r="S46" s="863"/>
      <c r="T46" s="863"/>
      <c r="U46" s="863"/>
      <c r="V46" s="863"/>
      <c r="W46" s="863"/>
    </row>
    <row r="47" spans="1:25">
      <c r="A47" s="863"/>
      <c r="B47" s="863"/>
      <c r="C47" s="863"/>
      <c r="D47" s="863"/>
      <c r="E47" s="863"/>
      <c r="F47" s="863"/>
      <c r="G47" s="870"/>
      <c r="H47" s="870"/>
      <c r="I47" s="870"/>
      <c r="J47" s="870"/>
      <c r="K47" s="870"/>
      <c r="L47" s="870"/>
      <c r="M47" s="870"/>
      <c r="N47" s="870"/>
      <c r="O47" s="870"/>
      <c r="P47" s="870"/>
      <c r="Q47" s="863"/>
      <c r="R47" s="863"/>
      <c r="S47" s="863"/>
      <c r="T47" s="863"/>
      <c r="U47" s="863"/>
      <c r="V47" s="863"/>
      <c r="W47" s="863"/>
    </row>
    <row r="48" spans="1:25">
      <c r="A48" s="863"/>
      <c r="B48" s="863"/>
      <c r="C48" s="863"/>
      <c r="D48" s="863"/>
      <c r="E48" s="863"/>
      <c r="F48" s="863"/>
      <c r="G48" s="870"/>
      <c r="H48" s="870"/>
      <c r="I48" s="870"/>
      <c r="J48" s="870"/>
      <c r="K48" s="870"/>
      <c r="L48" s="870"/>
      <c r="M48" s="870"/>
      <c r="N48" s="870"/>
      <c r="O48" s="870"/>
      <c r="P48" s="870"/>
      <c r="Q48" s="863"/>
      <c r="R48" s="863"/>
      <c r="S48" s="863"/>
      <c r="T48" s="863"/>
      <c r="U48" s="863"/>
      <c r="V48" s="863"/>
      <c r="W48" s="863"/>
    </row>
    <row r="49" spans="1:28">
      <c r="A49" s="863"/>
      <c r="B49" s="863"/>
      <c r="C49" s="863"/>
      <c r="D49" s="863"/>
      <c r="E49" s="863"/>
      <c r="F49" s="863"/>
      <c r="G49" s="870"/>
      <c r="H49" s="870"/>
      <c r="I49" s="870"/>
      <c r="J49" s="870"/>
      <c r="K49" s="870"/>
      <c r="L49" s="876"/>
      <c r="M49" s="876"/>
      <c r="N49" s="876"/>
      <c r="O49" s="876"/>
      <c r="P49" s="870"/>
      <c r="Q49" s="870"/>
      <c r="R49" s="870"/>
      <c r="S49" s="870"/>
      <c r="T49" s="870"/>
      <c r="U49" s="870"/>
      <c r="V49" s="870"/>
      <c r="W49" s="870"/>
      <c r="X49" s="843"/>
      <c r="Y49" s="843"/>
    </row>
    <row r="50" spans="1:28">
      <c r="A50" s="863"/>
      <c r="B50" s="863"/>
      <c r="C50" s="863"/>
      <c r="D50" s="863"/>
      <c r="E50" s="863"/>
      <c r="F50" s="863"/>
      <c r="G50" s="870"/>
      <c r="H50" s="870"/>
      <c r="I50" s="870"/>
      <c r="J50" s="870"/>
      <c r="K50" s="870"/>
      <c r="L50" s="870"/>
      <c r="M50" s="870"/>
      <c r="N50" s="870"/>
      <c r="O50" s="870"/>
      <c r="P50" s="870"/>
      <c r="Q50" s="870"/>
      <c r="R50" s="870"/>
      <c r="S50" s="870"/>
      <c r="T50" s="870"/>
      <c r="U50" s="870"/>
      <c r="V50" s="870"/>
      <c r="W50" s="870"/>
      <c r="X50" s="843"/>
      <c r="Y50" s="843"/>
    </row>
    <row r="51" spans="1:28">
      <c r="A51" s="863"/>
      <c r="B51" s="863"/>
      <c r="C51" s="863"/>
      <c r="D51" s="863"/>
      <c r="E51" s="863"/>
      <c r="F51" s="863"/>
      <c r="G51" s="870"/>
      <c r="H51" s="870"/>
      <c r="I51" s="870"/>
      <c r="J51" s="870"/>
      <c r="K51" s="870"/>
      <c r="L51" s="870"/>
      <c r="M51" s="870"/>
      <c r="N51" s="870"/>
      <c r="O51" s="870"/>
      <c r="P51" s="863"/>
      <c r="Q51" s="863"/>
      <c r="R51" s="863"/>
      <c r="S51" s="863"/>
      <c r="T51" s="863"/>
      <c r="U51" s="863"/>
      <c r="V51" s="863"/>
      <c r="W51" s="863"/>
    </row>
    <row r="52" spans="1:28">
      <c r="A52" s="863"/>
      <c r="B52" s="863"/>
      <c r="C52" s="863"/>
      <c r="D52" s="863"/>
      <c r="E52" s="863"/>
      <c r="F52" s="863"/>
      <c r="G52" s="863"/>
      <c r="H52" s="863"/>
      <c r="I52" s="863"/>
      <c r="J52" s="863"/>
      <c r="K52" s="863"/>
      <c r="L52" s="863"/>
      <c r="M52" s="863"/>
      <c r="N52" s="863"/>
      <c r="O52" s="863"/>
      <c r="P52" s="863"/>
      <c r="Q52" s="863"/>
      <c r="R52" s="863"/>
      <c r="S52" s="863"/>
      <c r="T52" s="863"/>
      <c r="U52" s="863"/>
      <c r="V52" s="863"/>
      <c r="W52" s="863"/>
    </row>
    <row r="53" spans="1:28">
      <c r="A53" s="863"/>
      <c r="B53" s="863"/>
      <c r="C53" s="863"/>
      <c r="D53" s="863"/>
      <c r="E53" s="863"/>
      <c r="F53" s="863"/>
      <c r="G53" s="863"/>
      <c r="H53" s="863"/>
      <c r="I53" s="863"/>
      <c r="J53" s="863"/>
      <c r="K53" s="863"/>
      <c r="L53" s="863"/>
      <c r="M53" s="863"/>
      <c r="N53" s="863"/>
      <c r="O53" s="863"/>
      <c r="P53" s="863"/>
      <c r="Q53" s="863"/>
      <c r="R53" s="863"/>
      <c r="S53" s="863"/>
      <c r="T53" s="863"/>
      <c r="U53" s="863"/>
      <c r="V53" s="863"/>
      <c r="W53" s="863"/>
    </row>
    <row r="54" spans="1:28">
      <c r="A54" s="863"/>
      <c r="B54" s="863"/>
      <c r="C54" s="863"/>
      <c r="D54" s="863"/>
      <c r="E54" s="863"/>
      <c r="F54" s="863"/>
      <c r="G54" s="863"/>
      <c r="H54" s="863"/>
      <c r="I54" s="863"/>
      <c r="J54" s="863"/>
      <c r="K54" s="863"/>
      <c r="L54" s="863"/>
      <c r="M54" s="863"/>
      <c r="N54" s="863"/>
      <c r="O54" s="863"/>
      <c r="P54" s="863"/>
      <c r="Q54" s="863"/>
      <c r="R54" s="863"/>
      <c r="S54" s="863"/>
      <c r="T54" s="863"/>
      <c r="U54" s="863"/>
      <c r="V54" s="863"/>
      <c r="W54" s="863"/>
    </row>
    <row r="55" spans="1:28" hidden="1">
      <c r="B55" s="845"/>
      <c r="J55" s="846"/>
      <c r="R55" s="846"/>
    </row>
    <row r="56" spans="1:28" hidden="1">
      <c r="R56" s="846"/>
      <c r="AB56" s="848"/>
    </row>
    <row r="57" spans="1:28" hidden="1">
      <c r="C57" s="848"/>
      <c r="O57" s="848"/>
      <c r="AB57" s="848"/>
    </row>
    <row r="58" spans="1:28" hidden="1">
      <c r="AB58" s="848"/>
    </row>
    <row r="59" spans="1:28" hidden="1"/>
    <row r="60" spans="1:28" hidden="1">
      <c r="AB60" s="844"/>
    </row>
    <row r="61" spans="1:28" hidden="1">
      <c r="AB61" s="844"/>
    </row>
    <row r="62" spans="1:28" hidden="1"/>
    <row r="63" spans="1:28" hidden="1"/>
    <row r="64" spans="1:28"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 hidden="1"/>
    <row r="82" spans="2:2" hidden="1"/>
    <row r="83" spans="2:2" hidden="1"/>
    <row r="84" spans="2:2" hidden="1"/>
    <row r="85" spans="2:2" hidden="1"/>
    <row r="86" spans="2:2" hidden="1"/>
    <row r="87" spans="2:2" hidden="1"/>
    <row r="88" spans="2:2" hidden="1"/>
    <row r="89" spans="2:2" hidden="1"/>
    <row r="90" spans="2:2" hidden="1"/>
    <row r="91" spans="2:2" hidden="1"/>
    <row r="92" spans="2:2" hidden="1">
      <c r="B92" s="844"/>
    </row>
    <row r="93" spans="2:2" hidden="1">
      <c r="B93" s="844"/>
    </row>
    <row r="94" spans="2:2" hidden="1">
      <c r="B94" s="844"/>
    </row>
    <row r="95" spans="2:2" hidden="1">
      <c r="B95" s="844"/>
    </row>
    <row r="96" spans="2:2" hidden="1">
      <c r="B96" s="844"/>
    </row>
  </sheetData>
  <sheetProtection algorithmName="SHA-512" hashValue="S5DodmOBXOHSuzaYbD1uFdGBIQGTon2FvAKGsAykHhwbzeDkCfCeOOubw5dkp9Zabvl/CR1cFctM5P5bBO/evw==" saltValue="rMNuMhkfCKBhPcmCewVJCA==" spinCount="100000" sheet="1" objects="1" scenarios="1"/>
  <mergeCells count="2">
    <mergeCell ref="L6:Q6"/>
    <mergeCell ref="A7:F7"/>
  </mergeCells>
  <printOptions horizontalCentered="1" verticalCentered="1"/>
  <pageMargins left="0.19685039370078741" right="0.19685039370078741" top="0.19685039370078741" bottom="0.19685039370078741" header="0.19685039370078741" footer="0.19685039370078741"/>
  <pageSetup paperSize="9" scale="71"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20865" r:id="rId4" name="Drop Down 1">
              <controlPr defaultSize="0" autoLine="0" autoPict="0">
                <anchor moveWithCells="1">
                  <from>
                    <xdr:col>12</xdr:col>
                    <xdr:colOff>523875</xdr:colOff>
                    <xdr:row>2</xdr:row>
                    <xdr:rowOff>152400</xdr:rowOff>
                  </from>
                  <to>
                    <xdr:col>14</xdr:col>
                    <xdr:colOff>76200</xdr:colOff>
                    <xdr:row>3</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EEEF-B6C6-4A03-B6D1-DABDFC8F1C03}">
  <sheetPr>
    <tabColor rgb="FFFFFF00"/>
    <pageSetUpPr fitToPage="1"/>
  </sheetPr>
  <dimension ref="A1:AB96"/>
  <sheetViews>
    <sheetView showGridLines="0" showRowColHeaders="0" zoomScaleNormal="100" zoomScaleSheetLayoutView="120" workbookViewId="0">
      <selection sqref="A1:XFD1048576"/>
    </sheetView>
  </sheetViews>
  <sheetFormatPr defaultColWidth="0" defaultRowHeight="15" zeroHeight="1"/>
  <cols>
    <col min="1" max="11" width="8.42578125" style="841" customWidth="1"/>
    <col min="12" max="12" width="7" style="841" customWidth="1"/>
    <col min="13" max="23" width="8.7109375" style="841" customWidth="1"/>
    <col min="24" max="28" width="0" style="841" hidden="1"/>
    <col min="29" max="16384" width="8.7109375" style="841" hidden="1"/>
  </cols>
  <sheetData>
    <row r="1" spans="1:23">
      <c r="A1" s="863"/>
      <c r="B1" s="863"/>
      <c r="C1" s="863"/>
      <c r="D1" s="863"/>
      <c r="E1" s="863"/>
      <c r="F1" s="863"/>
      <c r="G1" s="863"/>
      <c r="H1" s="863"/>
      <c r="I1" s="863"/>
      <c r="J1" s="863"/>
      <c r="K1" s="863"/>
      <c r="L1" s="863"/>
      <c r="M1" s="863"/>
      <c r="N1" s="863"/>
      <c r="O1" s="863"/>
      <c r="P1" s="863"/>
      <c r="Q1" s="863"/>
      <c r="R1" s="863"/>
      <c r="S1" s="863"/>
      <c r="T1" s="863"/>
      <c r="U1" s="863"/>
      <c r="V1" s="863"/>
      <c r="W1" s="863"/>
    </row>
    <row r="2" spans="1:23">
      <c r="A2" s="863"/>
      <c r="B2" s="863"/>
      <c r="C2" s="863"/>
      <c r="D2" s="863"/>
      <c r="E2" s="863"/>
      <c r="F2" s="863"/>
      <c r="G2" s="863"/>
      <c r="H2" s="863"/>
      <c r="I2" s="863"/>
      <c r="J2" s="863"/>
      <c r="K2" s="863"/>
      <c r="L2" s="863"/>
      <c r="M2" s="863"/>
      <c r="N2" s="863"/>
      <c r="O2" s="863"/>
      <c r="P2" s="863"/>
      <c r="Q2" s="863"/>
      <c r="R2" s="863"/>
      <c r="S2" s="863"/>
      <c r="T2" s="863"/>
      <c r="U2" s="863"/>
      <c r="V2" s="863"/>
      <c r="W2" s="863"/>
    </row>
    <row r="3" spans="1:23">
      <c r="A3" s="863"/>
      <c r="B3" s="863"/>
      <c r="C3" s="863"/>
      <c r="D3" s="863"/>
      <c r="E3" s="863"/>
      <c r="F3" s="863"/>
      <c r="G3" s="863"/>
      <c r="H3" s="863"/>
      <c r="I3" s="863"/>
      <c r="J3" s="863"/>
      <c r="K3" s="863"/>
      <c r="L3" s="863"/>
      <c r="M3" s="863"/>
      <c r="N3" s="863"/>
      <c r="O3" s="863"/>
      <c r="P3" s="863"/>
      <c r="Q3" s="863"/>
      <c r="R3" s="863"/>
      <c r="S3" s="863"/>
      <c r="T3" s="863"/>
      <c r="U3" s="863"/>
      <c r="V3" s="863"/>
      <c r="W3" s="863"/>
    </row>
    <row r="4" spans="1:23">
      <c r="A4" s="863"/>
      <c r="B4" s="863"/>
      <c r="C4" s="863"/>
      <c r="D4" s="863"/>
      <c r="E4" s="863"/>
      <c r="F4" s="863"/>
      <c r="G4" s="863"/>
      <c r="H4" s="863"/>
      <c r="I4" s="863"/>
      <c r="J4" s="863"/>
      <c r="K4" s="863"/>
      <c r="L4" s="863"/>
      <c r="M4" s="863"/>
      <c r="N4" s="863"/>
      <c r="O4" s="863"/>
      <c r="P4" s="863"/>
      <c r="Q4" s="863"/>
      <c r="R4" s="863"/>
      <c r="S4" s="863"/>
      <c r="T4" s="863"/>
      <c r="U4" s="863"/>
      <c r="V4" s="863"/>
      <c r="W4" s="863"/>
    </row>
    <row r="5" spans="1:23">
      <c r="A5" s="863"/>
      <c r="B5" s="863"/>
      <c r="C5" s="863"/>
      <c r="D5" s="863"/>
      <c r="E5" s="863"/>
      <c r="F5" s="863"/>
      <c r="G5" s="863"/>
      <c r="H5" s="863"/>
      <c r="I5" s="863"/>
      <c r="J5" s="863"/>
      <c r="K5" s="863"/>
      <c r="L5" s="863"/>
      <c r="M5" s="863"/>
      <c r="N5" s="863"/>
      <c r="O5" s="863"/>
      <c r="P5" s="863"/>
      <c r="Q5" s="863"/>
      <c r="R5" s="863"/>
      <c r="S5" s="863"/>
      <c r="T5" s="863"/>
      <c r="U5" s="863"/>
      <c r="V5" s="863"/>
      <c r="W5" s="863"/>
    </row>
    <row r="6" spans="1:23">
      <c r="A6" s="863"/>
      <c r="B6" s="863"/>
      <c r="C6" s="863"/>
      <c r="D6" s="863"/>
      <c r="E6" s="863"/>
      <c r="F6" s="863"/>
      <c r="G6" s="864"/>
      <c r="H6" s="863"/>
      <c r="I6" s="863"/>
      <c r="J6" s="863"/>
      <c r="K6" s="863"/>
      <c r="L6" s="877"/>
      <c r="M6" s="877"/>
      <c r="N6" s="877"/>
      <c r="O6" s="877"/>
      <c r="P6" s="877"/>
      <c r="Q6" s="877"/>
      <c r="R6" s="863"/>
      <c r="S6" s="863"/>
      <c r="T6" s="863"/>
      <c r="U6" s="863"/>
      <c r="V6" s="863"/>
      <c r="W6" s="863"/>
    </row>
    <row r="7" spans="1:23">
      <c r="A7" s="880"/>
      <c r="B7" s="880"/>
      <c r="C7" s="880"/>
      <c r="D7" s="880"/>
      <c r="E7" s="880"/>
      <c r="F7" s="880"/>
      <c r="G7" s="863"/>
      <c r="H7" s="863"/>
      <c r="I7" s="863"/>
      <c r="J7" s="863"/>
      <c r="K7" s="863"/>
      <c r="L7" s="863"/>
      <c r="M7" s="863"/>
      <c r="N7" s="863"/>
      <c r="O7" s="863"/>
      <c r="P7" s="863"/>
      <c r="Q7" s="863"/>
      <c r="R7" s="863"/>
      <c r="S7" s="863"/>
      <c r="T7" s="863"/>
      <c r="U7" s="863"/>
      <c r="V7" s="863"/>
      <c r="W7" s="863"/>
    </row>
    <row r="8" spans="1:23" ht="15" customHeight="1">
      <c r="A8" s="863"/>
      <c r="B8" s="863"/>
      <c r="C8" s="863"/>
      <c r="D8" s="863"/>
      <c r="E8" s="863"/>
      <c r="F8" s="867"/>
      <c r="G8" s="867"/>
      <c r="H8" s="863"/>
      <c r="I8" s="863"/>
      <c r="J8" s="863"/>
      <c r="K8" s="863"/>
      <c r="L8" s="863"/>
      <c r="M8" s="863"/>
      <c r="N8" s="863"/>
      <c r="O8" s="863"/>
      <c r="P8" s="863"/>
      <c r="Q8" s="863"/>
      <c r="R8" s="863"/>
      <c r="S8" s="863"/>
      <c r="T8" s="863"/>
      <c r="U8" s="863"/>
      <c r="V8" s="863"/>
      <c r="W8" s="863"/>
    </row>
    <row r="9" spans="1:23" ht="15" customHeight="1">
      <c r="A9" s="863"/>
      <c r="B9" s="863"/>
      <c r="C9" s="863"/>
      <c r="D9" s="863"/>
      <c r="E9" s="863"/>
      <c r="F9" s="867"/>
      <c r="G9" s="867"/>
      <c r="H9" s="863"/>
      <c r="I9" s="863"/>
      <c r="J9" s="863"/>
      <c r="K9" s="863"/>
      <c r="L9" s="863"/>
      <c r="M9" s="863"/>
      <c r="N9" s="863"/>
      <c r="O9" s="863"/>
      <c r="P9" s="863"/>
      <c r="Q9" s="863"/>
      <c r="R9" s="863"/>
      <c r="S9" s="863"/>
      <c r="T9" s="863"/>
      <c r="U9" s="863"/>
      <c r="V9" s="863"/>
      <c r="W9" s="863"/>
    </row>
    <row r="10" spans="1:23">
      <c r="A10" s="863"/>
      <c r="B10" s="863"/>
      <c r="C10" s="863"/>
      <c r="D10" s="863"/>
      <c r="E10" s="863"/>
      <c r="F10" s="867"/>
      <c r="G10" s="867"/>
      <c r="H10" s="863"/>
      <c r="I10" s="863"/>
      <c r="J10" s="863"/>
      <c r="K10" s="863"/>
      <c r="L10" s="863"/>
      <c r="M10" s="863"/>
      <c r="N10" s="863"/>
      <c r="O10" s="863"/>
      <c r="P10" s="863"/>
      <c r="Q10" s="863"/>
      <c r="R10" s="863"/>
      <c r="S10" s="863"/>
      <c r="T10" s="863"/>
      <c r="U10" s="863"/>
      <c r="V10" s="863"/>
      <c r="W10" s="863"/>
    </row>
    <row r="11" spans="1:23" ht="15" customHeight="1">
      <c r="A11" s="863"/>
      <c r="B11" s="863"/>
      <c r="C11" s="863"/>
      <c r="D11" s="863"/>
      <c r="E11" s="863"/>
      <c r="F11" s="867"/>
      <c r="G11" s="867"/>
      <c r="H11" s="863"/>
      <c r="I11" s="863"/>
      <c r="J11" s="863"/>
      <c r="K11" s="863"/>
      <c r="L11" s="863"/>
      <c r="M11" s="863"/>
      <c r="N11" s="863"/>
      <c r="O11" s="863"/>
      <c r="P11" s="863"/>
      <c r="Q11" s="863"/>
      <c r="R11" s="863"/>
      <c r="S11" s="863"/>
      <c r="T11" s="863"/>
      <c r="U11" s="863"/>
      <c r="V11" s="863"/>
      <c r="W11" s="863"/>
    </row>
    <row r="12" spans="1:23" ht="15" customHeight="1">
      <c r="A12" s="863"/>
      <c r="B12" s="863"/>
      <c r="C12" s="863"/>
      <c r="D12" s="863"/>
      <c r="E12" s="863"/>
      <c r="F12" s="867"/>
      <c r="G12" s="867"/>
      <c r="H12" s="863"/>
      <c r="I12" s="863"/>
      <c r="J12" s="863"/>
      <c r="K12" s="863"/>
      <c r="L12" s="863"/>
      <c r="M12" s="863"/>
      <c r="N12" s="863"/>
      <c r="O12" s="863"/>
      <c r="P12" s="863"/>
      <c r="Q12" s="863"/>
      <c r="R12" s="863"/>
      <c r="S12" s="863"/>
      <c r="T12" s="863"/>
      <c r="U12" s="863"/>
      <c r="V12" s="863"/>
      <c r="W12" s="863"/>
    </row>
    <row r="13" spans="1:23">
      <c r="A13" s="863"/>
      <c r="B13" s="863"/>
      <c r="C13" s="863"/>
      <c r="D13" s="863"/>
      <c r="E13" s="863"/>
      <c r="F13" s="867"/>
      <c r="G13" s="867"/>
      <c r="H13" s="863"/>
      <c r="I13" s="863"/>
      <c r="J13" s="863"/>
      <c r="K13" s="863"/>
      <c r="L13" s="863"/>
      <c r="M13" s="863"/>
      <c r="N13" s="863"/>
      <c r="O13" s="863"/>
      <c r="P13" s="863"/>
      <c r="Q13" s="863"/>
      <c r="R13" s="863"/>
      <c r="S13" s="863"/>
      <c r="T13" s="863"/>
      <c r="U13" s="863"/>
      <c r="V13" s="863"/>
      <c r="W13" s="863"/>
    </row>
    <row r="14" spans="1:23">
      <c r="A14" s="863"/>
      <c r="B14" s="863"/>
      <c r="C14" s="863"/>
      <c r="D14" s="863"/>
      <c r="E14" s="863"/>
      <c r="F14" s="863"/>
      <c r="G14" s="863"/>
      <c r="H14" s="863"/>
      <c r="I14" s="863"/>
      <c r="J14" s="863"/>
      <c r="K14" s="863"/>
      <c r="L14" s="863"/>
      <c r="M14" s="863"/>
      <c r="N14" s="863"/>
      <c r="O14" s="863"/>
      <c r="P14" s="863"/>
      <c r="Q14" s="863"/>
      <c r="R14" s="863"/>
      <c r="S14" s="863"/>
      <c r="T14" s="863"/>
      <c r="U14" s="863"/>
      <c r="V14" s="863"/>
      <c r="W14" s="863"/>
    </row>
    <row r="15" spans="1:23">
      <c r="A15" s="863"/>
      <c r="B15" s="863"/>
      <c r="C15" s="863"/>
      <c r="D15" s="863"/>
      <c r="E15" s="863"/>
      <c r="F15" s="863"/>
      <c r="G15" s="863"/>
      <c r="H15" s="863"/>
      <c r="I15" s="863"/>
      <c r="J15" s="863"/>
      <c r="K15" s="863"/>
      <c r="L15" s="863"/>
      <c r="M15" s="863"/>
      <c r="N15" s="863"/>
      <c r="O15" s="863"/>
      <c r="P15" s="863"/>
      <c r="Q15" s="863"/>
      <c r="R15" s="863"/>
      <c r="S15" s="863"/>
      <c r="T15" s="863"/>
      <c r="U15" s="863"/>
      <c r="V15" s="863"/>
      <c r="W15" s="863"/>
    </row>
    <row r="16" spans="1:23">
      <c r="A16" s="863"/>
      <c r="B16" s="863"/>
      <c r="C16" s="863"/>
      <c r="D16" s="863"/>
      <c r="E16" s="863"/>
      <c r="F16" s="863"/>
      <c r="G16" s="863"/>
      <c r="H16" s="863"/>
      <c r="I16" s="863"/>
      <c r="J16" s="863"/>
      <c r="K16" s="863"/>
      <c r="L16" s="863"/>
      <c r="M16" s="863"/>
      <c r="N16" s="863"/>
      <c r="O16" s="863"/>
      <c r="P16" s="863"/>
      <c r="Q16" s="863"/>
      <c r="R16" s="863"/>
      <c r="S16" s="863"/>
      <c r="T16" s="863"/>
      <c r="U16" s="863"/>
      <c r="V16" s="863"/>
      <c r="W16" s="863"/>
    </row>
    <row r="17" spans="1:25">
      <c r="A17" s="863"/>
      <c r="B17" s="863"/>
      <c r="C17" s="863"/>
      <c r="D17" s="863"/>
      <c r="E17" s="863"/>
      <c r="F17" s="863"/>
      <c r="G17" s="863"/>
      <c r="H17" s="863"/>
      <c r="I17" s="863"/>
      <c r="J17" s="863"/>
      <c r="K17" s="863"/>
      <c r="L17" s="863"/>
      <c r="M17" s="863"/>
      <c r="N17" s="863"/>
      <c r="O17" s="863"/>
      <c r="P17" s="863"/>
      <c r="Q17" s="863"/>
      <c r="R17" s="863"/>
      <c r="S17" s="863"/>
      <c r="T17" s="863"/>
      <c r="U17" s="863"/>
      <c r="V17" s="863"/>
      <c r="W17" s="863"/>
    </row>
    <row r="18" spans="1:25">
      <c r="A18" s="863"/>
      <c r="B18" s="863"/>
      <c r="C18" s="863"/>
      <c r="D18" s="863"/>
      <c r="E18" s="863"/>
      <c r="F18" s="863"/>
      <c r="G18" s="863"/>
      <c r="H18" s="863"/>
      <c r="I18" s="863"/>
      <c r="J18" s="863"/>
      <c r="K18" s="863"/>
      <c r="L18" s="863"/>
      <c r="M18" s="863"/>
      <c r="N18" s="863"/>
      <c r="O18" s="863"/>
      <c r="P18" s="863"/>
      <c r="Q18" s="863"/>
      <c r="R18" s="863"/>
      <c r="S18" s="863"/>
      <c r="T18" s="863"/>
      <c r="U18" s="863"/>
      <c r="V18" s="863"/>
      <c r="W18" s="863"/>
    </row>
    <row r="19" spans="1:25">
      <c r="A19" s="863"/>
      <c r="B19" s="863"/>
      <c r="C19" s="863"/>
      <c r="D19" s="863"/>
      <c r="E19" s="863"/>
      <c r="F19" s="863"/>
      <c r="G19" s="863"/>
      <c r="H19" s="863"/>
      <c r="I19" s="863"/>
      <c r="J19" s="863"/>
      <c r="K19" s="863"/>
      <c r="L19" s="863"/>
      <c r="M19" s="863"/>
      <c r="N19" s="863"/>
      <c r="O19" s="863"/>
      <c r="P19" s="863"/>
      <c r="Q19" s="863"/>
      <c r="R19" s="863"/>
      <c r="S19" s="863"/>
      <c r="T19" s="863"/>
      <c r="U19" s="863"/>
      <c r="V19" s="863"/>
      <c r="W19" s="863"/>
    </row>
    <row r="20" spans="1:25">
      <c r="A20" s="863"/>
      <c r="B20" s="863"/>
      <c r="C20" s="863"/>
      <c r="D20" s="863"/>
      <c r="E20" s="863"/>
      <c r="F20" s="863"/>
      <c r="G20" s="863"/>
      <c r="H20" s="863"/>
      <c r="I20" s="863"/>
      <c r="J20" s="863"/>
      <c r="K20" s="863"/>
      <c r="L20" s="863"/>
      <c r="M20" s="863"/>
      <c r="N20" s="863"/>
      <c r="O20" s="863"/>
      <c r="P20" s="863"/>
      <c r="Q20" s="863"/>
      <c r="R20" s="863"/>
      <c r="S20" s="863"/>
      <c r="T20" s="863"/>
      <c r="U20" s="863"/>
      <c r="V20" s="863"/>
      <c r="W20" s="863"/>
    </row>
    <row r="21" spans="1:25">
      <c r="A21" s="863"/>
      <c r="B21" s="863"/>
      <c r="C21" s="863"/>
      <c r="D21" s="863"/>
      <c r="E21" s="863"/>
      <c r="F21" s="863"/>
      <c r="G21" s="863"/>
      <c r="H21" s="863"/>
      <c r="I21" s="863"/>
      <c r="J21" s="863"/>
      <c r="K21" s="863"/>
      <c r="L21" s="863"/>
      <c r="M21" s="863"/>
      <c r="N21" s="863"/>
      <c r="O21" s="863"/>
      <c r="P21" s="863"/>
      <c r="Q21" s="863"/>
      <c r="R21" s="863"/>
      <c r="S21" s="863"/>
      <c r="T21" s="863"/>
      <c r="U21" s="863"/>
      <c r="V21" s="863"/>
      <c r="W21" s="863"/>
    </row>
    <row r="22" spans="1:25">
      <c r="A22" s="863"/>
      <c r="B22" s="863"/>
      <c r="C22" s="863"/>
      <c r="D22" s="863"/>
      <c r="E22" s="863"/>
      <c r="F22" s="863"/>
      <c r="G22" s="863"/>
      <c r="H22" s="863"/>
      <c r="I22" s="863"/>
      <c r="J22" s="863"/>
      <c r="K22" s="863"/>
      <c r="L22" s="863"/>
      <c r="M22" s="863"/>
      <c r="N22" s="863"/>
      <c r="O22" s="863"/>
      <c r="P22" s="863"/>
      <c r="Q22" s="863"/>
      <c r="R22" s="863"/>
      <c r="S22" s="863"/>
      <c r="T22" s="863"/>
      <c r="U22" s="863"/>
      <c r="V22" s="863"/>
      <c r="W22" s="863"/>
    </row>
    <row r="23" spans="1:25">
      <c r="A23" s="863"/>
      <c r="B23" s="863"/>
      <c r="C23" s="863"/>
      <c r="D23" s="863"/>
      <c r="E23" s="863"/>
      <c r="F23" s="863"/>
      <c r="G23" s="863"/>
      <c r="H23" s="863"/>
      <c r="I23" s="863"/>
      <c r="J23" s="863"/>
      <c r="K23" s="863"/>
      <c r="L23" s="863"/>
      <c r="M23" s="863"/>
      <c r="N23" s="863"/>
      <c r="O23" s="863"/>
      <c r="P23" s="863"/>
      <c r="Q23" s="863"/>
      <c r="R23" s="863"/>
      <c r="S23" s="863"/>
      <c r="T23" s="863"/>
      <c r="U23" s="863"/>
      <c r="V23" s="863"/>
      <c r="W23" s="863"/>
    </row>
    <row r="24" spans="1:25">
      <c r="A24" s="863"/>
      <c r="B24" s="863"/>
      <c r="C24" s="863"/>
      <c r="D24" s="863"/>
      <c r="E24" s="863"/>
      <c r="F24" s="863"/>
      <c r="G24" s="863"/>
      <c r="H24" s="863"/>
      <c r="I24" s="863"/>
      <c r="J24" s="863"/>
      <c r="K24" s="863"/>
      <c r="L24" s="863"/>
      <c r="M24" s="863"/>
      <c r="N24" s="863"/>
      <c r="O24" s="863"/>
      <c r="P24" s="863"/>
      <c r="Q24" s="863"/>
      <c r="R24" s="863"/>
      <c r="S24" s="863"/>
      <c r="T24" s="863"/>
      <c r="U24" s="863"/>
      <c r="V24" s="863"/>
      <c r="W24" s="863"/>
    </row>
    <row r="25" spans="1:25">
      <c r="A25" s="863"/>
      <c r="B25" s="863"/>
      <c r="C25" s="863"/>
      <c r="D25" s="863"/>
      <c r="E25" s="863"/>
      <c r="F25" s="863"/>
      <c r="G25" s="863"/>
      <c r="H25" s="863"/>
      <c r="I25" s="863"/>
      <c r="J25" s="863"/>
      <c r="K25" s="863"/>
      <c r="L25" s="863"/>
      <c r="M25" s="863"/>
      <c r="N25" s="863"/>
      <c r="O25" s="863"/>
      <c r="P25" s="863"/>
      <c r="Q25" s="863"/>
      <c r="R25" s="863"/>
      <c r="S25" s="863"/>
      <c r="T25" s="863"/>
      <c r="U25" s="863"/>
      <c r="V25" s="863"/>
      <c r="W25" s="863"/>
    </row>
    <row r="26" spans="1:25">
      <c r="A26" s="863"/>
      <c r="B26" s="863"/>
      <c r="C26" s="863"/>
      <c r="D26" s="863"/>
      <c r="E26" s="863"/>
      <c r="F26" s="863"/>
      <c r="G26" s="863"/>
      <c r="H26" s="863"/>
      <c r="I26" s="863"/>
      <c r="J26" s="863"/>
      <c r="K26" s="863"/>
      <c r="L26" s="863"/>
      <c r="M26" s="863"/>
      <c r="N26" s="863"/>
      <c r="O26" s="863"/>
      <c r="P26" s="863"/>
      <c r="Q26" s="863"/>
      <c r="R26" s="863"/>
      <c r="S26" s="863"/>
      <c r="T26" s="863"/>
      <c r="U26" s="863"/>
      <c r="V26" s="863"/>
      <c r="W26" s="863"/>
    </row>
    <row r="27" spans="1:25">
      <c r="A27" s="863"/>
      <c r="B27" s="863"/>
      <c r="C27" s="863"/>
      <c r="D27" s="863"/>
      <c r="E27" s="863"/>
      <c r="F27" s="863"/>
      <c r="G27" s="863"/>
      <c r="H27" s="863"/>
      <c r="I27" s="863"/>
      <c r="J27" s="863"/>
      <c r="K27" s="863"/>
      <c r="L27" s="863"/>
      <c r="M27" s="863"/>
      <c r="N27" s="863"/>
      <c r="O27" s="863"/>
      <c r="P27" s="863"/>
      <c r="Q27" s="863"/>
      <c r="R27" s="863"/>
      <c r="S27" s="863"/>
      <c r="T27" s="863"/>
      <c r="U27" s="863"/>
      <c r="V27" s="863"/>
      <c r="W27" s="863"/>
    </row>
    <row r="28" spans="1:25">
      <c r="A28" s="863"/>
      <c r="B28" s="863"/>
      <c r="C28" s="863"/>
      <c r="D28" s="863"/>
      <c r="E28" s="863"/>
      <c r="F28" s="863"/>
      <c r="G28" s="863"/>
      <c r="H28" s="863"/>
      <c r="I28" s="863"/>
      <c r="J28" s="863"/>
      <c r="K28" s="863"/>
      <c r="L28" s="863"/>
      <c r="M28" s="863"/>
      <c r="N28" s="863"/>
      <c r="O28" s="863"/>
      <c r="P28" s="868"/>
      <c r="Q28" s="868"/>
      <c r="R28" s="868"/>
      <c r="S28" s="868"/>
      <c r="T28" s="868"/>
      <c r="U28" s="868"/>
      <c r="V28" s="868"/>
      <c r="W28" s="868"/>
      <c r="X28" s="842"/>
      <c r="Y28" s="842"/>
    </row>
    <row r="29" spans="1:25">
      <c r="A29" s="863"/>
      <c r="B29" s="863"/>
      <c r="C29" s="863"/>
      <c r="D29" s="863"/>
      <c r="E29" s="863"/>
      <c r="F29" s="863"/>
      <c r="G29" s="863"/>
      <c r="H29" s="863"/>
      <c r="I29" s="863"/>
      <c r="J29" s="863"/>
      <c r="K29" s="863"/>
      <c r="L29" s="863"/>
      <c r="M29" s="863"/>
      <c r="N29" s="863"/>
      <c r="O29" s="863"/>
      <c r="P29" s="869"/>
      <c r="Q29" s="869"/>
      <c r="R29" s="869"/>
      <c r="S29" s="869"/>
      <c r="T29" s="869"/>
      <c r="U29" s="869"/>
      <c r="V29" s="863"/>
      <c r="W29" s="870"/>
      <c r="X29" s="843"/>
      <c r="Y29" s="843"/>
    </row>
    <row r="30" spans="1:25">
      <c r="A30" s="863"/>
      <c r="B30" s="863"/>
      <c r="C30" s="863"/>
      <c r="D30" s="863"/>
      <c r="E30" s="863"/>
      <c r="F30" s="863"/>
      <c r="G30" s="863"/>
      <c r="H30" s="863"/>
      <c r="I30" s="863"/>
      <c r="J30" s="863"/>
      <c r="K30" s="863"/>
      <c r="L30" s="863"/>
      <c r="M30" s="863"/>
      <c r="N30" s="863"/>
      <c r="O30" s="863"/>
      <c r="P30" s="863"/>
      <c r="Q30" s="863"/>
      <c r="R30" s="863"/>
      <c r="S30" s="863"/>
      <c r="T30" s="863"/>
      <c r="U30" s="863"/>
      <c r="V30" s="863"/>
      <c r="W30" s="863"/>
    </row>
    <row r="31" spans="1:25">
      <c r="A31" s="863"/>
      <c r="B31" s="863"/>
      <c r="C31" s="863"/>
      <c r="D31" s="863"/>
      <c r="E31" s="863"/>
      <c r="F31" s="863"/>
      <c r="G31" s="863"/>
      <c r="H31" s="863"/>
      <c r="I31" s="863"/>
      <c r="J31" s="863"/>
      <c r="K31" s="863"/>
      <c r="L31" s="863"/>
      <c r="M31" s="863"/>
      <c r="N31" s="863"/>
      <c r="O31" s="863"/>
      <c r="P31" s="871"/>
      <c r="Q31" s="863"/>
      <c r="R31" s="863"/>
      <c r="S31" s="863"/>
      <c r="T31" s="863"/>
      <c r="U31" s="863"/>
      <c r="V31" s="863"/>
      <c r="W31" s="863"/>
    </row>
    <row r="32" spans="1:25">
      <c r="A32" s="863"/>
      <c r="B32" s="863"/>
      <c r="C32" s="863"/>
      <c r="D32" s="863"/>
      <c r="E32" s="863"/>
      <c r="F32" s="863"/>
      <c r="G32" s="863"/>
      <c r="H32" s="863"/>
      <c r="I32" s="863"/>
      <c r="J32" s="863"/>
      <c r="K32" s="863"/>
      <c r="L32" s="863"/>
      <c r="M32" s="863"/>
      <c r="N32" s="863"/>
      <c r="O32" s="863"/>
      <c r="P32" s="870"/>
      <c r="Q32" s="863"/>
      <c r="R32" s="863"/>
      <c r="S32" s="863"/>
      <c r="T32" s="863"/>
      <c r="U32" s="863"/>
      <c r="V32" s="863"/>
      <c r="W32" s="863"/>
    </row>
    <row r="33" spans="1:23">
      <c r="A33" s="863"/>
      <c r="B33" s="863"/>
      <c r="C33" s="863"/>
      <c r="D33" s="863"/>
      <c r="E33" s="863"/>
      <c r="F33" s="863"/>
      <c r="G33" s="863"/>
      <c r="H33" s="863"/>
      <c r="I33" s="863"/>
      <c r="J33" s="863"/>
      <c r="K33" s="863"/>
      <c r="L33" s="863"/>
      <c r="M33" s="863"/>
      <c r="N33" s="863"/>
      <c r="O33" s="863"/>
      <c r="P33" s="870"/>
      <c r="Q33" s="863"/>
      <c r="R33" s="863"/>
      <c r="S33" s="863"/>
      <c r="T33" s="863"/>
      <c r="U33" s="863"/>
      <c r="V33" s="863"/>
      <c r="W33" s="863"/>
    </row>
    <row r="34" spans="1:23">
      <c r="A34" s="863"/>
      <c r="B34" s="863"/>
      <c r="C34" s="863"/>
      <c r="D34" s="863"/>
      <c r="E34" s="863"/>
      <c r="F34" s="863"/>
      <c r="G34" s="863"/>
      <c r="H34" s="863"/>
      <c r="I34" s="863"/>
      <c r="J34" s="863"/>
      <c r="K34" s="863"/>
      <c r="L34" s="863"/>
      <c r="M34" s="863"/>
      <c r="N34" s="863"/>
      <c r="O34" s="863"/>
      <c r="P34" s="870"/>
      <c r="Q34" s="863"/>
      <c r="R34" s="863"/>
      <c r="S34" s="863"/>
      <c r="T34" s="863"/>
      <c r="U34" s="863"/>
      <c r="V34" s="863"/>
      <c r="W34" s="863"/>
    </row>
    <row r="35" spans="1:23">
      <c r="A35" s="881"/>
      <c r="B35" s="863"/>
      <c r="C35" s="863"/>
      <c r="D35" s="863"/>
      <c r="E35" s="863"/>
      <c r="F35" s="863"/>
      <c r="G35" s="863"/>
      <c r="H35" s="872"/>
      <c r="I35" s="863"/>
      <c r="J35" s="871"/>
      <c r="K35" s="863"/>
      <c r="L35" s="863"/>
      <c r="M35" s="870"/>
      <c r="N35" s="870"/>
      <c r="O35" s="870"/>
      <c r="P35" s="870"/>
      <c r="Q35" s="863"/>
      <c r="R35" s="863"/>
      <c r="S35" s="863"/>
      <c r="T35" s="863"/>
      <c r="U35" s="863"/>
      <c r="V35" s="863"/>
      <c r="W35" s="863"/>
    </row>
    <row r="36" spans="1:23">
      <c r="A36" s="881"/>
      <c r="B36" s="863"/>
      <c r="C36" s="863"/>
      <c r="D36" s="863"/>
      <c r="E36" s="863"/>
      <c r="F36" s="863"/>
      <c r="G36" s="863"/>
      <c r="H36" s="872"/>
      <c r="I36" s="863"/>
      <c r="J36" s="871"/>
      <c r="K36" s="863"/>
      <c r="L36" s="863"/>
      <c r="M36" s="870"/>
      <c r="N36" s="870"/>
      <c r="O36" s="870"/>
      <c r="P36" s="870"/>
      <c r="Q36" s="863"/>
      <c r="R36" s="863"/>
      <c r="S36" s="863"/>
      <c r="T36" s="863"/>
      <c r="U36" s="863"/>
      <c r="V36" s="863"/>
      <c r="W36" s="863"/>
    </row>
    <row r="37" spans="1:23">
      <c r="A37" s="881"/>
      <c r="B37" s="863"/>
      <c r="C37" s="863"/>
      <c r="D37" s="863"/>
      <c r="E37" s="863"/>
      <c r="F37" s="863"/>
      <c r="G37" s="863"/>
      <c r="H37" s="863"/>
      <c r="I37" s="863"/>
      <c r="J37" s="871"/>
      <c r="K37" s="863"/>
      <c r="L37" s="863"/>
      <c r="M37" s="873"/>
      <c r="N37" s="872"/>
      <c r="O37" s="870"/>
      <c r="P37" s="870"/>
      <c r="Q37" s="882"/>
      <c r="R37" s="863"/>
      <c r="S37" s="863"/>
      <c r="T37" s="863"/>
      <c r="U37" s="863"/>
      <c r="V37" s="863"/>
      <c r="W37" s="863"/>
    </row>
    <row r="38" spans="1:23">
      <c r="A38" s="881"/>
      <c r="B38" s="863"/>
      <c r="C38" s="863"/>
      <c r="D38" s="863"/>
      <c r="E38" s="863"/>
      <c r="F38" s="863"/>
      <c r="G38" s="863"/>
      <c r="H38" s="872"/>
      <c r="I38" s="863"/>
      <c r="J38" s="871"/>
      <c r="K38" s="863"/>
      <c r="L38" s="863"/>
      <c r="M38" s="870"/>
      <c r="N38" s="870"/>
      <c r="O38" s="870"/>
      <c r="P38" s="870"/>
      <c r="Q38" s="863"/>
      <c r="R38" s="863"/>
      <c r="S38" s="863"/>
      <c r="T38" s="863"/>
      <c r="U38" s="863"/>
      <c r="V38" s="863"/>
      <c r="W38" s="863"/>
    </row>
    <row r="39" spans="1:23">
      <c r="A39" s="881"/>
      <c r="B39" s="863"/>
      <c r="C39" s="863"/>
      <c r="D39" s="863"/>
      <c r="E39" s="863"/>
      <c r="F39" s="863"/>
      <c r="G39" s="863"/>
      <c r="H39" s="871"/>
      <c r="I39" s="871"/>
      <c r="J39" s="871"/>
      <c r="K39" s="863"/>
      <c r="L39" s="870"/>
      <c r="M39" s="870"/>
      <c r="N39" s="870"/>
      <c r="O39" s="870"/>
      <c r="P39" s="870"/>
      <c r="Q39" s="863"/>
      <c r="R39" s="863"/>
      <c r="S39" s="863"/>
      <c r="T39" s="863"/>
      <c r="U39" s="863"/>
      <c r="V39" s="863"/>
      <c r="W39" s="863"/>
    </row>
    <row r="40" spans="1:23">
      <c r="A40" s="863"/>
      <c r="B40" s="863"/>
      <c r="C40" s="863"/>
      <c r="D40" s="863"/>
      <c r="E40" s="863"/>
      <c r="F40" s="863"/>
      <c r="G40" s="870"/>
      <c r="H40" s="870"/>
      <c r="I40" s="870"/>
      <c r="J40" s="870"/>
      <c r="K40" s="870"/>
      <c r="L40" s="870"/>
      <c r="M40" s="870"/>
      <c r="N40" s="870"/>
      <c r="O40" s="870"/>
      <c r="P40" s="870"/>
      <c r="Q40" s="863"/>
      <c r="R40" s="863"/>
      <c r="S40" s="863"/>
      <c r="T40" s="863"/>
      <c r="U40" s="863"/>
      <c r="V40" s="863"/>
      <c r="W40" s="863"/>
    </row>
    <row r="41" spans="1:23">
      <c r="A41" s="863"/>
      <c r="B41" s="863"/>
      <c r="C41" s="863"/>
      <c r="D41" s="863"/>
      <c r="E41" s="863"/>
      <c r="F41" s="863"/>
      <c r="G41" s="870"/>
      <c r="H41" s="870"/>
      <c r="I41" s="870"/>
      <c r="J41" s="870"/>
      <c r="K41" s="870"/>
      <c r="L41" s="870"/>
      <c r="M41" s="870"/>
      <c r="N41" s="870"/>
      <c r="O41" s="870"/>
      <c r="P41" s="870"/>
      <c r="Q41" s="863"/>
      <c r="R41" s="863"/>
      <c r="S41" s="863"/>
      <c r="T41" s="863"/>
      <c r="U41" s="863"/>
      <c r="V41" s="863"/>
      <c r="W41" s="863"/>
    </row>
    <row r="42" spans="1:23">
      <c r="A42" s="863"/>
      <c r="B42" s="863"/>
      <c r="C42" s="863"/>
      <c r="D42" s="863"/>
      <c r="E42" s="863"/>
      <c r="F42" s="863"/>
      <c r="G42" s="870"/>
      <c r="H42" s="870"/>
      <c r="I42" s="870"/>
      <c r="J42" s="870"/>
      <c r="K42" s="870"/>
      <c r="L42" s="870"/>
      <c r="M42" s="870"/>
      <c r="N42" s="870"/>
      <c r="O42" s="870"/>
      <c r="P42" s="870"/>
      <c r="Q42" s="863"/>
      <c r="R42" s="863"/>
      <c r="S42" s="863"/>
      <c r="T42" s="863"/>
      <c r="U42" s="863"/>
      <c r="V42" s="863"/>
      <c r="W42" s="863"/>
    </row>
    <row r="43" spans="1:23">
      <c r="A43" s="863"/>
      <c r="B43" s="863"/>
      <c r="C43" s="863"/>
      <c r="D43" s="863"/>
      <c r="E43" s="863"/>
      <c r="F43" s="863"/>
      <c r="G43" s="870"/>
      <c r="H43" s="870"/>
      <c r="I43" s="870"/>
      <c r="J43" s="870"/>
      <c r="K43" s="870"/>
      <c r="L43" s="870"/>
      <c r="M43" s="870"/>
      <c r="N43" s="870"/>
      <c r="O43" s="870"/>
      <c r="P43" s="870"/>
      <c r="Q43" s="863"/>
      <c r="R43" s="863"/>
      <c r="S43" s="863"/>
      <c r="T43" s="863"/>
      <c r="U43" s="863"/>
      <c r="V43" s="863"/>
      <c r="W43" s="863"/>
    </row>
    <row r="44" spans="1:23">
      <c r="A44" s="863"/>
      <c r="B44" s="863"/>
      <c r="C44" s="863"/>
      <c r="D44" s="863"/>
      <c r="E44" s="863"/>
      <c r="F44" s="863"/>
      <c r="G44" s="870"/>
      <c r="H44" s="870"/>
      <c r="I44" s="870"/>
      <c r="J44" s="870"/>
      <c r="K44" s="870"/>
      <c r="L44" s="870"/>
      <c r="M44" s="870"/>
      <c r="N44" s="870"/>
      <c r="O44" s="870"/>
      <c r="P44" s="870"/>
      <c r="Q44" s="863"/>
      <c r="R44" s="863"/>
      <c r="S44" s="863"/>
      <c r="T44" s="863"/>
      <c r="U44" s="863"/>
      <c r="V44" s="863"/>
      <c r="W44" s="863"/>
    </row>
    <row r="45" spans="1:23">
      <c r="A45" s="863"/>
      <c r="B45" s="863"/>
      <c r="C45" s="863"/>
      <c r="D45" s="863"/>
      <c r="E45" s="863"/>
      <c r="F45" s="863"/>
      <c r="G45" s="870"/>
      <c r="H45" s="870"/>
      <c r="I45" s="870"/>
      <c r="J45" s="870"/>
      <c r="K45" s="870"/>
      <c r="L45" s="870"/>
      <c r="M45" s="874"/>
      <c r="N45" s="870"/>
      <c r="O45" s="870"/>
      <c r="P45" s="875"/>
      <c r="Q45" s="875"/>
      <c r="R45" s="863"/>
      <c r="S45" s="863"/>
      <c r="T45" s="863"/>
      <c r="U45" s="863"/>
      <c r="V45" s="863"/>
      <c r="W45" s="863"/>
    </row>
    <row r="46" spans="1:23">
      <c r="A46" s="863"/>
      <c r="B46" s="863"/>
      <c r="C46" s="863"/>
      <c r="D46" s="863"/>
      <c r="E46" s="863"/>
      <c r="F46" s="863"/>
      <c r="G46" s="870"/>
      <c r="H46" s="870"/>
      <c r="I46" s="870"/>
      <c r="J46" s="870"/>
      <c r="K46" s="870"/>
      <c r="L46" s="870"/>
      <c r="M46" s="870"/>
      <c r="N46" s="870"/>
      <c r="O46" s="870"/>
      <c r="P46" s="870"/>
      <c r="Q46" s="863"/>
      <c r="R46" s="863"/>
      <c r="S46" s="863"/>
      <c r="T46" s="863"/>
      <c r="U46" s="863"/>
      <c r="V46" s="863"/>
      <c r="W46" s="863"/>
    </row>
    <row r="47" spans="1:23">
      <c r="A47" s="863"/>
      <c r="B47" s="863"/>
      <c r="C47" s="863"/>
      <c r="D47" s="863"/>
      <c r="E47" s="863"/>
      <c r="F47" s="863"/>
      <c r="G47" s="870"/>
      <c r="H47" s="870"/>
      <c r="I47" s="870"/>
      <c r="J47" s="870"/>
      <c r="K47" s="870"/>
      <c r="L47" s="870"/>
      <c r="M47" s="870"/>
      <c r="N47" s="870"/>
      <c r="O47" s="870"/>
      <c r="P47" s="870"/>
      <c r="Q47" s="863"/>
      <c r="R47" s="863"/>
      <c r="S47" s="863"/>
      <c r="T47" s="863"/>
      <c r="U47" s="863"/>
      <c r="V47" s="863"/>
      <c r="W47" s="863"/>
    </row>
    <row r="48" spans="1:23">
      <c r="A48" s="863"/>
      <c r="B48" s="863"/>
      <c r="C48" s="863"/>
      <c r="D48" s="863"/>
      <c r="E48" s="863"/>
      <c r="F48" s="863"/>
      <c r="G48" s="870"/>
      <c r="H48" s="870"/>
      <c r="I48" s="870"/>
      <c r="J48" s="870"/>
      <c r="K48" s="870"/>
      <c r="L48" s="870"/>
      <c r="M48" s="870"/>
      <c r="N48" s="870"/>
      <c r="O48" s="870"/>
      <c r="P48" s="870"/>
      <c r="Q48" s="863"/>
      <c r="R48" s="863"/>
      <c r="S48" s="863"/>
      <c r="T48" s="863"/>
      <c r="U48" s="863"/>
      <c r="V48" s="863"/>
      <c r="W48" s="863"/>
    </row>
    <row r="49" spans="1:28">
      <c r="A49" s="863"/>
      <c r="B49" s="863"/>
      <c r="C49" s="863"/>
      <c r="D49" s="863"/>
      <c r="E49" s="863"/>
      <c r="F49" s="863"/>
      <c r="G49" s="870"/>
      <c r="H49" s="870"/>
      <c r="I49" s="870"/>
      <c r="J49" s="870"/>
      <c r="K49" s="870"/>
      <c r="L49" s="876"/>
      <c r="M49" s="876"/>
      <c r="N49" s="876"/>
      <c r="O49" s="876"/>
      <c r="P49" s="870"/>
      <c r="Q49" s="870"/>
      <c r="R49" s="870"/>
      <c r="S49" s="870"/>
      <c r="T49" s="870"/>
      <c r="U49" s="870"/>
      <c r="V49" s="870"/>
      <c r="W49" s="870"/>
      <c r="X49" s="843"/>
      <c r="Y49" s="843"/>
    </row>
    <row r="50" spans="1:28">
      <c r="A50" s="863"/>
      <c r="B50" s="863"/>
      <c r="C50" s="863"/>
      <c r="D50" s="863"/>
      <c r="E50" s="863"/>
      <c r="F50" s="863"/>
      <c r="G50" s="870"/>
      <c r="H50" s="870"/>
      <c r="I50" s="870"/>
      <c r="J50" s="870"/>
      <c r="K50" s="870"/>
      <c r="L50" s="870"/>
      <c r="M50" s="870"/>
      <c r="N50" s="870"/>
      <c r="O50" s="870"/>
      <c r="P50" s="870"/>
      <c r="Q50" s="870"/>
      <c r="R50" s="870"/>
      <c r="S50" s="870"/>
      <c r="T50" s="870"/>
      <c r="U50" s="870"/>
      <c r="V50" s="870"/>
      <c r="W50" s="870"/>
      <c r="X50" s="843"/>
      <c r="Y50" s="843"/>
    </row>
    <row r="51" spans="1:28">
      <c r="A51" s="863"/>
      <c r="B51" s="863"/>
      <c r="C51" s="863"/>
      <c r="D51" s="863"/>
      <c r="E51" s="863"/>
      <c r="F51" s="863"/>
      <c r="G51" s="870"/>
      <c r="H51" s="870"/>
      <c r="I51" s="870"/>
      <c r="J51" s="870"/>
      <c r="K51" s="870"/>
      <c r="L51" s="870"/>
      <c r="M51" s="870"/>
      <c r="N51" s="870"/>
      <c r="O51" s="870"/>
      <c r="P51" s="863"/>
      <c r="Q51" s="863"/>
      <c r="R51" s="863"/>
      <c r="S51" s="863"/>
      <c r="T51" s="863"/>
      <c r="U51" s="863"/>
      <c r="V51" s="863"/>
      <c r="W51" s="863"/>
    </row>
    <row r="52" spans="1:28">
      <c r="A52" s="863"/>
      <c r="B52" s="863"/>
      <c r="C52" s="863"/>
      <c r="D52" s="863"/>
      <c r="E52" s="863"/>
      <c r="F52" s="863"/>
      <c r="G52" s="863"/>
      <c r="H52" s="863"/>
      <c r="I52" s="863"/>
      <c r="J52" s="863"/>
      <c r="K52" s="863"/>
      <c r="L52" s="863"/>
      <c r="M52" s="863"/>
      <c r="N52" s="863"/>
      <c r="O52" s="863"/>
      <c r="P52" s="863"/>
      <c r="Q52" s="863"/>
      <c r="R52" s="863"/>
      <c r="S52" s="863"/>
      <c r="T52" s="863"/>
      <c r="U52" s="863"/>
      <c r="V52" s="863"/>
      <c r="W52" s="863"/>
    </row>
    <row r="53" spans="1:28">
      <c r="A53" s="863"/>
      <c r="B53" s="863"/>
      <c r="C53" s="863"/>
      <c r="D53" s="863"/>
      <c r="E53" s="863"/>
      <c r="F53" s="863"/>
      <c r="G53" s="863"/>
      <c r="H53" s="863"/>
      <c r="I53" s="863"/>
      <c r="J53" s="863"/>
      <c r="K53" s="863"/>
      <c r="L53" s="863"/>
      <c r="M53" s="863"/>
      <c r="N53" s="863"/>
      <c r="O53" s="863"/>
      <c r="P53" s="863"/>
      <c r="Q53" s="863"/>
      <c r="R53" s="863"/>
      <c r="S53" s="863"/>
      <c r="T53" s="863"/>
      <c r="U53" s="863"/>
      <c r="V53" s="863"/>
      <c r="W53" s="863"/>
    </row>
    <row r="54" spans="1:28" hidden="1">
      <c r="A54" s="863"/>
      <c r="B54" s="863"/>
      <c r="C54" s="863"/>
      <c r="D54" s="863"/>
      <c r="E54" s="863"/>
      <c r="F54" s="863"/>
      <c r="G54" s="863"/>
      <c r="H54" s="863"/>
      <c r="I54" s="863"/>
      <c r="J54" s="863"/>
      <c r="K54" s="863"/>
      <c r="L54" s="863"/>
      <c r="M54" s="863"/>
      <c r="N54" s="863"/>
      <c r="O54" s="863"/>
      <c r="P54" s="863"/>
      <c r="Q54" s="863"/>
      <c r="R54" s="863"/>
      <c r="S54" s="863"/>
      <c r="T54" s="863"/>
      <c r="U54" s="863"/>
      <c r="V54" s="863"/>
      <c r="W54" s="863"/>
    </row>
    <row r="55" spans="1:28" hidden="1">
      <c r="B55" s="845"/>
      <c r="J55" s="846"/>
      <c r="R55" s="846"/>
    </row>
    <row r="56" spans="1:28" hidden="1">
      <c r="E56" s="847"/>
      <c r="R56" s="846"/>
      <c r="AB56" s="848"/>
    </row>
    <row r="57" spans="1:28" hidden="1">
      <c r="C57" s="848"/>
      <c r="O57" s="848"/>
      <c r="AB57" s="848"/>
    </row>
    <row r="58" spans="1:28" hidden="1">
      <c r="AB58" s="848"/>
    </row>
    <row r="59" spans="1:28" hidden="1"/>
    <row r="60" spans="1:28" hidden="1">
      <c r="AB60" s="844"/>
    </row>
    <row r="61" spans="1:28" hidden="1">
      <c r="AB61" s="844"/>
    </row>
    <row r="62" spans="1:28" hidden="1"/>
    <row r="63" spans="1:28" hidden="1"/>
    <row r="64" spans="1:28"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 hidden="1"/>
    <row r="82" spans="2:2" hidden="1"/>
    <row r="83" spans="2:2" hidden="1"/>
    <row r="84" spans="2:2" hidden="1"/>
    <row r="85" spans="2:2" hidden="1"/>
    <row r="86" spans="2:2" hidden="1"/>
    <row r="87" spans="2:2" hidden="1"/>
    <row r="88" spans="2:2" hidden="1"/>
    <row r="89" spans="2:2" hidden="1"/>
    <row r="90" spans="2:2" hidden="1"/>
    <row r="91" spans="2:2" hidden="1"/>
    <row r="92" spans="2:2" hidden="1">
      <c r="B92" s="844"/>
    </row>
    <row r="93" spans="2:2" hidden="1">
      <c r="B93" s="844"/>
    </row>
    <row r="94" spans="2:2" hidden="1">
      <c r="B94" s="844"/>
    </row>
    <row r="95" spans="2:2" hidden="1">
      <c r="B95" s="844"/>
    </row>
    <row r="96" spans="2:2" hidden="1">
      <c r="B96" s="844"/>
    </row>
  </sheetData>
  <sheetProtection algorithmName="SHA-512" hashValue="KKKnEc259tVNqWaDADhMmArKauD83Q2BAu4Pfnrm6XkgE2dUSD9SqDgsoifvb4hJcZRUNOWtBtlrVOM4VC9wvQ==" saltValue="5QlYO5VbvS3+uOh7s/jCJg==" spinCount="100000" sheet="1" objects="1" scenarios="1" selectLockedCells="1" selectUnlockedCells="1"/>
  <mergeCells count="2">
    <mergeCell ref="L6:Q6"/>
    <mergeCell ref="A7:F7"/>
  </mergeCells>
  <printOptions horizontalCentered="1" verticalCentered="1"/>
  <pageMargins left="0.19685039370078741" right="0.19685039370078741" top="0.19685039370078741" bottom="0.19685039370078741" header="0.19685039370078741" footer="0.19685039370078741"/>
  <pageSetup paperSize="9" scale="73" fitToWidth="2"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5C1DC-CA5A-4E67-9A3E-EF121A10E45D}">
  <sheetPr codeName="Folha7">
    <tabColor indexed="24"/>
  </sheetPr>
  <dimension ref="A1:BH117"/>
  <sheetViews>
    <sheetView topLeftCell="H49" zoomScale="120" zoomScaleNormal="120" workbookViewId="0">
      <selection activeCell="R62" sqref="R62"/>
    </sheetView>
  </sheetViews>
  <sheetFormatPr defaultRowHeight="12.75"/>
  <cols>
    <col min="1" max="1" width="16" bestFit="1" customWidth="1"/>
    <col min="2" max="2" width="25" bestFit="1" customWidth="1"/>
    <col min="17" max="17" width="11.85546875" customWidth="1"/>
    <col min="18" max="18" width="27.140625" customWidth="1"/>
    <col min="20" max="20" width="11.5703125" customWidth="1"/>
    <col min="53" max="53" width="7" bestFit="1" customWidth="1"/>
    <col min="54" max="54" width="16" bestFit="1" customWidth="1"/>
    <col min="59" max="60" width="18.28515625" bestFit="1" customWidth="1"/>
  </cols>
  <sheetData>
    <row r="1" spans="1:60">
      <c r="A1" s="456"/>
    </row>
    <row r="2" spans="1:60">
      <c r="A2" s="500" t="s">
        <v>226</v>
      </c>
      <c r="B2">
        <v>1</v>
      </c>
      <c r="AF2" s="603" t="s">
        <v>492</v>
      </c>
    </row>
    <row r="3" spans="1:60" ht="13.5" thickBot="1">
      <c r="A3" s="500" t="s">
        <v>211</v>
      </c>
      <c r="B3">
        <v>2</v>
      </c>
      <c r="Q3">
        <v>2</v>
      </c>
      <c r="AS3" s="118"/>
      <c r="AT3" s="6">
        <f>+'q1'!$C$4</f>
        <v>2013</v>
      </c>
      <c r="AU3" s="6">
        <f>+'q1'!$D$4</f>
        <v>2014</v>
      </c>
      <c r="AV3" s="6">
        <f>+'q1'!$E$4</f>
        <v>2015</v>
      </c>
      <c r="AW3" s="6">
        <f>+'q1'!$F$4</f>
        <v>2016</v>
      </c>
      <c r="AX3" s="6">
        <f>+'q1'!$G$4</f>
        <v>2017</v>
      </c>
      <c r="AY3" s="6">
        <f>+'q1'!$H$4</f>
        <v>2018</v>
      </c>
      <c r="AZ3" s="587">
        <f>+'q1'!$I$4</f>
        <v>2019</v>
      </c>
      <c r="BA3" s="6">
        <f>+'q1'!$J$4</f>
        <v>2020</v>
      </c>
      <c r="BB3" s="6">
        <f>+'q1'!$K$4</f>
        <v>2021</v>
      </c>
      <c r="BC3" s="6">
        <f>+'q1'!$L$4</f>
        <v>2022</v>
      </c>
      <c r="BD3" s="6">
        <f>+'q1'!$M$4</f>
        <v>2023</v>
      </c>
      <c r="BE3" s="479"/>
      <c r="BG3" t="str">
        <f>+"variação "&amp;$BD$3&amp;"/"&amp;$BC$3</f>
        <v>variação 2023/2022</v>
      </c>
      <c r="BH3" t="str">
        <f>+"variação "&amp;$BD$3&amp;"/"&amp;$AT$3</f>
        <v>variação 2023/2013</v>
      </c>
    </row>
    <row r="4" spans="1:60" ht="13.5" thickTop="1">
      <c r="R4" s="456"/>
      <c r="AS4" s="468" t="s">
        <v>226</v>
      </c>
      <c r="AT4" s="469">
        <f>+'q1'!$C$5</f>
        <v>265860</v>
      </c>
      <c r="AU4" s="469">
        <f>+'q1'!$D$5</f>
        <v>270181</v>
      </c>
      <c r="AV4" s="469">
        <f>+'q1'!$E$5</f>
        <v>273060</v>
      </c>
      <c r="AW4" s="469">
        <f>+'q1'!$F$5</f>
        <v>276332</v>
      </c>
      <c r="AX4" s="469">
        <f>+'q1'!$G$5</f>
        <v>279191</v>
      </c>
      <c r="AY4" s="469">
        <f>+'q1'!$H$5</f>
        <v>282236</v>
      </c>
      <c r="AZ4" s="469">
        <f>+'q1'!$I$5</f>
        <v>275751</v>
      </c>
      <c r="BA4" s="469">
        <f>+'q1'!$J$5</f>
        <v>277641</v>
      </c>
      <c r="BB4" s="469">
        <f>+'q1'!$K$5</f>
        <v>271806</v>
      </c>
      <c r="BC4" s="469">
        <f>+'q1'!$L$5</f>
        <v>284860</v>
      </c>
      <c r="BD4" s="606">
        <f>+'q1'!$M$5</f>
        <v>291252</v>
      </c>
      <c r="BE4" s="342"/>
      <c r="BF4" s="608">
        <f>+BD4-BC4</f>
        <v>6392</v>
      </c>
      <c r="BG4" s="586">
        <f>+(BD4/BC4-1)</f>
        <v>2.2439092887734269E-2</v>
      </c>
      <c r="BH4" s="586">
        <f>+(BD4/AT4-1)</f>
        <v>9.5508914466260419E-2</v>
      </c>
    </row>
    <row r="5" spans="1:60">
      <c r="AS5" s="468" t="s">
        <v>211</v>
      </c>
      <c r="AT5" s="467">
        <f>+'q5'!$C$5</f>
        <v>315112</v>
      </c>
      <c r="AU5" s="467">
        <f>+'q5'!$D$5</f>
        <v>318886</v>
      </c>
      <c r="AV5" s="467">
        <f>+'q5'!$E$5</f>
        <v>321500</v>
      </c>
      <c r="AW5" s="467">
        <f>+'q5'!$F$5</f>
        <v>324933</v>
      </c>
      <c r="AX5" s="467">
        <f>+'q5'!$G$5</f>
        <v>327295</v>
      </c>
      <c r="AY5" s="467">
        <f>+'q5'!$H$5</f>
        <v>330668</v>
      </c>
      <c r="AZ5" s="467">
        <f>+'q5'!$I$5</f>
        <v>322978</v>
      </c>
      <c r="BA5" s="467">
        <f>+'q5'!$J$5</f>
        <v>324959</v>
      </c>
      <c r="BB5" s="467">
        <f>+'q5'!$K$5</f>
        <v>318254</v>
      </c>
      <c r="BC5" s="467">
        <f>+'q5'!$L$5</f>
        <v>332683</v>
      </c>
      <c r="BD5" s="607">
        <f>+'q5'!$M$5</f>
        <v>340364</v>
      </c>
      <c r="BE5" s="467"/>
      <c r="BF5" s="608">
        <f>+BD5-BC5</f>
        <v>7681</v>
      </c>
      <c r="BG5" s="586">
        <f>+(BD5/BC5-1)</f>
        <v>2.3088044775356753E-2</v>
      </c>
      <c r="BH5" s="586">
        <f>+(BD5/AT5-1)</f>
        <v>8.0136586356597039E-2</v>
      </c>
    </row>
    <row r="6" spans="1:60">
      <c r="B6" s="456"/>
      <c r="D6">
        <f>+'q1'!$C$4</f>
        <v>2013</v>
      </c>
      <c r="E6">
        <f>+'q1'!$D$4</f>
        <v>2014</v>
      </c>
      <c r="F6">
        <f>+'q1'!$E$4</f>
        <v>2015</v>
      </c>
      <c r="G6">
        <f>+'q1'!$F$4</f>
        <v>2016</v>
      </c>
      <c r="H6">
        <f>+'q1'!$G$4</f>
        <v>2017</v>
      </c>
      <c r="I6">
        <f>+'q1'!$H$4</f>
        <v>2018</v>
      </c>
      <c r="J6">
        <f>+'q1'!$I$4</f>
        <v>2019</v>
      </c>
      <c r="K6">
        <f>+'q1'!$J$4</f>
        <v>2020</v>
      </c>
      <c r="L6">
        <f>+'q1'!$K$4</f>
        <v>2021</v>
      </c>
      <c r="M6">
        <f>+'q1'!$L$4</f>
        <v>2022</v>
      </c>
      <c r="N6">
        <f>+'q1'!$M$4</f>
        <v>2023</v>
      </c>
      <c r="S6">
        <f>+D6</f>
        <v>2013</v>
      </c>
      <c r="T6">
        <f t="shared" ref="T6" si="0">+E6</f>
        <v>2014</v>
      </c>
      <c r="U6">
        <f t="shared" ref="U6:AC6" si="1">+F6</f>
        <v>2015</v>
      </c>
      <c r="V6">
        <f t="shared" si="1"/>
        <v>2016</v>
      </c>
      <c r="W6">
        <f t="shared" si="1"/>
        <v>2017</v>
      </c>
      <c r="X6">
        <f t="shared" si="1"/>
        <v>2018</v>
      </c>
      <c r="Y6">
        <f t="shared" si="1"/>
        <v>2019</v>
      </c>
      <c r="Z6">
        <f t="shared" si="1"/>
        <v>2020</v>
      </c>
      <c r="AA6">
        <f t="shared" si="1"/>
        <v>2021</v>
      </c>
      <c r="AB6">
        <f t="shared" si="1"/>
        <v>2022</v>
      </c>
      <c r="AC6">
        <f t="shared" si="1"/>
        <v>2023</v>
      </c>
    </row>
    <row r="7" spans="1:60">
      <c r="A7" s="456" t="s">
        <v>226</v>
      </c>
      <c r="B7" t="str">
        <f>+'q1'!$A$6</f>
        <v>A</v>
      </c>
      <c r="C7" t="str">
        <f>+'q1'!$B$6</f>
        <v>Agr., pr. animal, caça, flor. pesca</v>
      </c>
      <c r="D7">
        <f>+'q1'!$C$6</f>
        <v>12395</v>
      </c>
      <c r="E7">
        <f>+'q1'!$D$6</f>
        <v>13063</v>
      </c>
      <c r="F7">
        <f>+'q1'!$E$6</f>
        <v>13445</v>
      </c>
      <c r="G7">
        <f>+'q1'!$F$6</f>
        <v>13755</v>
      </c>
      <c r="H7">
        <f>+'q1'!$G$6</f>
        <v>13847</v>
      </c>
      <c r="I7">
        <f>+'q1'!$H$6</f>
        <v>13971</v>
      </c>
      <c r="J7">
        <f>+'q1'!$I$6</f>
        <v>13547</v>
      </c>
      <c r="K7">
        <f>+'q1'!$J$6</f>
        <v>13691</v>
      </c>
      <c r="L7">
        <f>+'q1'!$K$6</f>
        <v>13199</v>
      </c>
      <c r="M7">
        <f>+'q1'!$L$6</f>
        <v>13618</v>
      </c>
      <c r="N7">
        <f>+'q1'!$M$6</f>
        <v>13805</v>
      </c>
      <c r="Q7" t="str">
        <f>INDEX($A$2:$A$3,$Q$3)</f>
        <v>Estabelecimentos</v>
      </c>
      <c r="R7" t="str">
        <f>+B7</f>
        <v>A</v>
      </c>
      <c r="S7">
        <f>IF($Q$3=1, VLOOKUP($R$7:$R$26,$B$6:$N$26,COLUMN(D7)-1,0),VLOOKUP($R$7:$R$26,$B$31:$N$50,COLUMN(D7)-1,0))</f>
        <v>13206</v>
      </c>
      <c r="T7">
        <f t="shared" ref="T7:T22" si="2">IF($Q$3=1, VLOOKUP($R$7:$R$26,$B$6:$N$26,COLUMN(E7)-1,0),VLOOKUP($R$7:$R$26,$B$31:$N$50,COLUMN(E7)-1,0))</f>
        <v>13885</v>
      </c>
      <c r="U7">
        <f t="shared" ref="U7:U26" si="3">IF($Q$3=1, VLOOKUP($R$7:$R$26,$B$6:$N$26,COLUMN(F7)-1,0),VLOOKUP($R$7:$R$26,$B$31:$N$50,COLUMN(F7)-1,0))</f>
        <v>14286</v>
      </c>
      <c r="V7">
        <f t="shared" ref="V7:V26" si="4">IF($Q$3=1, VLOOKUP($R$7:$R$26,$B$6:$N$26,COLUMN(G7)-1,0),VLOOKUP($R$7:$R$26,$B$31:$N$50,COLUMN(G7)-1,0))</f>
        <v>14632</v>
      </c>
      <c r="W7">
        <f t="shared" ref="W7:W26" si="5">IF($Q$3=1, VLOOKUP($R$7:$R$26,$B$6:$N$26,COLUMN(H7)-1,0),VLOOKUP($R$7:$R$26,$B$31:$N$50,COLUMN(H7)-1,0))</f>
        <v>14726</v>
      </c>
      <c r="X7">
        <f t="shared" ref="X7:X26" si="6">IF($Q$3=1, VLOOKUP($R$7:$R$26,$B$6:$N$26,COLUMN(I7)-1,0),VLOOKUP($R$7:$R$26,$B$31:$N$50,COLUMN(I7)-1,0))</f>
        <v>14824</v>
      </c>
      <c r="Y7">
        <f t="shared" ref="Y7:Y26" si="7">IF($Q$3=1, VLOOKUP($R$7:$R$26,$B$6:$N$26,COLUMN(J7)-1,0),VLOOKUP($R$7:$R$26,$B$31:$N$50,COLUMN(J7)-1,0))</f>
        <v>14355</v>
      </c>
      <c r="Z7">
        <f t="shared" ref="Z7:Z26" si="8">IF($Q$3=1, VLOOKUP($R$7:$R$26,$B$6:$N$26,COLUMN(K7)-1,0),VLOOKUP($R$7:$R$26,$B$31:$N$50,COLUMN(K7)-1,0))</f>
        <v>14520</v>
      </c>
      <c r="AA7">
        <f t="shared" ref="AA7:AA26" si="9">IF($Q$3=1, VLOOKUP($R$7:$R$26,$B$6:$N$26,COLUMN(L7)-1,0),VLOOKUP($R$7:$R$26,$B$31:$N$50,COLUMN(L7)-1,0))</f>
        <v>14031</v>
      </c>
      <c r="AB7">
        <f t="shared" ref="AB7:AB26" si="10">IF($Q$3=1, VLOOKUP($R$7:$R$26,$B$6:$N$26,COLUMN(M7)-1,0),VLOOKUP($R$7:$R$26,$B$31:$N$50,COLUMN(M7)-1,0))</f>
        <v>14449</v>
      </c>
      <c r="AC7">
        <f t="shared" ref="AC7:AC26" si="11">IF($Q$3=1, VLOOKUP($R$7:$R$26,$B$6:$N$26,COLUMN(N7)-1,0),VLOOKUP($R$7:$R$26,$B$31:$N$50,COLUMN(N7)-1,0))</f>
        <v>14667</v>
      </c>
    </row>
    <row r="8" spans="1:60">
      <c r="A8" s="456"/>
      <c r="B8" t="str">
        <f>+'q1'!$A$7</f>
        <v>B</v>
      </c>
      <c r="C8" t="str">
        <f>+'q1'!$B$7</f>
        <v>Indústrias extrativas</v>
      </c>
      <c r="D8">
        <f>+'q1'!$C$7</f>
        <v>589</v>
      </c>
      <c r="E8">
        <f>+'q1'!$D$7</f>
        <v>564</v>
      </c>
      <c r="F8">
        <f>+'q1'!$E$7</f>
        <v>558</v>
      </c>
      <c r="G8">
        <f>+'q1'!$F$7</f>
        <v>536</v>
      </c>
      <c r="H8">
        <f>+'q1'!$G$7</f>
        <v>542</v>
      </c>
      <c r="I8">
        <f>+'q1'!$H$7</f>
        <v>526</v>
      </c>
      <c r="J8">
        <f>+'q1'!$I$7</f>
        <v>510</v>
      </c>
      <c r="K8">
        <f>+'q1'!$J$7</f>
        <v>504</v>
      </c>
      <c r="L8">
        <f>+'q1'!$K$7</f>
        <v>486</v>
      </c>
      <c r="M8">
        <f>+'q1'!$L$7</f>
        <v>494</v>
      </c>
      <c r="N8">
        <f>+'q1'!$M$7</f>
        <v>499</v>
      </c>
      <c r="R8" t="str">
        <f t="shared" ref="R8:R26" si="12">+B8</f>
        <v>B</v>
      </c>
      <c r="S8">
        <f>IF($Q$3=1, VLOOKUP($R$7:$R$26,$B$6:$N$26,COLUMN(D8)-1,0),VLOOKUP($R$7:$R$26,$B$31:$N$50,COLUMN(D8)-1,0))</f>
        <v>795</v>
      </c>
      <c r="T8">
        <f t="shared" si="2"/>
        <v>765</v>
      </c>
      <c r="U8">
        <f t="shared" si="3"/>
        <v>762</v>
      </c>
      <c r="V8">
        <f t="shared" si="4"/>
        <v>737</v>
      </c>
      <c r="W8">
        <f t="shared" si="5"/>
        <v>744</v>
      </c>
      <c r="X8">
        <f t="shared" si="6"/>
        <v>728</v>
      </c>
      <c r="Y8">
        <f t="shared" si="7"/>
        <v>697</v>
      </c>
      <c r="Z8">
        <f t="shared" si="8"/>
        <v>684</v>
      </c>
      <c r="AA8">
        <f t="shared" si="9"/>
        <v>657</v>
      </c>
      <c r="AB8">
        <f t="shared" si="10"/>
        <v>665</v>
      </c>
      <c r="AC8">
        <f t="shared" si="11"/>
        <v>680</v>
      </c>
    </row>
    <row r="9" spans="1:60">
      <c r="A9" s="456"/>
      <c r="B9" t="str">
        <f>+'q1'!$A$8</f>
        <v>C</v>
      </c>
      <c r="C9" t="str">
        <f>+'q1'!$B$8</f>
        <v>Indústrias transformadoras</v>
      </c>
      <c r="D9">
        <f>+'q1'!$C$8</f>
        <v>32643</v>
      </c>
      <c r="E9">
        <f>+'q1'!$D$8</f>
        <v>32895</v>
      </c>
      <c r="F9">
        <f>+'q1'!$E$8</f>
        <v>32998</v>
      </c>
      <c r="G9">
        <f>+'q1'!$F$8</f>
        <v>33278</v>
      </c>
      <c r="H9">
        <f>+'q1'!$G$8</f>
        <v>33315</v>
      </c>
      <c r="I9">
        <f>+'q1'!$H$8</f>
        <v>33177</v>
      </c>
      <c r="J9">
        <f>+'q1'!$I$8</f>
        <v>31905</v>
      </c>
      <c r="K9">
        <f>+'q1'!$J$8</f>
        <v>31715</v>
      </c>
      <c r="L9">
        <f>+'q1'!$K$8</f>
        <v>30818</v>
      </c>
      <c r="M9">
        <f>+'q1'!$L$8</f>
        <v>31733</v>
      </c>
      <c r="N9">
        <f>+'q1'!$M$8</f>
        <v>31551</v>
      </c>
      <c r="R9" t="str">
        <f t="shared" si="12"/>
        <v>C</v>
      </c>
      <c r="S9">
        <f t="shared" ref="S9:S26" si="13">IF($Q$3=1, VLOOKUP($R$7:$R$26,$B$6:$N$26,COLUMN(D9)-1,0),VLOOKUP($R$7:$R$26,$B$31:$N$50,COLUMN(D9)-1,0))</f>
        <v>36152</v>
      </c>
      <c r="T9">
        <f t="shared" si="2"/>
        <v>36167</v>
      </c>
      <c r="U9">
        <f t="shared" si="3"/>
        <v>36172</v>
      </c>
      <c r="V9">
        <f t="shared" si="4"/>
        <v>36485</v>
      </c>
      <c r="W9">
        <f t="shared" si="5"/>
        <v>36402</v>
      </c>
      <c r="X9">
        <f t="shared" si="6"/>
        <v>36243</v>
      </c>
      <c r="Y9">
        <f t="shared" si="7"/>
        <v>34835</v>
      </c>
      <c r="Z9">
        <f t="shared" si="8"/>
        <v>34676</v>
      </c>
      <c r="AA9">
        <f t="shared" si="9"/>
        <v>33711</v>
      </c>
      <c r="AB9">
        <f t="shared" si="10"/>
        <v>34690</v>
      </c>
      <c r="AC9">
        <f t="shared" si="11"/>
        <v>34549</v>
      </c>
      <c r="BF9" s="489"/>
    </row>
    <row r="10" spans="1:60">
      <c r="A10" s="456"/>
      <c r="B10" t="str">
        <f>+'q1'!$A$33</f>
        <v>D</v>
      </c>
      <c r="C10" t="str">
        <f>+'q1'!$B$33</f>
        <v>Eletr., gás, ág. quente/fria e ar frio</v>
      </c>
      <c r="D10">
        <f>+'q1'!$C$33</f>
        <v>189</v>
      </c>
      <c r="E10">
        <f>+'q1'!$D$33</f>
        <v>193</v>
      </c>
      <c r="F10">
        <f>+'q1'!$E$33</f>
        <v>211</v>
      </c>
      <c r="G10">
        <f>+'q1'!$F$33</f>
        <v>204</v>
      </c>
      <c r="H10">
        <f>+'q1'!$G$33</f>
        <v>194</v>
      </c>
      <c r="I10">
        <f>+'q1'!$H$33</f>
        <v>183</v>
      </c>
      <c r="J10">
        <f>+'q1'!$I$33</f>
        <v>185</v>
      </c>
      <c r="K10">
        <f>+'q1'!$J$33</f>
        <v>198</v>
      </c>
      <c r="L10">
        <f>+'q1'!$K$33</f>
        <v>192</v>
      </c>
      <c r="M10">
        <f>+'q1'!$L$33</f>
        <v>209</v>
      </c>
      <c r="N10">
        <f>+'q1'!$M$33</f>
        <v>236</v>
      </c>
      <c r="R10" t="str">
        <f t="shared" si="12"/>
        <v>D</v>
      </c>
      <c r="S10">
        <f t="shared" si="13"/>
        <v>394</v>
      </c>
      <c r="T10">
        <f t="shared" si="2"/>
        <v>409</v>
      </c>
      <c r="U10">
        <f t="shared" si="3"/>
        <v>429</v>
      </c>
      <c r="V10">
        <f t="shared" si="4"/>
        <v>412</v>
      </c>
      <c r="W10">
        <f t="shared" si="5"/>
        <v>403</v>
      </c>
      <c r="X10">
        <f t="shared" si="6"/>
        <v>388</v>
      </c>
      <c r="Y10">
        <f t="shared" si="7"/>
        <v>385</v>
      </c>
      <c r="Z10">
        <f t="shared" si="8"/>
        <v>391</v>
      </c>
      <c r="AA10">
        <f t="shared" si="9"/>
        <v>387</v>
      </c>
      <c r="AB10">
        <f t="shared" si="10"/>
        <v>394</v>
      </c>
      <c r="AC10">
        <f t="shared" si="11"/>
        <v>418</v>
      </c>
    </row>
    <row r="11" spans="1:60">
      <c r="A11" s="456"/>
      <c r="B11" t="str">
        <f>+'q1'!$A$34</f>
        <v>E</v>
      </c>
      <c r="C11" t="str">
        <f>+'q1'!$B$34</f>
        <v>Capt., trat. e d. água; san., resíd.</v>
      </c>
      <c r="D11">
        <f>+'q1'!$C$34</f>
        <v>640</v>
      </c>
      <c r="E11">
        <f>+'q1'!$D$34</f>
        <v>637</v>
      </c>
      <c r="F11">
        <f>+'q1'!$E$34</f>
        <v>623</v>
      </c>
      <c r="G11">
        <f>+'q1'!$F$34</f>
        <v>605</v>
      </c>
      <c r="H11">
        <f>+'q1'!$G$34</f>
        <v>607</v>
      </c>
      <c r="I11">
        <f>+'q1'!$H$34</f>
        <v>602</v>
      </c>
      <c r="J11">
        <f>+'q1'!$I$34</f>
        <v>617</v>
      </c>
      <c r="K11">
        <f>+'q1'!$J$34</f>
        <v>625</v>
      </c>
      <c r="L11">
        <f>+'q1'!$K$34</f>
        <v>620</v>
      </c>
      <c r="M11">
        <f>+'q1'!$L$34</f>
        <v>636</v>
      </c>
      <c r="N11">
        <f>+'q1'!$M$34</f>
        <v>648</v>
      </c>
      <c r="R11" t="str">
        <f t="shared" si="12"/>
        <v>E</v>
      </c>
      <c r="S11">
        <f t="shared" si="13"/>
        <v>1177</v>
      </c>
      <c r="T11">
        <f t="shared" si="2"/>
        <v>1146</v>
      </c>
      <c r="U11">
        <f t="shared" si="3"/>
        <v>1088</v>
      </c>
      <c r="V11">
        <f t="shared" si="4"/>
        <v>1094</v>
      </c>
      <c r="W11">
        <f t="shared" si="5"/>
        <v>1101</v>
      </c>
      <c r="X11">
        <f t="shared" si="6"/>
        <v>1095</v>
      </c>
      <c r="Y11">
        <f t="shared" si="7"/>
        <v>1141</v>
      </c>
      <c r="Z11">
        <f t="shared" si="8"/>
        <v>1231</v>
      </c>
      <c r="AA11">
        <f t="shared" si="9"/>
        <v>1253</v>
      </c>
      <c r="AB11">
        <f t="shared" si="10"/>
        <v>1259</v>
      </c>
      <c r="AC11">
        <f t="shared" si="11"/>
        <v>1262</v>
      </c>
    </row>
    <row r="12" spans="1:60">
      <c r="A12" s="456"/>
      <c r="B12" t="str">
        <f>+'q1'!$A$35</f>
        <v>F</v>
      </c>
      <c r="C12" t="str">
        <f>+'q1'!$B$35</f>
        <v>Construção</v>
      </c>
      <c r="D12">
        <f>+'q1'!$C$35</f>
        <v>27952</v>
      </c>
      <c r="E12">
        <f>+'q1'!$D$35</f>
        <v>27621</v>
      </c>
      <c r="F12">
        <f>+'q1'!$E$35</f>
        <v>27400</v>
      </c>
      <c r="G12">
        <f>+'q1'!$F$35</f>
        <v>27945</v>
      </c>
      <c r="H12">
        <f>+'q1'!$G$35</f>
        <v>28669</v>
      </c>
      <c r="I12">
        <f>+'q1'!$H$35</f>
        <v>29662</v>
      </c>
      <c r="J12">
        <f>+'q1'!$I$35</f>
        <v>30134</v>
      </c>
      <c r="K12">
        <f>+'q1'!$J$35</f>
        <v>31394</v>
      </c>
      <c r="L12">
        <f>+'q1'!$K$35</f>
        <v>31375</v>
      </c>
      <c r="M12">
        <f>+'q1'!$L$35</f>
        <v>33643</v>
      </c>
      <c r="N12">
        <f>+'q1'!$M$35</f>
        <v>35137</v>
      </c>
      <c r="R12" t="str">
        <f t="shared" si="12"/>
        <v>F</v>
      </c>
      <c r="S12">
        <f t="shared" si="13"/>
        <v>28828</v>
      </c>
      <c r="T12">
        <f t="shared" si="2"/>
        <v>28421</v>
      </c>
      <c r="U12">
        <f t="shared" si="3"/>
        <v>28140</v>
      </c>
      <c r="V12">
        <f t="shared" si="4"/>
        <v>28678</v>
      </c>
      <c r="W12">
        <f t="shared" si="5"/>
        <v>29363</v>
      </c>
      <c r="X12">
        <f t="shared" si="6"/>
        <v>30329</v>
      </c>
      <c r="Y12">
        <f t="shared" si="7"/>
        <v>30816</v>
      </c>
      <c r="Z12">
        <f t="shared" si="8"/>
        <v>32069</v>
      </c>
      <c r="AA12">
        <f t="shared" si="9"/>
        <v>32036</v>
      </c>
      <c r="AB12">
        <f t="shared" si="10"/>
        <v>34322</v>
      </c>
      <c r="AC12">
        <f t="shared" si="11"/>
        <v>35793</v>
      </c>
      <c r="BC12" s="472"/>
      <c r="BD12" s="473"/>
      <c r="BE12" s="473"/>
    </row>
    <row r="13" spans="1:60">
      <c r="A13" s="456"/>
      <c r="B13" t="str">
        <f>+'q1'!$A$36</f>
        <v>G</v>
      </c>
      <c r="C13" t="str">
        <f>+'q1'!$B$36</f>
        <v>Com. grosso e ret.; r.v.aut./moto.</v>
      </c>
      <c r="D13">
        <f>+'q1'!$C$36</f>
        <v>73629</v>
      </c>
      <c r="E13">
        <f>+'q1'!$D$36</f>
        <v>74208</v>
      </c>
      <c r="F13">
        <f>+'q1'!$E$36</f>
        <v>74441</v>
      </c>
      <c r="G13">
        <f>+'q1'!$F$36</f>
        <v>74332</v>
      </c>
      <c r="H13">
        <f>+'q1'!$G$36</f>
        <v>73637</v>
      </c>
      <c r="I13">
        <f>+'q1'!$H$36</f>
        <v>73191</v>
      </c>
      <c r="J13">
        <f>+'q1'!$I$36</f>
        <v>69985</v>
      </c>
      <c r="K13">
        <f>+'q1'!$J$36</f>
        <v>69568</v>
      </c>
      <c r="L13">
        <f>+'q1'!$K$36</f>
        <v>67802</v>
      </c>
      <c r="M13">
        <f>+'q1'!$L$36</f>
        <v>69554</v>
      </c>
      <c r="N13">
        <f>+'q1'!$M$36</f>
        <v>69619</v>
      </c>
      <c r="R13" t="str">
        <f t="shared" si="12"/>
        <v>G</v>
      </c>
      <c r="S13">
        <f t="shared" si="13"/>
        <v>94026</v>
      </c>
      <c r="T13">
        <f t="shared" si="2"/>
        <v>94440</v>
      </c>
      <c r="U13">
        <f t="shared" si="3"/>
        <v>94937</v>
      </c>
      <c r="V13">
        <f t="shared" si="4"/>
        <v>94933</v>
      </c>
      <c r="W13">
        <f t="shared" si="5"/>
        <v>94292</v>
      </c>
      <c r="X13">
        <f t="shared" si="6"/>
        <v>93805</v>
      </c>
      <c r="Y13">
        <f t="shared" si="7"/>
        <v>90517</v>
      </c>
      <c r="Z13">
        <f t="shared" si="8"/>
        <v>89750</v>
      </c>
      <c r="AA13">
        <f t="shared" si="9"/>
        <v>87838</v>
      </c>
      <c r="AB13">
        <f t="shared" si="10"/>
        <v>90136</v>
      </c>
      <c r="AC13">
        <f t="shared" si="11"/>
        <v>90639</v>
      </c>
    </row>
    <row r="14" spans="1:60">
      <c r="A14" s="456"/>
      <c r="B14" t="str">
        <f>+'q1'!$A$37</f>
        <v>H</v>
      </c>
      <c r="C14" t="str">
        <f>+'q1'!$B$37</f>
        <v>Transportes e armazenagem</v>
      </c>
      <c r="D14">
        <f>+'q1'!$C$37</f>
        <v>10641</v>
      </c>
      <c r="E14">
        <f>+'q1'!$D$37</f>
        <v>10632</v>
      </c>
      <c r="F14">
        <f>+'q1'!$E$37</f>
        <v>10537</v>
      </c>
      <c r="G14">
        <f>+'q1'!$F$37</f>
        <v>10462</v>
      </c>
      <c r="H14">
        <f>+'q1'!$G$37</f>
        <v>10490</v>
      </c>
      <c r="I14">
        <f>+'q1'!$H$37</f>
        <v>10497</v>
      </c>
      <c r="J14">
        <f>+'q1'!$I$37</f>
        <v>10339</v>
      </c>
      <c r="K14">
        <f>+'q1'!$J$37</f>
        <v>10288</v>
      </c>
      <c r="L14">
        <f>+'q1'!$K$37</f>
        <v>9821</v>
      </c>
      <c r="M14">
        <f>+'q1'!$L$37</f>
        <v>10445</v>
      </c>
      <c r="N14">
        <f>+'q1'!$M$37</f>
        <v>11013</v>
      </c>
      <c r="R14" t="str">
        <f t="shared" si="12"/>
        <v>H</v>
      </c>
      <c r="S14">
        <f t="shared" si="13"/>
        <v>12579</v>
      </c>
      <c r="T14">
        <f t="shared" si="2"/>
        <v>12572</v>
      </c>
      <c r="U14">
        <f t="shared" si="3"/>
        <v>12496</v>
      </c>
      <c r="V14">
        <f t="shared" si="4"/>
        <v>12468</v>
      </c>
      <c r="W14">
        <f t="shared" si="5"/>
        <v>12539</v>
      </c>
      <c r="X14">
        <f t="shared" si="6"/>
        <v>12486</v>
      </c>
      <c r="Y14">
        <f t="shared" si="7"/>
        <v>12253</v>
      </c>
      <c r="Z14">
        <f t="shared" si="8"/>
        <v>12258</v>
      </c>
      <c r="AA14">
        <f t="shared" si="9"/>
        <v>11760</v>
      </c>
      <c r="AB14">
        <f t="shared" si="10"/>
        <v>12360</v>
      </c>
      <c r="AC14">
        <f t="shared" si="11"/>
        <v>13020</v>
      </c>
      <c r="AR14" s="507"/>
      <c r="BB14" s="471"/>
    </row>
    <row r="15" spans="1:60">
      <c r="A15" s="456"/>
      <c r="B15" t="str">
        <f>+'q1'!$A$38</f>
        <v>I</v>
      </c>
      <c r="C15" t="str">
        <f>+'q1'!$B$38</f>
        <v>Alojamento, restauração e sim.</v>
      </c>
      <c r="D15">
        <f>+'q1'!$C$38</f>
        <v>30313</v>
      </c>
      <c r="E15">
        <f>+'q1'!$D$38</f>
        <v>31162</v>
      </c>
      <c r="F15">
        <f>+'q1'!$E$38</f>
        <v>32218</v>
      </c>
      <c r="G15">
        <f>+'q1'!$F$38</f>
        <v>33270</v>
      </c>
      <c r="H15">
        <f>+'q1'!$G$38</f>
        <v>34159</v>
      </c>
      <c r="I15">
        <f>+'q1'!$H$38</f>
        <v>34949</v>
      </c>
      <c r="J15">
        <f>+'q1'!$I$38</f>
        <v>33798</v>
      </c>
      <c r="K15">
        <f>+'q1'!$J$38</f>
        <v>33300</v>
      </c>
      <c r="L15">
        <f>+'q1'!$K$38</f>
        <v>32645</v>
      </c>
      <c r="M15">
        <f>+'q1'!$L$38</f>
        <v>34416</v>
      </c>
      <c r="N15">
        <f>+'q1'!$M$38</f>
        <v>35628</v>
      </c>
      <c r="R15" t="str">
        <f t="shared" si="12"/>
        <v>I</v>
      </c>
      <c r="S15">
        <f t="shared" si="13"/>
        <v>33970</v>
      </c>
      <c r="T15">
        <f t="shared" si="2"/>
        <v>34983</v>
      </c>
      <c r="U15">
        <f t="shared" si="3"/>
        <v>36106</v>
      </c>
      <c r="V15">
        <f t="shared" si="4"/>
        <v>37220</v>
      </c>
      <c r="W15">
        <f t="shared" si="5"/>
        <v>38276</v>
      </c>
      <c r="X15">
        <f t="shared" si="6"/>
        <v>39308</v>
      </c>
      <c r="Y15">
        <f t="shared" si="7"/>
        <v>38184</v>
      </c>
      <c r="Z15">
        <f t="shared" si="8"/>
        <v>37633</v>
      </c>
      <c r="AA15">
        <f t="shared" si="9"/>
        <v>36899</v>
      </c>
      <c r="AB15">
        <f t="shared" si="10"/>
        <v>39006</v>
      </c>
      <c r="AC15">
        <f t="shared" si="11"/>
        <v>40412</v>
      </c>
      <c r="BB15" s="471"/>
    </row>
    <row r="16" spans="1:60">
      <c r="A16" s="456"/>
      <c r="B16" t="str">
        <f>+'q1'!$A$39</f>
        <v>J</v>
      </c>
      <c r="C16" t="str">
        <f>+'q1'!$B$39</f>
        <v xml:space="preserve">Ativ. Inform. e de comunicação </v>
      </c>
      <c r="D16">
        <f>+'q1'!$C$39</f>
        <v>4362</v>
      </c>
      <c r="E16">
        <f>+'q1'!$D$39</f>
        <v>4637</v>
      </c>
      <c r="F16">
        <f>+'q1'!$E$39</f>
        <v>4749</v>
      </c>
      <c r="G16">
        <f>+'q1'!$F$39</f>
        <v>4883</v>
      </c>
      <c r="H16">
        <f>+'q1'!$G$39</f>
        <v>5130</v>
      </c>
      <c r="I16">
        <f>+'q1'!$H$39</f>
        <v>5304</v>
      </c>
      <c r="J16">
        <f>+'q1'!$I$39</f>
        <v>5356</v>
      </c>
      <c r="K16">
        <f>+'q1'!$J$39</f>
        <v>5633</v>
      </c>
      <c r="L16">
        <f>+'q1'!$K$39</f>
        <v>5723</v>
      </c>
      <c r="M16">
        <f>+'q1'!$L$39</f>
        <v>6314</v>
      </c>
      <c r="N16">
        <f>+'q1'!$M$39</f>
        <v>6698</v>
      </c>
      <c r="R16" t="str">
        <f t="shared" si="12"/>
        <v>J</v>
      </c>
      <c r="S16">
        <f t="shared" si="13"/>
        <v>5148</v>
      </c>
      <c r="T16">
        <f t="shared" si="2"/>
        <v>5434</v>
      </c>
      <c r="U16">
        <f t="shared" si="3"/>
        <v>5478</v>
      </c>
      <c r="V16">
        <f t="shared" si="4"/>
        <v>5601</v>
      </c>
      <c r="W16">
        <f t="shared" si="5"/>
        <v>5842</v>
      </c>
      <c r="X16">
        <f t="shared" si="6"/>
        <v>6025</v>
      </c>
      <c r="Y16">
        <f t="shared" si="7"/>
        <v>6100</v>
      </c>
      <c r="Z16">
        <f t="shared" si="8"/>
        <v>6379</v>
      </c>
      <c r="AA16">
        <f t="shared" si="9"/>
        <v>6485</v>
      </c>
      <c r="AB16">
        <f t="shared" si="10"/>
        <v>7163</v>
      </c>
      <c r="AC16">
        <f t="shared" si="11"/>
        <v>7620</v>
      </c>
    </row>
    <row r="17" spans="1:54">
      <c r="A17" s="456"/>
      <c r="B17" t="str">
        <f>+'q1'!$A$40</f>
        <v>K</v>
      </c>
      <c r="C17" t="str">
        <f>+'q1'!$B$40</f>
        <v>Ativ. financeiras e de seguros</v>
      </c>
      <c r="D17">
        <f>+'q1'!$C$40</f>
        <v>3582</v>
      </c>
      <c r="E17">
        <f>+'q1'!$D$40</f>
        <v>3675</v>
      </c>
      <c r="F17">
        <f>+'q1'!$E$40</f>
        <v>3674</v>
      </c>
      <c r="G17">
        <f>+'q1'!$F$40</f>
        <v>3659</v>
      </c>
      <c r="H17">
        <f>+'q1'!$G$40</f>
        <v>3692</v>
      </c>
      <c r="I17">
        <f>+'q1'!$H$40</f>
        <v>3685</v>
      </c>
      <c r="J17">
        <f>+'q1'!$I$40</f>
        <v>3647</v>
      </c>
      <c r="K17">
        <f>+'q1'!$J$40</f>
        <v>3710</v>
      </c>
      <c r="L17">
        <f>+'q1'!$K$40</f>
        <v>3599</v>
      </c>
      <c r="M17">
        <f>+'q1'!$L$40</f>
        <v>3755</v>
      </c>
      <c r="N17">
        <f>+'q1'!$M$40</f>
        <v>3781</v>
      </c>
      <c r="R17" t="str">
        <f t="shared" si="12"/>
        <v>K</v>
      </c>
      <c r="S17">
        <f t="shared" si="13"/>
        <v>10077</v>
      </c>
      <c r="T17">
        <f t="shared" si="2"/>
        <v>9931</v>
      </c>
      <c r="U17">
        <f t="shared" si="3"/>
        <v>9555</v>
      </c>
      <c r="V17">
        <f t="shared" si="4"/>
        <v>9207</v>
      </c>
      <c r="W17">
        <f t="shared" si="5"/>
        <v>8732</v>
      </c>
      <c r="X17">
        <f t="shared" si="6"/>
        <v>8475</v>
      </c>
      <c r="Y17">
        <f t="shared" si="7"/>
        <v>7752</v>
      </c>
      <c r="Z17">
        <f t="shared" si="8"/>
        <v>8108</v>
      </c>
      <c r="AA17">
        <f t="shared" si="9"/>
        <v>7672</v>
      </c>
      <c r="AB17">
        <f t="shared" si="10"/>
        <v>7674</v>
      </c>
      <c r="AC17">
        <f t="shared" si="11"/>
        <v>7715</v>
      </c>
      <c r="BB17" s="471"/>
    </row>
    <row r="18" spans="1:54">
      <c r="A18" s="456"/>
      <c r="B18" t="str">
        <f>+'q1'!$A$41</f>
        <v>L</v>
      </c>
      <c r="C18" t="str">
        <f>+'q1'!$B$41</f>
        <v>Atividades imobiliárias</v>
      </c>
      <c r="D18">
        <f>+'q1'!$C$41</f>
        <v>6033</v>
      </c>
      <c r="E18">
        <f>+'q1'!$D$41</f>
        <v>6325</v>
      </c>
      <c r="F18">
        <f>+'q1'!$E$41</f>
        <v>6641</v>
      </c>
      <c r="G18">
        <f>+'q1'!$F$41</f>
        <v>7069</v>
      </c>
      <c r="H18">
        <f>+'q1'!$G$41</f>
        <v>7649</v>
      </c>
      <c r="I18">
        <f>+'q1'!$H$41</f>
        <v>8416</v>
      </c>
      <c r="J18">
        <f>+'q1'!$I$41</f>
        <v>8804</v>
      </c>
      <c r="K18">
        <f>+'q1'!$J$41</f>
        <v>9411</v>
      </c>
      <c r="L18">
        <f>+'q1'!$K$41</f>
        <v>9635</v>
      </c>
      <c r="M18">
        <f>+'q1'!$L$41</f>
        <v>10313</v>
      </c>
      <c r="N18">
        <f>+'q1'!$M$41</f>
        <v>11022</v>
      </c>
      <c r="R18" t="str">
        <f t="shared" si="12"/>
        <v>L</v>
      </c>
      <c r="S18">
        <f t="shared" si="13"/>
        <v>6341</v>
      </c>
      <c r="T18">
        <f t="shared" si="2"/>
        <v>6647</v>
      </c>
      <c r="U18">
        <f t="shared" si="3"/>
        <v>6971</v>
      </c>
      <c r="V18">
        <f t="shared" si="4"/>
        <v>7401</v>
      </c>
      <c r="W18">
        <f t="shared" si="5"/>
        <v>8035</v>
      </c>
      <c r="X18">
        <f t="shared" si="6"/>
        <v>8846</v>
      </c>
      <c r="Y18">
        <f t="shared" si="7"/>
        <v>9215</v>
      </c>
      <c r="Z18">
        <f t="shared" si="8"/>
        <v>9861</v>
      </c>
      <c r="AA18">
        <f t="shared" si="9"/>
        <v>10096</v>
      </c>
      <c r="AB18">
        <f t="shared" si="10"/>
        <v>10812</v>
      </c>
      <c r="AC18">
        <f t="shared" si="11"/>
        <v>11567</v>
      </c>
    </row>
    <row r="19" spans="1:54">
      <c r="A19" s="456"/>
      <c r="B19" t="str">
        <f>+'q1'!$A$42</f>
        <v>M</v>
      </c>
      <c r="C19" t="str">
        <f>+'q1'!$B$42</f>
        <v>Ativ. consultoria, cient.,téc. e sim.</v>
      </c>
      <c r="D19">
        <f>+'q1'!$C$42</f>
        <v>20799</v>
      </c>
      <c r="E19">
        <f>+'q1'!$D$42</f>
        <v>21426</v>
      </c>
      <c r="F19">
        <f>+'q1'!$E$42</f>
        <v>21717</v>
      </c>
      <c r="G19">
        <f>+'q1'!$F$42</f>
        <v>22039</v>
      </c>
      <c r="H19">
        <f>+'q1'!$G$42</f>
        <v>22524</v>
      </c>
      <c r="I19">
        <f>+'q1'!$H$42</f>
        <v>23187</v>
      </c>
      <c r="J19">
        <f>+'q1'!$I$42</f>
        <v>22977</v>
      </c>
      <c r="K19">
        <f>+'q1'!$J$42</f>
        <v>23504</v>
      </c>
      <c r="L19">
        <f>+'q1'!$K$42</f>
        <v>23335</v>
      </c>
      <c r="M19">
        <f>+'q1'!$L$42</f>
        <v>24442</v>
      </c>
      <c r="N19">
        <f>+'q1'!$M$42</f>
        <v>25202</v>
      </c>
      <c r="R19" t="str">
        <f t="shared" si="12"/>
        <v>M</v>
      </c>
      <c r="S19">
        <f t="shared" si="13"/>
        <v>21901</v>
      </c>
      <c r="T19">
        <f t="shared" si="2"/>
        <v>22569</v>
      </c>
      <c r="U19">
        <f t="shared" si="3"/>
        <v>22865</v>
      </c>
      <c r="V19">
        <f t="shared" si="4"/>
        <v>23189</v>
      </c>
      <c r="W19">
        <f t="shared" si="5"/>
        <v>23749</v>
      </c>
      <c r="X19">
        <f t="shared" si="6"/>
        <v>24467</v>
      </c>
      <c r="Y19">
        <f t="shared" si="7"/>
        <v>24250</v>
      </c>
      <c r="Z19">
        <f t="shared" si="8"/>
        <v>24826</v>
      </c>
      <c r="AA19">
        <f t="shared" si="9"/>
        <v>24675</v>
      </c>
      <c r="AB19">
        <f t="shared" si="10"/>
        <v>25874</v>
      </c>
      <c r="AC19">
        <f t="shared" si="11"/>
        <v>26684</v>
      </c>
    </row>
    <row r="20" spans="1:54">
      <c r="A20" s="456"/>
      <c r="B20" t="str">
        <f>+'q1'!$A$43</f>
        <v>N</v>
      </c>
      <c r="C20" t="str">
        <f>+'q1'!$B$43</f>
        <v>Ativ. Adm. e serviços de apoio</v>
      </c>
      <c r="D20">
        <f>+'q1'!$C$43</f>
        <v>7258</v>
      </c>
      <c r="E20">
        <f>+'q1'!$D$43</f>
        <v>7438</v>
      </c>
      <c r="F20">
        <f>+'q1'!$E$43</f>
        <v>7568</v>
      </c>
      <c r="G20">
        <f>+'q1'!$F$43</f>
        <v>7855</v>
      </c>
      <c r="H20">
        <f>+'q1'!$G$43</f>
        <v>7959</v>
      </c>
      <c r="I20">
        <f>+'q1'!$H$43</f>
        <v>7811</v>
      </c>
      <c r="J20">
        <f>+'q1'!$I$43</f>
        <v>7970</v>
      </c>
      <c r="K20">
        <f>+'q1'!$J$43</f>
        <v>8005</v>
      </c>
      <c r="L20">
        <f>+'q1'!$K$43</f>
        <v>7640</v>
      </c>
      <c r="M20">
        <f>+'q1'!$L$43</f>
        <v>8560</v>
      </c>
      <c r="N20">
        <f>+'q1'!$M$43</f>
        <v>8903</v>
      </c>
      <c r="R20" t="str">
        <f t="shared" si="12"/>
        <v>N</v>
      </c>
      <c r="S20">
        <f t="shared" si="13"/>
        <v>8739</v>
      </c>
      <c r="T20">
        <f t="shared" si="2"/>
        <v>8861</v>
      </c>
      <c r="U20">
        <f t="shared" si="3"/>
        <v>8995</v>
      </c>
      <c r="V20">
        <f t="shared" si="4"/>
        <v>9301</v>
      </c>
      <c r="W20">
        <f t="shared" si="5"/>
        <v>9347</v>
      </c>
      <c r="X20">
        <f t="shared" si="6"/>
        <v>9298</v>
      </c>
      <c r="Y20">
        <f t="shared" si="7"/>
        <v>9391</v>
      </c>
      <c r="Z20">
        <f t="shared" si="8"/>
        <v>9385</v>
      </c>
      <c r="AA20">
        <f t="shared" si="9"/>
        <v>8843</v>
      </c>
      <c r="AB20">
        <f t="shared" si="10"/>
        <v>9894</v>
      </c>
      <c r="AC20">
        <f t="shared" si="11"/>
        <v>10333</v>
      </c>
    </row>
    <row r="21" spans="1:54">
      <c r="A21" s="456"/>
      <c r="B21" t="str">
        <f>+'q1'!$A$44</f>
        <v>O</v>
      </c>
      <c r="C21" t="str">
        <f>+'q1'!$B$44</f>
        <v xml:space="preserve">Adm. Púb. e defesa; seg. social </v>
      </c>
      <c r="D21">
        <f>+'q1'!$C$44</f>
        <v>586</v>
      </c>
      <c r="E21">
        <f>+'q1'!$D$44</f>
        <v>599</v>
      </c>
      <c r="F21">
        <f>+'q1'!$E$44</f>
        <v>596</v>
      </c>
      <c r="G21">
        <f>+'q1'!$F$44</f>
        <v>560</v>
      </c>
      <c r="H21">
        <f>+'q1'!$G$44</f>
        <v>559</v>
      </c>
      <c r="I21">
        <f>+'q1'!$H$44</f>
        <v>564</v>
      </c>
      <c r="J21">
        <f>+'q1'!$I$44</f>
        <v>546</v>
      </c>
      <c r="K21">
        <f>+'q1'!$J$44</f>
        <v>558</v>
      </c>
      <c r="L21">
        <f>+'q1'!$K$44</f>
        <v>517</v>
      </c>
      <c r="M21">
        <f>+'q1'!$L$44</f>
        <v>520</v>
      </c>
      <c r="N21">
        <f>+'q1'!$M$44</f>
        <v>534</v>
      </c>
      <c r="R21" t="str">
        <f t="shared" si="12"/>
        <v>O</v>
      </c>
      <c r="S21">
        <f t="shared" si="13"/>
        <v>683</v>
      </c>
      <c r="T21">
        <f t="shared" si="2"/>
        <v>686</v>
      </c>
      <c r="U21">
        <f t="shared" si="3"/>
        <v>660</v>
      </c>
      <c r="V21">
        <f t="shared" si="4"/>
        <v>627</v>
      </c>
      <c r="W21">
        <f t="shared" si="5"/>
        <v>630</v>
      </c>
      <c r="X21">
        <f t="shared" si="6"/>
        <v>601</v>
      </c>
      <c r="Y21">
        <f t="shared" si="7"/>
        <v>613</v>
      </c>
      <c r="Z21">
        <f t="shared" si="8"/>
        <v>624</v>
      </c>
      <c r="AA21">
        <f t="shared" si="9"/>
        <v>590</v>
      </c>
      <c r="AB21">
        <f t="shared" si="10"/>
        <v>574</v>
      </c>
      <c r="AC21">
        <f t="shared" si="11"/>
        <v>592</v>
      </c>
    </row>
    <row r="22" spans="1:54">
      <c r="A22" s="456"/>
      <c r="B22" t="str">
        <f>+'q1'!$A$45</f>
        <v>P</v>
      </c>
      <c r="C22" t="str">
        <f>+'q1'!$B$45</f>
        <v>Educação</v>
      </c>
      <c r="D22">
        <f>+'q1'!$C$45</f>
        <v>3602</v>
      </c>
      <c r="E22">
        <f>+'q1'!$D$45</f>
        <v>3802</v>
      </c>
      <c r="F22">
        <f>+'q1'!$E$45</f>
        <v>3857</v>
      </c>
      <c r="G22">
        <f>+'q1'!$F$45</f>
        <v>3829</v>
      </c>
      <c r="H22">
        <f>+'q1'!$G$45</f>
        <v>3817</v>
      </c>
      <c r="I22">
        <f>+'q1'!$H$45</f>
        <v>3764</v>
      </c>
      <c r="J22">
        <f>+'q1'!$I$45</f>
        <v>3671</v>
      </c>
      <c r="K22">
        <f>+'q1'!$J$45</f>
        <v>3680</v>
      </c>
      <c r="L22">
        <f>+'q1'!$K$45</f>
        <v>3577</v>
      </c>
      <c r="M22">
        <f>+'q1'!$L$45</f>
        <v>3747</v>
      </c>
      <c r="N22">
        <f>+'q1'!$M$45</f>
        <v>3850</v>
      </c>
      <c r="R22" t="str">
        <f t="shared" si="12"/>
        <v>P</v>
      </c>
      <c r="S22">
        <f t="shared" si="13"/>
        <v>4337</v>
      </c>
      <c r="T22">
        <f t="shared" si="2"/>
        <v>4573</v>
      </c>
      <c r="U22">
        <f t="shared" si="3"/>
        <v>4701</v>
      </c>
      <c r="V22">
        <f t="shared" si="4"/>
        <v>4675</v>
      </c>
      <c r="W22">
        <f t="shared" si="5"/>
        <v>4647</v>
      </c>
      <c r="X22">
        <f t="shared" si="6"/>
        <v>4681</v>
      </c>
      <c r="Y22">
        <f t="shared" si="7"/>
        <v>4531</v>
      </c>
      <c r="Z22">
        <f t="shared" si="8"/>
        <v>4576</v>
      </c>
      <c r="AA22">
        <f t="shared" si="9"/>
        <v>4414</v>
      </c>
      <c r="AB22">
        <f t="shared" si="10"/>
        <v>4635</v>
      </c>
      <c r="AC22">
        <f t="shared" si="11"/>
        <v>4808</v>
      </c>
    </row>
    <row r="23" spans="1:54">
      <c r="A23" s="456"/>
      <c r="B23" t="str">
        <f>+'q1'!$A$46</f>
        <v>Q</v>
      </c>
      <c r="C23" t="str">
        <f>+'q1'!$B$46</f>
        <v>Ativ. saúde humana e apoio social</v>
      </c>
      <c r="D23">
        <f>+'q1'!$C$46</f>
        <v>14586</v>
      </c>
      <c r="E23">
        <f>+'q1'!$D$46</f>
        <v>14787</v>
      </c>
      <c r="F23">
        <f>+'q1'!$E$46</f>
        <v>15110</v>
      </c>
      <c r="G23">
        <f>+'q1'!$F$46</f>
        <v>15253</v>
      </c>
      <c r="H23">
        <f>+'q1'!$G$46</f>
        <v>15453</v>
      </c>
      <c r="I23">
        <f>+'q1'!$H$46</f>
        <v>15499</v>
      </c>
      <c r="J23">
        <f>+'q1'!$I$46</f>
        <v>15300</v>
      </c>
      <c r="K23">
        <f>+'q1'!$J$46</f>
        <v>15658</v>
      </c>
      <c r="L23">
        <f>+'q1'!$K$46</f>
        <v>15268</v>
      </c>
      <c r="M23">
        <f>+'q1'!$L$46</f>
        <v>16093</v>
      </c>
      <c r="N23">
        <f>+'q1'!$M$46</f>
        <v>16702</v>
      </c>
      <c r="R23" t="str">
        <f t="shared" si="12"/>
        <v>Q</v>
      </c>
      <c r="S23">
        <f t="shared" si="13"/>
        <v>18120</v>
      </c>
      <c r="T23">
        <f t="shared" ref="T23:T26" si="14">IF($Q$3=1, VLOOKUP($R$7:$R$26,$B$6:$N$26,COLUMN(E23)-1,0),VLOOKUP($R$7:$R$26,$B$31:$N$50,COLUMN(E23)-1,0))</f>
        <v>18418</v>
      </c>
      <c r="U23">
        <f t="shared" si="3"/>
        <v>18727</v>
      </c>
      <c r="V23">
        <f t="shared" si="4"/>
        <v>19044</v>
      </c>
      <c r="W23">
        <f t="shared" si="5"/>
        <v>19162</v>
      </c>
      <c r="X23">
        <f t="shared" si="6"/>
        <v>19323</v>
      </c>
      <c r="Y23">
        <f t="shared" si="7"/>
        <v>19089</v>
      </c>
      <c r="Z23">
        <f t="shared" si="8"/>
        <v>19487</v>
      </c>
      <c r="AA23">
        <f t="shared" si="9"/>
        <v>19087</v>
      </c>
      <c r="AB23">
        <f t="shared" si="10"/>
        <v>20082</v>
      </c>
      <c r="AC23">
        <f t="shared" si="11"/>
        <v>20724</v>
      </c>
    </row>
    <row r="24" spans="1:54">
      <c r="A24" s="456"/>
      <c r="B24" t="str">
        <f>+'q1'!$A$47</f>
        <v>R</v>
      </c>
      <c r="C24" t="str">
        <f>+'q1'!$B$47</f>
        <v>Ativ. artíst., espet., desp. e recr.</v>
      </c>
      <c r="D24">
        <f>+'q1'!$C$47</f>
        <v>2849</v>
      </c>
      <c r="E24">
        <f>+'q1'!$D$47</f>
        <v>3087</v>
      </c>
      <c r="F24">
        <f>+'q1'!$E$47</f>
        <v>3213</v>
      </c>
      <c r="G24">
        <f>+'q1'!$F$47</f>
        <v>3351</v>
      </c>
      <c r="H24">
        <f>+'q1'!$G$47</f>
        <v>3605</v>
      </c>
      <c r="I24">
        <f>+'q1'!$H$47</f>
        <v>3886</v>
      </c>
      <c r="J24">
        <f>+'q1'!$I$47</f>
        <v>3917</v>
      </c>
      <c r="K24">
        <f>+'q1'!$J$47</f>
        <v>3922</v>
      </c>
      <c r="L24">
        <f>+'q1'!$K$47</f>
        <v>3932</v>
      </c>
      <c r="M24">
        <f>+'q1'!$L$47</f>
        <v>4293</v>
      </c>
      <c r="N24">
        <f>+'q1'!$M$47</f>
        <v>4544</v>
      </c>
      <c r="R24" t="str">
        <f t="shared" si="12"/>
        <v>R</v>
      </c>
      <c r="S24">
        <f t="shared" si="13"/>
        <v>3274</v>
      </c>
      <c r="T24">
        <f t="shared" si="14"/>
        <v>3448</v>
      </c>
      <c r="U24">
        <f t="shared" si="3"/>
        <v>3581</v>
      </c>
      <c r="V24">
        <f t="shared" si="4"/>
        <v>3745</v>
      </c>
      <c r="W24">
        <f t="shared" si="5"/>
        <v>3985</v>
      </c>
      <c r="X24">
        <f t="shared" si="6"/>
        <v>4371</v>
      </c>
      <c r="Y24">
        <f t="shared" si="7"/>
        <v>4404</v>
      </c>
      <c r="Z24">
        <f t="shared" si="8"/>
        <v>4397</v>
      </c>
      <c r="AA24">
        <f t="shared" si="9"/>
        <v>4424</v>
      </c>
      <c r="AB24">
        <f t="shared" si="10"/>
        <v>4761</v>
      </c>
      <c r="AC24">
        <f t="shared" si="11"/>
        <v>5060</v>
      </c>
    </row>
    <row r="25" spans="1:54">
      <c r="A25" s="456"/>
      <c r="B25" t="str">
        <f>+'q1'!$A$48</f>
        <v>S</v>
      </c>
      <c r="C25" t="str">
        <f>+'q1'!$B$48</f>
        <v>Outras atividades de serviços</v>
      </c>
      <c r="D25">
        <f>+'q1'!$C$48</f>
        <v>13201</v>
      </c>
      <c r="E25">
        <f>+'q1'!$D$48</f>
        <v>13415</v>
      </c>
      <c r="F25">
        <f>+'q1'!$E$48</f>
        <v>13491</v>
      </c>
      <c r="G25">
        <f>+'q1'!$F$48</f>
        <v>13431</v>
      </c>
      <c r="H25">
        <f>+'q1'!$G$48</f>
        <v>13330</v>
      </c>
      <c r="I25">
        <f>+'q1'!$H$48</f>
        <v>13348</v>
      </c>
      <c r="J25">
        <f>+'q1'!$I$48</f>
        <v>12528</v>
      </c>
      <c r="K25">
        <f>+'q1'!$J$48</f>
        <v>12260</v>
      </c>
      <c r="L25">
        <f>+'q1'!$K$48</f>
        <v>11606</v>
      </c>
      <c r="M25">
        <f>+'q1'!$L$48</f>
        <v>12060</v>
      </c>
      <c r="N25">
        <f>+'q1'!$M$48</f>
        <v>11864</v>
      </c>
      <c r="R25" t="str">
        <f t="shared" si="12"/>
        <v>S</v>
      </c>
      <c r="S25">
        <f t="shared" si="13"/>
        <v>15353</v>
      </c>
      <c r="T25">
        <f t="shared" si="14"/>
        <v>15515</v>
      </c>
      <c r="U25">
        <f t="shared" si="3"/>
        <v>15537</v>
      </c>
      <c r="V25">
        <f t="shared" si="4"/>
        <v>15467</v>
      </c>
      <c r="W25">
        <f t="shared" si="5"/>
        <v>15306</v>
      </c>
      <c r="X25">
        <f t="shared" si="6"/>
        <v>15360</v>
      </c>
      <c r="Y25">
        <f t="shared" si="7"/>
        <v>14434</v>
      </c>
      <c r="Z25">
        <f t="shared" si="8"/>
        <v>14086</v>
      </c>
      <c r="AA25">
        <f t="shared" si="9"/>
        <v>13379</v>
      </c>
      <c r="AB25">
        <f t="shared" si="10"/>
        <v>13917</v>
      </c>
      <c r="AC25">
        <f t="shared" si="11"/>
        <v>13804</v>
      </c>
    </row>
    <row r="26" spans="1:54">
      <c r="A26" s="456"/>
      <c r="B26" t="str">
        <f>+'q1'!$A$49</f>
        <v>U</v>
      </c>
      <c r="C26" t="str">
        <f>+'q1'!$B$49</f>
        <v>Ativ. org. int. e o. inst. extra-territ.</v>
      </c>
      <c r="D26">
        <f>+'q1'!$C$49</f>
        <v>11</v>
      </c>
      <c r="E26">
        <f>+'q1'!$D$49</f>
        <v>15</v>
      </c>
      <c r="F26">
        <f>+'q1'!$E$49</f>
        <v>13</v>
      </c>
      <c r="G26">
        <f>+'q1'!$F$49</f>
        <v>16</v>
      </c>
      <c r="H26">
        <f>+'q1'!$G$49</f>
        <v>13</v>
      </c>
      <c r="I26">
        <f>+'q1'!$H$49</f>
        <v>14</v>
      </c>
      <c r="J26">
        <f>+'q1'!$I$49</f>
        <v>15</v>
      </c>
      <c r="K26">
        <f>+'q1'!$J$49</f>
        <v>17</v>
      </c>
      <c r="L26">
        <f>+'q1'!$K$49</f>
        <v>16</v>
      </c>
      <c r="M26">
        <f>+'q1'!$L$49</f>
        <v>15</v>
      </c>
      <c r="N26">
        <f>+'q1'!$M$49</f>
        <v>16</v>
      </c>
      <c r="R26" t="str">
        <f t="shared" si="12"/>
        <v>U</v>
      </c>
      <c r="S26">
        <f t="shared" si="13"/>
        <v>12</v>
      </c>
      <c r="T26">
        <f t="shared" si="14"/>
        <v>16</v>
      </c>
      <c r="U26">
        <f t="shared" si="3"/>
        <v>14</v>
      </c>
      <c r="V26">
        <f t="shared" si="4"/>
        <v>17</v>
      </c>
      <c r="W26">
        <f t="shared" si="5"/>
        <v>14</v>
      </c>
      <c r="X26">
        <f t="shared" si="6"/>
        <v>15</v>
      </c>
      <c r="Y26">
        <f t="shared" si="7"/>
        <v>16</v>
      </c>
      <c r="Z26">
        <f t="shared" si="8"/>
        <v>18</v>
      </c>
      <c r="AA26">
        <f t="shared" si="9"/>
        <v>17</v>
      </c>
      <c r="AB26">
        <f t="shared" si="10"/>
        <v>16</v>
      </c>
      <c r="AC26">
        <f t="shared" si="11"/>
        <v>17</v>
      </c>
    </row>
    <row r="27" spans="1:54">
      <c r="A27" s="456"/>
      <c r="B27" s="456" t="s">
        <v>229</v>
      </c>
      <c r="C27" s="456"/>
      <c r="D27">
        <f>+'q2'!$B$6+'q2'!$B$7</f>
        <v>226260</v>
      </c>
      <c r="E27">
        <f>+'q2'!$C$6+'q2'!$C$7</f>
        <v>229443</v>
      </c>
      <c r="F27">
        <f>+'q2'!$D$6+'q2'!$D$7</f>
        <v>231010</v>
      </c>
      <c r="G27">
        <f>+'q2'!$E$6+'q2'!$E$7</f>
        <v>233017</v>
      </c>
      <c r="H27">
        <f>+'q2'!$F$6+'q2'!$F$7</f>
        <v>233890</v>
      </c>
      <c r="I27">
        <f>+'q2'!$G$6+'q2'!$G$7</f>
        <v>235060</v>
      </c>
      <c r="J27">
        <f>+'q2'!$H$6+'q2'!$H$7</f>
        <v>227923</v>
      </c>
      <c r="K27">
        <f>+'q2'!$I$6+'q2'!$I$7</f>
        <v>230042</v>
      </c>
      <c r="L27">
        <f>+'q2'!$J$6+'q2'!$J$7</f>
        <v>224301</v>
      </c>
      <c r="M27">
        <f>+'q2'!$K$6+'q2'!$K$7</f>
        <v>233783</v>
      </c>
      <c r="N27">
        <f>+'q2'!$L$6+'q2'!$L$7</f>
        <v>237756</v>
      </c>
    </row>
    <row r="28" spans="1:54">
      <c r="A28" s="456"/>
      <c r="B28" s="456" t="s">
        <v>232</v>
      </c>
      <c r="C28" s="456"/>
      <c r="D28">
        <f>+'q2'!$B$8+'q2'!$B$9</f>
        <v>31941</v>
      </c>
      <c r="E28">
        <f>+'q2'!$C$8+'q2'!$C$9</f>
        <v>32961</v>
      </c>
      <c r="F28">
        <f>+'q2'!$D$8+'q2'!$D$9</f>
        <v>34146</v>
      </c>
      <c r="G28">
        <f>+'q2'!$E$8+'q2'!$E$9</f>
        <v>35096</v>
      </c>
      <c r="H28">
        <f>+'q2'!$F$8+'q2'!$F$9</f>
        <v>36761</v>
      </c>
      <c r="I28">
        <f>+'q2'!$G$8+'q2'!$G$9</f>
        <v>38306</v>
      </c>
      <c r="J28">
        <f>+'q2'!$H$8+'q2'!$H$9</f>
        <v>38760</v>
      </c>
      <c r="K28">
        <f>+'q2'!$I$8+'q2'!$I$9</f>
        <v>38234</v>
      </c>
      <c r="L28">
        <f>+'q2'!$J$8+'q2'!$J$9</f>
        <v>38248</v>
      </c>
      <c r="M28">
        <f>+'q2'!$K$8+'q2'!$K$9</f>
        <v>41070</v>
      </c>
      <c r="N28">
        <f>+'q2'!$L$8+'q2'!$L$9</f>
        <v>43032</v>
      </c>
    </row>
    <row r="29" spans="1:54">
      <c r="A29" s="456"/>
      <c r="B29" s="456" t="s">
        <v>235</v>
      </c>
      <c r="C29" s="456"/>
      <c r="D29">
        <f>+'q2'!$B$10+'q2'!$B$11+'q2'!$B$12+'q2'!$B$13</f>
        <v>5440</v>
      </c>
      <c r="E29">
        <f>+'q2'!$C$10+'q2'!$C$11+'q2'!$C$12+'q2'!$C$13</f>
        <v>5596</v>
      </c>
      <c r="F29">
        <f>+'q2'!$D$10+'q2'!$D$11+'q2'!$D$12+'q2'!$D$13</f>
        <v>5749</v>
      </c>
      <c r="G29">
        <f>+'q2'!$E$10+'q2'!$E$11+'q2'!$E$12+'q2'!$E$13</f>
        <v>5981</v>
      </c>
      <c r="H29">
        <f>+'q2'!$F$10+'q2'!$F$11+'q2'!$F$12+'q2'!$F$13</f>
        <v>6271</v>
      </c>
      <c r="I29">
        <f>+'q2'!$G$10+'q2'!$G$11+'q2'!$G$12+'q2'!$G$13</f>
        <v>6560</v>
      </c>
      <c r="J29">
        <f>+'q2'!$H$10+'q2'!$H$11+'q2'!$H$12+'q2'!$H$13</f>
        <v>6679</v>
      </c>
      <c r="K29">
        <f>+'q2'!$I$10+'q2'!$I$11+'q2'!$I$12+'q2'!$I$13</f>
        <v>6566</v>
      </c>
      <c r="L29">
        <f>+'q2'!$J$10+'q2'!$J$11+'q2'!$J$12+'q2'!$J$13</f>
        <v>6728</v>
      </c>
      <c r="M29">
        <f>+'q2'!$K$10+'q2'!$K$11+'q2'!$K$12+'q2'!$K$13</f>
        <v>7348</v>
      </c>
      <c r="N29">
        <f>+'q2'!$L$10+'q2'!$L$11+'q2'!$L$12+'q2'!$L$13</f>
        <v>7716</v>
      </c>
    </row>
    <row r="30" spans="1:54">
      <c r="A30" s="456"/>
      <c r="B30" s="456" t="s">
        <v>238</v>
      </c>
      <c r="C30" s="456"/>
      <c r="D30">
        <f>+'q2'!$B$14+'q2'!$B$15+'q2'!$B$16</f>
        <v>798</v>
      </c>
      <c r="E30">
        <f>+'q2'!$C$14+'q2'!$C$15+'q2'!$C$16</f>
        <v>813</v>
      </c>
      <c r="F30">
        <f>+'q2'!$D$14+'q2'!$D$15+'q2'!$D$16</f>
        <v>847</v>
      </c>
      <c r="G30">
        <f>+'q2'!$E$14+'q2'!$E$15+'q2'!$E$16</f>
        <v>902</v>
      </c>
      <c r="H30">
        <f>+'q2'!$F$14+'q2'!$F$15+'q2'!$F$16</f>
        <v>958</v>
      </c>
      <c r="I30">
        <f>+'q2'!$G$14+'q2'!$G$15+'q2'!$G$16</f>
        <v>1011</v>
      </c>
      <c r="J30">
        <f>+'q2'!$H$14+'q2'!$H$15+'q2'!$H$16</f>
        <v>1055</v>
      </c>
      <c r="K30">
        <f>+'q2'!$I$14+'q2'!$I$15+'q2'!$I$16</f>
        <v>1019</v>
      </c>
      <c r="L30">
        <f>+'q2'!$J$14+'q2'!$J$15+'q2'!$J$16</f>
        <v>1033</v>
      </c>
      <c r="M30">
        <f>+'q2'!$K$14+'q2'!$K$15+'q2'!$K$16</f>
        <v>1136</v>
      </c>
      <c r="N30">
        <f>+'q2'!$L$14+'q2'!$L$15+'q2'!$L$16</f>
        <v>1230</v>
      </c>
      <c r="S30">
        <f>+S6</f>
        <v>2013</v>
      </c>
      <c r="T30">
        <f t="shared" ref="T30:AC30" si="15">+T6</f>
        <v>2014</v>
      </c>
      <c r="U30">
        <f t="shared" si="15"/>
        <v>2015</v>
      </c>
      <c r="V30">
        <f t="shared" si="15"/>
        <v>2016</v>
      </c>
      <c r="W30">
        <f t="shared" si="15"/>
        <v>2017</v>
      </c>
      <c r="X30">
        <f t="shared" si="15"/>
        <v>2018</v>
      </c>
      <c r="Y30">
        <f t="shared" si="15"/>
        <v>2019</v>
      </c>
      <c r="Z30">
        <f t="shared" si="15"/>
        <v>2020</v>
      </c>
      <c r="AA30">
        <f t="shared" si="15"/>
        <v>2021</v>
      </c>
      <c r="AB30">
        <f t="shared" si="15"/>
        <v>2022</v>
      </c>
      <c r="AC30">
        <f t="shared" si="15"/>
        <v>2023</v>
      </c>
    </row>
    <row r="31" spans="1:54">
      <c r="A31" s="456" t="s">
        <v>211</v>
      </c>
      <c r="B31" t="str">
        <f>+'q5'!$A$6</f>
        <v>A</v>
      </c>
      <c r="C31" t="str">
        <f>+'q5'!$B$6</f>
        <v>Agr., pr. animal, caça, flor. pesca</v>
      </c>
      <c r="D31">
        <f>+'q5'!$C$6</f>
        <v>13206</v>
      </c>
      <c r="E31">
        <f>+'q5'!$D$6</f>
        <v>13885</v>
      </c>
      <c r="F31">
        <f>+'q5'!$E$6</f>
        <v>14286</v>
      </c>
      <c r="G31">
        <f>+'q5'!$F$6</f>
        <v>14632</v>
      </c>
      <c r="H31">
        <f>+'q5'!$G$6</f>
        <v>14726</v>
      </c>
      <c r="I31">
        <f>+'q5'!$H$6</f>
        <v>14824</v>
      </c>
      <c r="J31">
        <f>+'q5'!$I$6</f>
        <v>14355</v>
      </c>
      <c r="K31">
        <f>+'q5'!$J$6</f>
        <v>14520</v>
      </c>
      <c r="L31">
        <f>+'q5'!$K$6</f>
        <v>14031</v>
      </c>
      <c r="M31">
        <f>+'q5'!$L$6</f>
        <v>14449</v>
      </c>
      <c r="N31">
        <f>+'q5'!$M$6</f>
        <v>14667</v>
      </c>
      <c r="Q31" t="str">
        <f>INDEX($A$2:$A$3,$Q$3)</f>
        <v>Estabelecimentos</v>
      </c>
      <c r="R31" s="456" t="str">
        <f>IF($Q$31="Empresas",$B27,$B51)</f>
        <v>Micro (1-9 pessoas)</v>
      </c>
      <c r="S31">
        <f>IF($Q$3=1,VLOOKUP($R$31:$R$34,$B$27:$N$30,COLUMN(D27)-1,0),VLOOKUP($R$31:$R$34,$B$51:$N$54,COLUMN(D27)-1,0))</f>
        <v>268798</v>
      </c>
      <c r="T31">
        <f t="shared" ref="T31:T34" si="16">IF($Q$3=1,VLOOKUP($R$31:$R$34,$B$27:$N$30,COLUMN(E27)-1,0),VLOOKUP($R$31:$R$34,$B$51:$N$54,COLUMN(E27)-1,0))</f>
        <v>271147</v>
      </c>
      <c r="U31">
        <f t="shared" ref="U31:AC34" si="17">IF($Q$3=1,VLOOKUP($R$31:$R$34,$B$27:$N$30,COLUMN(F27)-1,0),VLOOKUP($R$31:$R$34,$B$51:$N$54,COLUMN(F27)-1,0))</f>
        <v>272301</v>
      </c>
      <c r="V31">
        <f t="shared" si="17"/>
        <v>273993</v>
      </c>
      <c r="W31">
        <f t="shared" si="17"/>
        <v>274084</v>
      </c>
      <c r="X31">
        <f t="shared" si="17"/>
        <v>275129</v>
      </c>
      <c r="Y31">
        <f t="shared" si="17"/>
        <v>266320</v>
      </c>
      <c r="Z31">
        <f t="shared" si="17"/>
        <v>268913</v>
      </c>
      <c r="AA31">
        <f t="shared" si="17"/>
        <v>262011</v>
      </c>
      <c r="AB31">
        <f t="shared" si="17"/>
        <v>272062</v>
      </c>
      <c r="AC31">
        <f t="shared" si="17"/>
        <v>276817</v>
      </c>
    </row>
    <row r="32" spans="1:54">
      <c r="A32" s="456"/>
      <c r="B32" t="str">
        <f>+'q5'!$A$7</f>
        <v>B</v>
      </c>
      <c r="C32" t="str">
        <f>+'q5'!$B$7</f>
        <v>Indústrias extrativas</v>
      </c>
      <c r="D32">
        <f>+'q5'!$C$7</f>
        <v>795</v>
      </c>
      <c r="E32">
        <f>+'q5'!$D$7</f>
        <v>765</v>
      </c>
      <c r="F32">
        <f>+'q5'!$E$7</f>
        <v>762</v>
      </c>
      <c r="G32">
        <f>+'q5'!$F$7</f>
        <v>737</v>
      </c>
      <c r="H32">
        <f>+'q5'!$G$7</f>
        <v>744</v>
      </c>
      <c r="I32">
        <f>+'q5'!$H$7</f>
        <v>728</v>
      </c>
      <c r="J32">
        <f>+'q5'!$I$7</f>
        <v>697</v>
      </c>
      <c r="K32">
        <f>+'q5'!$J$7</f>
        <v>684</v>
      </c>
      <c r="L32">
        <f>+'q5'!$K$7</f>
        <v>657</v>
      </c>
      <c r="M32">
        <f>+'q5'!$L$7</f>
        <v>665</v>
      </c>
      <c r="N32">
        <f>+'q5'!$M$7</f>
        <v>680</v>
      </c>
      <c r="R32" s="456" t="str">
        <f t="shared" ref="R32:R34" si="18">IF($Q$31="Empresas",$B28,$B52)</f>
        <v>Pequenos (10 - 49 pessoas)</v>
      </c>
      <c r="S32">
        <f>IF($Q$3=1,VLOOKUP($R$31:$R$34,$B$27:$N$30,COLUMN(D28)-1,0),VLOOKUP($R$31:$R$34,$B$51:$N$54,COLUMN(D28)-1,0))</f>
        <v>38063</v>
      </c>
      <c r="T32">
        <f t="shared" si="16"/>
        <v>39365</v>
      </c>
      <c r="U32">
        <f t="shared" si="17"/>
        <v>40661</v>
      </c>
      <c r="V32">
        <f t="shared" si="17"/>
        <v>42031</v>
      </c>
      <c r="W32">
        <f t="shared" si="17"/>
        <v>43973</v>
      </c>
      <c r="X32">
        <f t="shared" si="17"/>
        <v>45897</v>
      </c>
      <c r="Y32">
        <f t="shared" si="17"/>
        <v>46757</v>
      </c>
      <c r="Z32">
        <f t="shared" si="17"/>
        <v>45757</v>
      </c>
      <c r="AA32">
        <f t="shared" si="17"/>
        <v>46152</v>
      </c>
      <c r="AB32">
        <f t="shared" si="17"/>
        <v>49721</v>
      </c>
      <c r="AC32">
        <f t="shared" si="17"/>
        <v>52145</v>
      </c>
    </row>
    <row r="33" spans="1:41">
      <c r="A33" s="456"/>
      <c r="B33" t="str">
        <f>+'q5'!$A$8</f>
        <v>C</v>
      </c>
      <c r="C33" t="str">
        <f>+'q5'!$B$8</f>
        <v>Indústrias transformadoras</v>
      </c>
      <c r="D33">
        <f>+'q5'!$C$8</f>
        <v>36152</v>
      </c>
      <c r="E33">
        <f>+'q5'!$D$8</f>
        <v>36167</v>
      </c>
      <c r="F33">
        <f>+'q5'!$E$8</f>
        <v>36172</v>
      </c>
      <c r="G33">
        <f>+'q5'!$F$8</f>
        <v>36485</v>
      </c>
      <c r="H33">
        <f>+'q5'!$G$8</f>
        <v>36402</v>
      </c>
      <c r="I33">
        <f>+'q5'!$H$8</f>
        <v>36243</v>
      </c>
      <c r="J33">
        <f>+'q5'!$I$8</f>
        <v>34835</v>
      </c>
      <c r="K33">
        <f>+'q5'!$J$8</f>
        <v>34676</v>
      </c>
      <c r="L33">
        <f>+'q5'!$K$8</f>
        <v>33711</v>
      </c>
      <c r="M33">
        <f>+'q5'!$L$8</f>
        <v>34690</v>
      </c>
      <c r="N33">
        <f>+'q5'!$M$8</f>
        <v>34549</v>
      </c>
      <c r="R33" s="456" t="str">
        <f t="shared" si="18"/>
        <v>Médios (50 - 249 pessoas)</v>
      </c>
      <c r="S33">
        <f>IF($Q$3=1,VLOOKUP($R$31:$R$34,$B$27:$N$30,COLUMN(D29)-1,0),VLOOKUP($R$31:$R$34,$B$51:$N$54,COLUMN(D29)-1,0))</f>
        <v>5864</v>
      </c>
      <c r="T33">
        <f t="shared" si="16"/>
        <v>6032</v>
      </c>
      <c r="U33">
        <f t="shared" si="17"/>
        <v>6244</v>
      </c>
      <c r="V33">
        <f t="shared" si="17"/>
        <v>6541</v>
      </c>
      <c r="W33">
        <f t="shared" si="17"/>
        <v>6822</v>
      </c>
      <c r="X33">
        <f t="shared" si="17"/>
        <v>7206</v>
      </c>
      <c r="Y33">
        <f t="shared" si="17"/>
        <v>7384</v>
      </c>
      <c r="Z33">
        <f t="shared" si="17"/>
        <v>7265</v>
      </c>
      <c r="AA33">
        <f t="shared" si="17"/>
        <v>7437</v>
      </c>
      <c r="AB33">
        <f t="shared" si="17"/>
        <v>8143</v>
      </c>
      <c r="AC33">
        <f t="shared" si="17"/>
        <v>8569</v>
      </c>
    </row>
    <row r="34" spans="1:41">
      <c r="A34" s="456"/>
      <c r="B34" t="str">
        <f>+'q5'!$A$33</f>
        <v>D</v>
      </c>
      <c r="C34" t="str">
        <f>+'q5'!$B$33</f>
        <v>Eletr., gás, ág. quente/fria e ar frio</v>
      </c>
      <c r="D34">
        <f>+'q5'!$C$33</f>
        <v>394</v>
      </c>
      <c r="E34">
        <f>+'q5'!$D$33</f>
        <v>409</v>
      </c>
      <c r="F34">
        <f>+'q5'!$E$33</f>
        <v>429</v>
      </c>
      <c r="G34">
        <f>+'q5'!$F$33</f>
        <v>412</v>
      </c>
      <c r="H34">
        <f>+'q5'!$G$33</f>
        <v>403</v>
      </c>
      <c r="I34">
        <f>+'q5'!$H$33</f>
        <v>388</v>
      </c>
      <c r="J34">
        <f>+'q5'!$I$33</f>
        <v>385</v>
      </c>
      <c r="K34">
        <f>+'q5'!$J$33</f>
        <v>391</v>
      </c>
      <c r="L34">
        <f>+'q5'!$K$33</f>
        <v>387</v>
      </c>
      <c r="M34">
        <f>+'q5'!$L$33</f>
        <v>394</v>
      </c>
      <c r="N34">
        <f>+'q5'!$M$33</f>
        <v>418</v>
      </c>
      <c r="R34" s="456" t="str">
        <f t="shared" si="18"/>
        <v>Grandes (250 ou + pessoas)</v>
      </c>
      <c r="S34">
        <f>IF($Q$3=1,VLOOKUP($R$31:$R$34,$B$27:$N$30,COLUMN(D30)-1,0),VLOOKUP($R$31:$R$34,$B$51:$N$54,COLUMN(D30)-1,0))</f>
        <v>714</v>
      </c>
      <c r="T34">
        <f t="shared" si="16"/>
        <v>722</v>
      </c>
      <c r="U34">
        <f t="shared" si="17"/>
        <v>759</v>
      </c>
      <c r="V34">
        <f t="shared" si="17"/>
        <v>804</v>
      </c>
      <c r="W34">
        <f t="shared" si="17"/>
        <v>855</v>
      </c>
      <c r="X34">
        <f t="shared" si="17"/>
        <v>904</v>
      </c>
      <c r="Y34">
        <f t="shared" si="17"/>
        <v>940</v>
      </c>
      <c r="Z34">
        <f t="shared" si="17"/>
        <v>922</v>
      </c>
      <c r="AA34">
        <f t="shared" si="17"/>
        <v>937</v>
      </c>
      <c r="AB34">
        <f t="shared" si="17"/>
        <v>1017</v>
      </c>
      <c r="AC34">
        <f t="shared" si="17"/>
        <v>1103</v>
      </c>
    </row>
    <row r="35" spans="1:41">
      <c r="A35" s="456"/>
      <c r="B35" t="str">
        <f>+'q5'!$A$34</f>
        <v>E</v>
      </c>
      <c r="C35" t="str">
        <f>+'q5'!$B$34</f>
        <v>Capt., trat. e d. água; san., resíd.</v>
      </c>
      <c r="D35">
        <f>+'q5'!$C$34</f>
        <v>1177</v>
      </c>
      <c r="E35">
        <f>+'q5'!$D$34</f>
        <v>1146</v>
      </c>
      <c r="F35">
        <f>+'q5'!$E$34</f>
        <v>1088</v>
      </c>
      <c r="G35">
        <f>+'q5'!$F$34</f>
        <v>1094</v>
      </c>
      <c r="H35">
        <f>+'q5'!$G$34</f>
        <v>1101</v>
      </c>
      <c r="I35">
        <f>+'q5'!$H$34</f>
        <v>1095</v>
      </c>
      <c r="J35">
        <f>+'q5'!$I$34</f>
        <v>1141</v>
      </c>
      <c r="K35">
        <f>+'q5'!$J$34</f>
        <v>1231</v>
      </c>
      <c r="L35">
        <f>+'q5'!$K$34</f>
        <v>1253</v>
      </c>
      <c r="M35">
        <f>+'q5'!$L$34</f>
        <v>1259</v>
      </c>
      <c r="N35">
        <f>+'q5'!$M$34</f>
        <v>1262</v>
      </c>
    </row>
    <row r="36" spans="1:41">
      <c r="A36" s="456"/>
      <c r="B36" t="str">
        <f>+'q5'!$A$35</f>
        <v>F</v>
      </c>
      <c r="C36" t="str">
        <f>+'q5'!$B$35</f>
        <v>Construção</v>
      </c>
      <c r="D36">
        <f>+'q5'!$C$35</f>
        <v>28828</v>
      </c>
      <c r="E36">
        <f>+'q5'!$D$35</f>
        <v>28421</v>
      </c>
      <c r="F36">
        <f>+'q5'!$E$35</f>
        <v>28140</v>
      </c>
      <c r="G36">
        <f>+'q5'!$F$35</f>
        <v>28678</v>
      </c>
      <c r="H36">
        <f>+'q5'!$G$35</f>
        <v>29363</v>
      </c>
      <c r="I36">
        <f>+'q5'!$H$35</f>
        <v>30329</v>
      </c>
      <c r="J36">
        <f>+'q5'!$I$35</f>
        <v>30816</v>
      </c>
      <c r="K36">
        <f>+'q5'!$J$35</f>
        <v>32069</v>
      </c>
      <c r="L36">
        <f>+'q5'!$K$35</f>
        <v>32036</v>
      </c>
      <c r="M36">
        <f>+'q5'!$L$35</f>
        <v>34322</v>
      </c>
      <c r="N36">
        <f>+'q5'!$M$35</f>
        <v>35793</v>
      </c>
    </row>
    <row r="37" spans="1:41">
      <c r="A37" s="456"/>
      <c r="B37" t="str">
        <f>+'q5'!$A$36</f>
        <v>G</v>
      </c>
      <c r="C37" t="str">
        <f>+'q5'!$B$36</f>
        <v>Com. grosso e ret.; r.v.aut./moto.</v>
      </c>
      <c r="D37">
        <f>+'q5'!$C$36</f>
        <v>94026</v>
      </c>
      <c r="E37">
        <f>+'q5'!$D$36</f>
        <v>94440</v>
      </c>
      <c r="F37">
        <f>+'q5'!$E$36</f>
        <v>94937</v>
      </c>
      <c r="G37">
        <f>+'q5'!$F$36</f>
        <v>94933</v>
      </c>
      <c r="H37">
        <f>+'q5'!$G$36</f>
        <v>94292</v>
      </c>
      <c r="I37">
        <f>+'q5'!$H$36</f>
        <v>93805</v>
      </c>
      <c r="J37">
        <f>+'q5'!$I$36</f>
        <v>90517</v>
      </c>
      <c r="K37">
        <f>+'q5'!$J$36</f>
        <v>89750</v>
      </c>
      <c r="L37">
        <f>+'q5'!$K$36</f>
        <v>87838</v>
      </c>
      <c r="M37">
        <f>+'q5'!$L$36</f>
        <v>90136</v>
      </c>
      <c r="N37">
        <f>+'q5'!$M$36</f>
        <v>90639</v>
      </c>
    </row>
    <row r="38" spans="1:41">
      <c r="A38" s="456"/>
      <c r="B38" t="str">
        <f>+'q5'!$A$37</f>
        <v>H</v>
      </c>
      <c r="C38" t="str">
        <f>+'q5'!$B$37</f>
        <v>Transportes e armazenagem</v>
      </c>
      <c r="D38">
        <f>+'q5'!$C$37</f>
        <v>12579</v>
      </c>
      <c r="E38">
        <f>+'q5'!$D$37</f>
        <v>12572</v>
      </c>
      <c r="F38">
        <f>+'q5'!$E$37</f>
        <v>12496</v>
      </c>
      <c r="G38">
        <f>+'q5'!$F$37</f>
        <v>12468</v>
      </c>
      <c r="H38">
        <f>+'q5'!$G$37</f>
        <v>12539</v>
      </c>
      <c r="I38">
        <f>+'q5'!$H$37</f>
        <v>12486</v>
      </c>
      <c r="J38">
        <f>+'q5'!$I$37</f>
        <v>12253</v>
      </c>
      <c r="K38">
        <f>+'q5'!$J$37</f>
        <v>12258</v>
      </c>
      <c r="L38">
        <f>+'q5'!$K$37</f>
        <v>11760</v>
      </c>
      <c r="M38">
        <f>+'q5'!$L$37</f>
        <v>12360</v>
      </c>
      <c r="N38">
        <f>+'q5'!$M$37</f>
        <v>13020</v>
      </c>
    </row>
    <row r="39" spans="1:41">
      <c r="A39" s="456"/>
      <c r="B39" t="str">
        <f>+'q5'!$A$38</f>
        <v>I</v>
      </c>
      <c r="C39" t="str">
        <f>+'q5'!$B$38</f>
        <v>Alojamento, restauração e sim.</v>
      </c>
      <c r="D39">
        <f>+'q5'!$C$38</f>
        <v>33970</v>
      </c>
      <c r="E39">
        <f>+'q5'!$D$38</f>
        <v>34983</v>
      </c>
      <c r="F39">
        <f>+'q5'!$E$38</f>
        <v>36106</v>
      </c>
      <c r="G39">
        <f>+'q5'!$F$38</f>
        <v>37220</v>
      </c>
      <c r="H39">
        <f>+'q5'!$G$38</f>
        <v>38276</v>
      </c>
      <c r="I39">
        <f>+'q5'!$H$38</f>
        <v>39308</v>
      </c>
      <c r="J39">
        <f>+'q5'!$I$38</f>
        <v>38184</v>
      </c>
      <c r="K39">
        <f>+'q5'!$J$38</f>
        <v>37633</v>
      </c>
      <c r="L39">
        <f>+'q5'!$K$38</f>
        <v>36899</v>
      </c>
      <c r="M39">
        <f>+'q5'!$L$38</f>
        <v>39006</v>
      </c>
      <c r="N39">
        <f>+'q5'!$M$38</f>
        <v>40412</v>
      </c>
    </row>
    <row r="40" spans="1:41">
      <c r="A40" s="456"/>
      <c r="B40" t="str">
        <f>+'q5'!$A$39</f>
        <v>J</v>
      </c>
      <c r="C40" t="str">
        <f>+'q5'!$B$39</f>
        <v xml:space="preserve">Ativ. Inform. e de comunicação </v>
      </c>
      <c r="D40">
        <f>+'q5'!$C$39</f>
        <v>5148</v>
      </c>
      <c r="E40">
        <f>+'q5'!$D$39</f>
        <v>5434</v>
      </c>
      <c r="F40">
        <f>+'q5'!$E$39</f>
        <v>5478</v>
      </c>
      <c r="G40">
        <f>+'q5'!$F$39</f>
        <v>5601</v>
      </c>
      <c r="H40">
        <f>+'q5'!$G$39</f>
        <v>5842</v>
      </c>
      <c r="I40">
        <f>+'q5'!$H$39</f>
        <v>6025</v>
      </c>
      <c r="J40">
        <f>+'q5'!$I$39</f>
        <v>6100</v>
      </c>
      <c r="K40">
        <f>+'q5'!$J$39</f>
        <v>6379</v>
      </c>
      <c r="L40">
        <f>+'q5'!$K$39</f>
        <v>6485</v>
      </c>
      <c r="M40">
        <f>+'q5'!$L$39</f>
        <v>7163</v>
      </c>
      <c r="N40">
        <f>+'q5'!$M$39</f>
        <v>7620</v>
      </c>
    </row>
    <row r="41" spans="1:41">
      <c r="A41" s="456"/>
      <c r="B41" t="str">
        <f>+'q5'!$A$40</f>
        <v>K</v>
      </c>
      <c r="C41" t="str">
        <f>+'q5'!$B$40</f>
        <v>Ativ. financeiras e de seguros</v>
      </c>
      <c r="D41">
        <f>+'q5'!$C$40</f>
        <v>10077</v>
      </c>
      <c r="E41">
        <f>+'q5'!$D$40</f>
        <v>9931</v>
      </c>
      <c r="F41">
        <f>+'q5'!$E$40</f>
        <v>9555</v>
      </c>
      <c r="G41">
        <f>+'q5'!$F$40</f>
        <v>9207</v>
      </c>
      <c r="H41">
        <f>+'q5'!$G$40</f>
        <v>8732</v>
      </c>
      <c r="I41">
        <f>+'q5'!$H$40</f>
        <v>8475</v>
      </c>
      <c r="J41">
        <f>+'q5'!$I$40</f>
        <v>7752</v>
      </c>
      <c r="K41">
        <f>+'q5'!$J$40</f>
        <v>8108</v>
      </c>
      <c r="L41">
        <f>+'q5'!$K$40</f>
        <v>7672</v>
      </c>
      <c r="M41">
        <f>+'q5'!$L$40</f>
        <v>7674</v>
      </c>
      <c r="N41">
        <f>+'q5'!$M$40</f>
        <v>7715</v>
      </c>
      <c r="R41" s="457" t="s">
        <v>437</v>
      </c>
    </row>
    <row r="42" spans="1:41">
      <c r="A42" s="456"/>
      <c r="B42" t="str">
        <f>+'q5'!$A$41</f>
        <v>L</v>
      </c>
      <c r="C42" t="str">
        <f>+'q5'!$B$41</f>
        <v>Atividades imobiliárias</v>
      </c>
      <c r="D42">
        <f>+'q5'!$C$41</f>
        <v>6341</v>
      </c>
      <c r="E42">
        <f>+'q5'!$D$41</f>
        <v>6647</v>
      </c>
      <c r="F42">
        <f>+'q5'!$E$41</f>
        <v>6971</v>
      </c>
      <c r="G42">
        <f>+'q5'!$F$41</f>
        <v>7401</v>
      </c>
      <c r="H42">
        <f>+'q5'!$G$41</f>
        <v>8035</v>
      </c>
      <c r="I42">
        <f>+'q5'!$H$41</f>
        <v>8846</v>
      </c>
      <c r="J42">
        <f>+'q5'!$I$41</f>
        <v>9215</v>
      </c>
      <c r="K42">
        <f>+'q5'!$J$41</f>
        <v>9861</v>
      </c>
      <c r="L42">
        <f>+'q5'!$K$41</f>
        <v>10096</v>
      </c>
      <c r="M42">
        <f>+'q5'!$L$41</f>
        <v>10812</v>
      </c>
      <c r="N42">
        <f>+'q5'!$M$41</f>
        <v>11567</v>
      </c>
      <c r="R42" s="457" t="s">
        <v>210</v>
      </c>
      <c r="V42" s="577"/>
    </row>
    <row r="43" spans="1:41">
      <c r="A43" s="456"/>
      <c r="B43" t="str">
        <f>+'q5'!$A$42</f>
        <v>M</v>
      </c>
      <c r="C43" t="str">
        <f>+'q5'!$B$42</f>
        <v>Ativ. consultoria, cient.,téc. e sim.</v>
      </c>
      <c r="D43">
        <f>+'q5'!$C$42</f>
        <v>21901</v>
      </c>
      <c r="E43">
        <f>+'q5'!$D$42</f>
        <v>22569</v>
      </c>
      <c r="F43">
        <f>+'q5'!$E$42</f>
        <v>22865</v>
      </c>
      <c r="G43">
        <f>+'q5'!$F$42</f>
        <v>23189</v>
      </c>
      <c r="H43">
        <f>+'q5'!$G$42</f>
        <v>23749</v>
      </c>
      <c r="I43">
        <f>+'q5'!$H$42</f>
        <v>24467</v>
      </c>
      <c r="J43">
        <f>+'q5'!$I$42</f>
        <v>24250</v>
      </c>
      <c r="K43">
        <f>+'q5'!$J$42</f>
        <v>24826</v>
      </c>
      <c r="L43">
        <f>+'q5'!$K$42</f>
        <v>24675</v>
      </c>
      <c r="M43">
        <f>+'q5'!$L$42</f>
        <v>25874</v>
      </c>
      <c r="N43">
        <f>+'q5'!$M$42</f>
        <v>26684</v>
      </c>
      <c r="R43" s="457" t="s">
        <v>226</v>
      </c>
      <c r="U43" s="457" t="s">
        <v>211</v>
      </c>
      <c r="V43" s="578"/>
      <c r="AG43" s="457"/>
      <c r="AO43" s="577"/>
    </row>
    <row r="44" spans="1:41">
      <c r="A44" s="456"/>
      <c r="B44" t="str">
        <f>+'q5'!$A$43</f>
        <v>N</v>
      </c>
      <c r="C44" t="str">
        <f>+'q5'!$B$43</f>
        <v>Ativ. Adm. e serviços de apoio</v>
      </c>
      <c r="D44">
        <f>+'q5'!$C$43</f>
        <v>8739</v>
      </c>
      <c r="E44">
        <f>+'q5'!$D$43</f>
        <v>8861</v>
      </c>
      <c r="F44">
        <f>+'q5'!$E$43</f>
        <v>8995</v>
      </c>
      <c r="G44">
        <f>+'q5'!$F$43</f>
        <v>9301</v>
      </c>
      <c r="H44">
        <f>+'q5'!$G$43</f>
        <v>9347</v>
      </c>
      <c r="I44">
        <f>+'q5'!$H$43</f>
        <v>9298</v>
      </c>
      <c r="J44">
        <f>+'q5'!$I$43</f>
        <v>9391</v>
      </c>
      <c r="K44">
        <f>+'q5'!$J$43</f>
        <v>9385</v>
      </c>
      <c r="L44">
        <f>+'q5'!$K$43</f>
        <v>8843</v>
      </c>
      <c r="M44">
        <f>+'q5'!$L$43</f>
        <v>9894</v>
      </c>
      <c r="N44">
        <f>+'q5'!$M$43</f>
        <v>10333</v>
      </c>
      <c r="Q44" s="457" t="s">
        <v>482</v>
      </c>
      <c r="R44" s="594">
        <f>+$V$69</f>
        <v>2023</v>
      </c>
      <c r="S44" s="457" t="str">
        <f>R44&amp;" % do total"</f>
        <v>2023 % do total</v>
      </c>
      <c r="T44" s="457"/>
      <c r="U44" s="594">
        <f>+$V$69</f>
        <v>2023</v>
      </c>
      <c r="W44" s="457" t="str">
        <f>U44&amp;" % do total"</f>
        <v>2023 % do total</v>
      </c>
      <c r="X44" s="457"/>
      <c r="AG44" s="456"/>
      <c r="AO44" s="578"/>
    </row>
    <row r="45" spans="1:41">
      <c r="A45" s="456"/>
      <c r="B45" t="str">
        <f>+'q5'!$A$44</f>
        <v>O</v>
      </c>
      <c r="C45" t="str">
        <f>+'q5'!$B$44</f>
        <v xml:space="preserve">Adm. Púb. e defesa; seg. social </v>
      </c>
      <c r="D45">
        <f>+'q5'!$C$44</f>
        <v>683</v>
      </c>
      <c r="E45">
        <f>+'q5'!$D$44</f>
        <v>686</v>
      </c>
      <c r="F45">
        <f>+'q5'!$E$44</f>
        <v>660</v>
      </c>
      <c r="G45">
        <f>+'q5'!$F$44</f>
        <v>627</v>
      </c>
      <c r="H45">
        <f>+'q5'!$G$44</f>
        <v>630</v>
      </c>
      <c r="I45">
        <f>+'q5'!$H$44</f>
        <v>601</v>
      </c>
      <c r="J45">
        <f>+'q5'!$I$44</f>
        <v>613</v>
      </c>
      <c r="K45">
        <f>+'q5'!$J$44</f>
        <v>624</v>
      </c>
      <c r="L45">
        <f>+'q5'!$K$44</f>
        <v>590</v>
      </c>
      <c r="M45">
        <f>+'q5'!$L$44</f>
        <v>574</v>
      </c>
      <c r="N45">
        <f>+'q5'!$M$44</f>
        <v>592</v>
      </c>
      <c r="Q45" t="str">
        <f>+$U$70</f>
        <v>G</v>
      </c>
      <c r="R45" s="532" t="str">
        <f>+VLOOKUP($Q45,Aux!$B$14:$D$33,3)</f>
        <v>Com. por grosso e ret. (…)</v>
      </c>
      <c r="S45" s="565" t="str">
        <f>+TEXT($X$70,"##.###,0%")</f>
        <v>23,9%</v>
      </c>
      <c r="U45" s="532" t="str">
        <f>+$U$79</f>
        <v>G</v>
      </c>
      <c r="V45" s="532" t="str">
        <f>+VLOOKUP($U45,Aux!$B$14:$D$33,3)</f>
        <v>Com. por grosso e ret. (…)</v>
      </c>
      <c r="W45" s="565" t="str">
        <f>+TEXT($X$79,"##.###,0%")</f>
        <v>26,6%</v>
      </c>
      <c r="AG45" s="456"/>
      <c r="AO45" s="578"/>
    </row>
    <row r="46" spans="1:41">
      <c r="A46" s="456"/>
      <c r="B46" t="str">
        <f>+'q5'!$A$45</f>
        <v>P</v>
      </c>
      <c r="C46" t="str">
        <f>+'q5'!$B$45</f>
        <v>Educação</v>
      </c>
      <c r="D46">
        <f>+'q5'!$C$45</f>
        <v>4337</v>
      </c>
      <c r="E46">
        <f>+'q5'!$D$45</f>
        <v>4573</v>
      </c>
      <c r="F46">
        <f>+'q5'!$E$45</f>
        <v>4701</v>
      </c>
      <c r="G46">
        <f>+'q5'!$F$45</f>
        <v>4675</v>
      </c>
      <c r="H46">
        <f>+'q5'!$G$45</f>
        <v>4647</v>
      </c>
      <c r="I46">
        <f>+'q5'!$H$45</f>
        <v>4681</v>
      </c>
      <c r="J46">
        <f>+'q5'!$I$45</f>
        <v>4531</v>
      </c>
      <c r="K46">
        <f>+'q5'!$J$45</f>
        <v>4576</v>
      </c>
      <c r="L46">
        <f>+'q5'!$K$45</f>
        <v>4414</v>
      </c>
      <c r="M46">
        <f>+'q5'!$L$45</f>
        <v>4635</v>
      </c>
      <c r="N46">
        <f>+'q5'!$M$45</f>
        <v>4808</v>
      </c>
      <c r="Q46" t="str">
        <f>+$U$71</f>
        <v>I</v>
      </c>
      <c r="R46" s="532" t="str">
        <f>+VLOOKUP($Q46,Aux!$B$14:$D$33,3)</f>
        <v>Alojamento, rest. e sim.</v>
      </c>
      <c r="S46" s="565" t="str">
        <f>+TEXT($X$71,"##.###,0%")</f>
        <v>12,2%</v>
      </c>
      <c r="T46" s="565"/>
      <c r="U46" s="532" t="str">
        <f>+$U$80</f>
        <v>I</v>
      </c>
      <c r="V46" s="532" t="str">
        <f>+VLOOKUP($U46,Aux!$B$14:$D$33,3)</f>
        <v>Alojamento, rest. e sim.</v>
      </c>
      <c r="W46" s="565" t="str">
        <f>+TEXT($X$80,"##.###,0%")</f>
        <v>11,9%</v>
      </c>
      <c r="AO46" s="578"/>
    </row>
    <row r="47" spans="1:41">
      <c r="A47" s="456"/>
      <c r="B47" t="str">
        <f>+'q5'!$A$46</f>
        <v>Q</v>
      </c>
      <c r="C47" t="str">
        <f>+'q5'!$B$46</f>
        <v>Ativ. saúde humana e apoio social</v>
      </c>
      <c r="D47">
        <f>+'q5'!$C$46</f>
        <v>18120</v>
      </c>
      <c r="E47">
        <f>+'q5'!$D$46</f>
        <v>18418</v>
      </c>
      <c r="F47">
        <f>+'q5'!$E$46</f>
        <v>18727</v>
      </c>
      <c r="G47">
        <f>+'q5'!$F$46</f>
        <v>19044</v>
      </c>
      <c r="H47">
        <f>+'q5'!$G$46</f>
        <v>19162</v>
      </c>
      <c r="I47">
        <f>+'q5'!$H$46</f>
        <v>19323</v>
      </c>
      <c r="J47">
        <f>+'q5'!$I$46</f>
        <v>19089</v>
      </c>
      <c r="K47">
        <f>+'q5'!$J$46</f>
        <v>19487</v>
      </c>
      <c r="L47">
        <f>+'q5'!$K$46</f>
        <v>19087</v>
      </c>
      <c r="M47">
        <f>+'q5'!$L$46</f>
        <v>20082</v>
      </c>
      <c r="N47">
        <f>+'q5'!$M$46</f>
        <v>20724</v>
      </c>
      <c r="Q47" t="str">
        <f>+$U$72</f>
        <v>F</v>
      </c>
      <c r="R47" s="532" t="str">
        <f>+VLOOKUP($Q47,Aux!$B$14:$D$33,3)</f>
        <v>Construção</v>
      </c>
      <c r="S47" s="565" t="str">
        <f>+TEXT($X$72,"##.###,0%")</f>
        <v>12,1%</v>
      </c>
      <c r="T47" s="565"/>
      <c r="U47" s="532" t="str">
        <f>+$U$81</f>
        <v>F</v>
      </c>
      <c r="V47" s="532" t="str">
        <f>+VLOOKUP($U47,Aux!$B$14:$D$33,3)</f>
        <v>Construção</v>
      </c>
      <c r="W47" s="565" t="str">
        <f>+TEXT($X$81,"##.###,0%")</f>
        <v>10,5%</v>
      </c>
      <c r="X47" s="565"/>
      <c r="AG47" s="456"/>
    </row>
    <row r="48" spans="1:41">
      <c r="A48" s="456"/>
      <c r="B48" t="str">
        <f>+'q5'!$A$47</f>
        <v>R</v>
      </c>
      <c r="C48" t="str">
        <f>+'q5'!$B$47</f>
        <v>Ativ. artíst., espet., desp. e recr.</v>
      </c>
      <c r="D48">
        <f>+'q5'!$C$47</f>
        <v>3274</v>
      </c>
      <c r="E48">
        <f>+'q5'!$D$47</f>
        <v>3448</v>
      </c>
      <c r="F48">
        <f>+'q5'!$E$47</f>
        <v>3581</v>
      </c>
      <c r="G48">
        <f>+'q5'!$F$47</f>
        <v>3745</v>
      </c>
      <c r="H48">
        <f>+'q5'!$G$47</f>
        <v>3985</v>
      </c>
      <c r="I48">
        <f>+'q5'!$H$47</f>
        <v>4371</v>
      </c>
      <c r="J48">
        <f>+'q5'!$I$47</f>
        <v>4404</v>
      </c>
      <c r="K48">
        <f>+'q5'!$J$47</f>
        <v>4397</v>
      </c>
      <c r="L48">
        <f>+'q5'!$K$47</f>
        <v>4424</v>
      </c>
      <c r="M48">
        <f>+'q5'!$L$47</f>
        <v>4761</v>
      </c>
      <c r="N48">
        <f>+'q5'!$M$47</f>
        <v>5060</v>
      </c>
      <c r="AG48" s="456"/>
    </row>
    <row r="49" spans="1:48">
      <c r="A49" s="456"/>
      <c r="B49" t="str">
        <f>+'q5'!$A$48</f>
        <v>S</v>
      </c>
      <c r="C49" t="str">
        <f>+'q5'!$B$48</f>
        <v>Outras atividades de serviços</v>
      </c>
      <c r="D49">
        <f>+'q5'!$C$48</f>
        <v>15353</v>
      </c>
      <c r="E49">
        <f>+'q5'!$D$48</f>
        <v>15515</v>
      </c>
      <c r="F49">
        <f>+'q5'!$E$48</f>
        <v>15537</v>
      </c>
      <c r="G49">
        <f>+'q5'!$F$48</f>
        <v>15467</v>
      </c>
      <c r="H49">
        <f>+'q5'!$G$48</f>
        <v>15306</v>
      </c>
      <c r="I49">
        <f>+'q5'!$H$48</f>
        <v>15360</v>
      </c>
      <c r="J49">
        <f>+'q5'!$I$48</f>
        <v>14434</v>
      </c>
      <c r="K49">
        <f>+'q5'!$J$48</f>
        <v>14086</v>
      </c>
      <c r="L49">
        <f>+'q5'!$K$48</f>
        <v>13379</v>
      </c>
      <c r="M49">
        <f>+'q5'!$L$48</f>
        <v>13917</v>
      </c>
      <c r="N49">
        <f>+'q5'!$M$48</f>
        <v>13804</v>
      </c>
      <c r="Q49" s="457" t="s">
        <v>482</v>
      </c>
      <c r="R49" s="594">
        <f>+$B$69</f>
        <v>2013</v>
      </c>
      <c r="S49" s="457" t="str">
        <f>R49&amp;" % do total"</f>
        <v>2013 % do total</v>
      </c>
      <c r="T49" s="457"/>
      <c r="U49" s="594">
        <f>+$B$69</f>
        <v>2013</v>
      </c>
      <c r="V49" s="577"/>
      <c r="W49" s="457" t="str">
        <f>U49&amp;" % do total"</f>
        <v>2013 % do total</v>
      </c>
      <c r="X49" s="457"/>
    </row>
    <row r="50" spans="1:48">
      <c r="A50" s="456"/>
      <c r="B50" t="str">
        <f>+'q5'!$A$49</f>
        <v>U</v>
      </c>
      <c r="C50" t="str">
        <f>+'q5'!$B$49</f>
        <v>Ativ. org. int. e o. inst. extra-territ.</v>
      </c>
      <c r="D50">
        <f>+'q5'!$C$49</f>
        <v>12</v>
      </c>
      <c r="E50">
        <f>+'q5'!$D$49</f>
        <v>16</v>
      </c>
      <c r="F50">
        <f>+'q5'!$E$49</f>
        <v>14</v>
      </c>
      <c r="G50">
        <f>+'q5'!$F$49</f>
        <v>17</v>
      </c>
      <c r="H50">
        <f>+'q5'!$G$49</f>
        <v>14</v>
      </c>
      <c r="I50">
        <f>+'q5'!$H$49</f>
        <v>15</v>
      </c>
      <c r="J50">
        <f>+'q5'!$I$49</f>
        <v>16</v>
      </c>
      <c r="K50">
        <f>+'q5'!$J$49</f>
        <v>18</v>
      </c>
      <c r="L50">
        <f>+'q5'!$K$49</f>
        <v>17</v>
      </c>
      <c r="M50">
        <f>+'q5'!$L$49</f>
        <v>16</v>
      </c>
      <c r="N50">
        <f>+'q5'!$M$49</f>
        <v>17</v>
      </c>
      <c r="Q50" t="str">
        <f>+$A$70</f>
        <v>G</v>
      </c>
      <c r="R50" s="532" t="str">
        <f>+VLOOKUP($Q50,Aux!$B$14:$D$33,3)</f>
        <v>Com. por grosso e ret. (…)</v>
      </c>
      <c r="S50" s="565" t="str">
        <f>+TEXT($Y$70,"##.###,0%")</f>
        <v>27,7%</v>
      </c>
      <c r="U50" s="532" t="str">
        <f>+$A$79</f>
        <v>G</v>
      </c>
      <c r="V50" s="532" t="str">
        <f>+VLOOKUP($U50,Aux!$B$14:$D$33,3)</f>
        <v>Com. por grosso e ret. (…)</v>
      </c>
      <c r="W50" s="565" t="str">
        <f>+TEXT($Y$79,"##.###,0%")</f>
        <v>29,8%</v>
      </c>
    </row>
    <row r="51" spans="1:48">
      <c r="A51" s="456"/>
      <c r="B51" s="456" t="s">
        <v>229</v>
      </c>
      <c r="C51" s="456"/>
      <c r="D51">
        <f>+'q6'!$B$6+'q6'!$B$7</f>
        <v>268798</v>
      </c>
      <c r="E51">
        <f>+'q6'!$C$6+'q6'!$C$7</f>
        <v>271147</v>
      </c>
      <c r="F51">
        <f>+'q6'!$D$6+'q6'!$D$7</f>
        <v>272301</v>
      </c>
      <c r="G51">
        <f>+'q6'!$E$6+'q6'!$E$7</f>
        <v>273993</v>
      </c>
      <c r="H51">
        <f>+'q6'!$F$6+'q6'!$F$7</f>
        <v>274084</v>
      </c>
      <c r="I51">
        <f>+'q6'!$G$6+'q6'!$G$7</f>
        <v>275129</v>
      </c>
      <c r="J51">
        <f>+'q6'!$H$6+'q6'!$H$7</f>
        <v>266320</v>
      </c>
      <c r="K51">
        <f>+'q6'!$I$6+'q6'!$I$7</f>
        <v>268913</v>
      </c>
      <c r="L51">
        <f>+'q6'!$J$6+'q6'!$J$7</f>
        <v>262011</v>
      </c>
      <c r="M51">
        <f>+'q6'!$K$6+'q6'!$K$7</f>
        <v>272062</v>
      </c>
      <c r="N51">
        <f>+'q6'!$L$6+'q6'!$L$7</f>
        <v>276817</v>
      </c>
      <c r="Q51" t="str">
        <f>+$A$71</f>
        <v>C</v>
      </c>
      <c r="R51" s="532" t="str">
        <f>+VLOOKUP($Q51,Aux!$B$14:$D$33,3)</f>
        <v>Ind. transf.</v>
      </c>
      <c r="S51" s="565" t="str">
        <f>+TEXT($Y$71,"##.###,0%")</f>
        <v>12,3%</v>
      </c>
      <c r="T51" s="565"/>
      <c r="U51" s="532" t="str">
        <f>+$A$80</f>
        <v>C</v>
      </c>
      <c r="V51" s="532" t="str">
        <f>+VLOOKUP($U51,Aux!$B$14:$D$33,3)</f>
        <v>Ind. transf.</v>
      </c>
      <c r="W51" s="565" t="str">
        <f>+TEXT($Y$80,"##.###,0%")</f>
        <v>11,5%</v>
      </c>
      <c r="X51" s="565"/>
    </row>
    <row r="52" spans="1:48">
      <c r="A52" s="456"/>
      <c r="B52" s="456" t="s">
        <v>479</v>
      </c>
      <c r="C52" s="456"/>
      <c r="D52">
        <f>+'q6'!$B$8+'q6'!$B$9</f>
        <v>38063</v>
      </c>
      <c r="E52">
        <f>+'q6'!$C$8+'q6'!$C$9</f>
        <v>39365</v>
      </c>
      <c r="F52">
        <f>+'q6'!$D$8+'q6'!$D$9</f>
        <v>40661</v>
      </c>
      <c r="G52">
        <f>+'q6'!$E$8+'q6'!$E$9</f>
        <v>42031</v>
      </c>
      <c r="H52">
        <f>+'q6'!$F$8+'q6'!$F$9</f>
        <v>43973</v>
      </c>
      <c r="I52">
        <f>+'q6'!$G$8+'q6'!$G$9</f>
        <v>45897</v>
      </c>
      <c r="J52">
        <f>+'q6'!$H$8+'q6'!$H$9</f>
        <v>46757</v>
      </c>
      <c r="K52">
        <f>+'q6'!$I$8+'q6'!$I$9</f>
        <v>45757</v>
      </c>
      <c r="L52">
        <f>+'q6'!$J$8+'q6'!$J$9</f>
        <v>46152</v>
      </c>
      <c r="M52">
        <f>+'q6'!$K$8+'q6'!$K$9</f>
        <v>49721</v>
      </c>
      <c r="N52">
        <f>+'q6'!$L$8+'q6'!$L$9</f>
        <v>52145</v>
      </c>
      <c r="Q52" t="str">
        <f>+$A$72</f>
        <v>I</v>
      </c>
      <c r="R52" s="532" t="str">
        <f>+VLOOKUP($Q52,Aux!$B$14:$D$33,3)</f>
        <v>Alojamento, rest. e sim.</v>
      </c>
      <c r="S52" s="565" t="str">
        <f>+TEXT($Y$72,"##.###,0%")</f>
        <v>11,4%</v>
      </c>
      <c r="U52" s="532" t="str">
        <f>+$A$81</f>
        <v>I</v>
      </c>
      <c r="V52" s="532" t="str">
        <f>+VLOOKUP($U52,Aux!$B$14:$D$33,3)</f>
        <v>Alojamento, rest. e sim.</v>
      </c>
      <c r="W52" s="565" t="str">
        <f>+TEXT($Y$81,"##.###,0%")</f>
        <v>10,8%</v>
      </c>
    </row>
    <row r="53" spans="1:48">
      <c r="A53" s="456"/>
      <c r="B53" s="456" t="s">
        <v>480</v>
      </c>
      <c r="C53" s="456"/>
      <c r="D53">
        <f>+'q6'!$B$10+'q6'!$B$11+'q6'!$B$12+'q6'!$B$13</f>
        <v>5864</v>
      </c>
      <c r="E53">
        <f>+'q6'!$C$10+'q6'!$C$11+'q6'!$C$12+'q6'!$C$13</f>
        <v>6032</v>
      </c>
      <c r="F53">
        <f>+'q6'!$D$10+'q6'!$D$11+'q6'!$D$12+'q6'!$D$13</f>
        <v>6244</v>
      </c>
      <c r="G53">
        <f>+'q6'!$E$10+'q6'!$E$11+'q6'!$E$12+'q6'!$E$13</f>
        <v>6541</v>
      </c>
      <c r="H53">
        <f>+'q6'!$F$10+'q6'!$F$11+'q6'!$F$12+'q6'!$F$13</f>
        <v>6822</v>
      </c>
      <c r="I53">
        <f>+'q6'!$G$10+'q6'!$G$11+'q6'!$G$12+'q6'!$G$13</f>
        <v>7206</v>
      </c>
      <c r="J53">
        <f>+'q6'!$H$10+'q6'!$H$11+'q6'!$H$12+'q6'!$H$13</f>
        <v>7384</v>
      </c>
      <c r="K53">
        <f>+'q6'!$I$10+'q6'!$I$11+'q6'!$I$12+'q6'!$I$13</f>
        <v>7265</v>
      </c>
      <c r="L53">
        <f>+'q6'!$J$10+'q6'!$J$11+'q6'!$J$12+'q6'!$J$13</f>
        <v>7437</v>
      </c>
      <c r="M53">
        <f>+'q6'!$K$10+'q6'!$K$11+'q6'!$K$12+'q6'!$K$13</f>
        <v>8143</v>
      </c>
      <c r="N53">
        <f>+'q6'!$L$10+'q6'!$L$11+'q6'!$L$12+'q6'!$L$13</f>
        <v>8569</v>
      </c>
    </row>
    <row r="54" spans="1:48">
      <c r="A54" s="456"/>
      <c r="B54" s="456" t="s">
        <v>238</v>
      </c>
      <c r="C54" s="456"/>
      <c r="D54">
        <f>+'q6'!$B$14+'q6'!$B$15+'q6'!$B$16</f>
        <v>714</v>
      </c>
      <c r="E54">
        <f>+'q6'!$C$14+'q6'!$C$15+'q6'!$C$16</f>
        <v>722</v>
      </c>
      <c r="F54">
        <f>+'q6'!$D$14+'q6'!$D$15+'q6'!$D$16</f>
        <v>759</v>
      </c>
      <c r="G54">
        <f>+'q6'!$E$14+'q6'!$E$15+'q6'!$E$16</f>
        <v>804</v>
      </c>
      <c r="H54">
        <f>+'q6'!$F$14+'q6'!$F$15+'q6'!$F$16</f>
        <v>855</v>
      </c>
      <c r="I54">
        <f>+'q6'!$G$14+'q6'!$G$15+'q6'!$G$16</f>
        <v>904</v>
      </c>
      <c r="J54">
        <f>+'q6'!$H$14+'q6'!$H$15+'q6'!$H$16</f>
        <v>940</v>
      </c>
      <c r="K54">
        <f>+'q6'!$I$14+'q6'!$I$15+'q6'!$I$16</f>
        <v>922</v>
      </c>
      <c r="L54">
        <f>+'q6'!$J$14+'q6'!$J$15+'q6'!$J$16</f>
        <v>937</v>
      </c>
      <c r="M54">
        <f>+'q6'!$K$14+'q6'!$K$15+'q6'!$K$16</f>
        <v>1017</v>
      </c>
      <c r="N54">
        <f>+'q6'!$L$14+'q6'!$L$15+'q6'!$L$16</f>
        <v>1103</v>
      </c>
    </row>
    <row r="55" spans="1:48">
      <c r="R55" s="501" t="s">
        <v>226</v>
      </c>
      <c r="AV55" s="456"/>
    </row>
    <row r="56" spans="1:48">
      <c r="R56" s="588" t="str">
        <f>"3 CAE com mais Empresas:"&amp;CHAR(10)&amp;$R$49&amp;": "&amp;$Q$50&amp;" - "&amp;$R$50&amp;" ("&amp;$S$50&amp;"); "&amp;$Q$51&amp;" - "&amp;$R$51&amp;" ("&amp;$S$51&amp;"); "&amp;$Q$52&amp;" - "&amp;$R$52&amp;" ("&amp;$S$52&amp;")."&amp;CHAR(10)&amp;$R$44&amp;": "&amp;$Q$45&amp;" - "&amp;$R$45&amp;" ("&amp;$S$45&amp;"); "&amp;$Q$46&amp;" - "&amp;$R$46&amp;" ("&amp;$S$46&amp;"); "&amp;$Q$47&amp;" - "&amp;$R$47&amp;" ("&amp;$S$47&amp;")."</f>
        <v>3 CAE com mais Empresas:
2013: G - Com. por grosso e ret. (…) (27,7%); C - Ind. transf. (12,3%); I - Alojamento, rest. e sim. (11,4%).
2023: G - Com. por grosso e ret. (…) (23,9%); I - Alojamento, rest. e sim. (12,2%); F - Construção (12,1%).</v>
      </c>
    </row>
    <row r="57" spans="1:48">
      <c r="AU57" s="456"/>
    </row>
    <row r="58" spans="1:48">
      <c r="R58" s="456" t="s">
        <v>211</v>
      </c>
      <c r="AU58" s="456"/>
    </row>
    <row r="59" spans="1:48">
      <c r="R59" s="588" t="str">
        <f>"3 CAE com mais Estabelecimentos:"&amp;CHAR(10)&amp;$U$49&amp;": "&amp;$U$50&amp;" - "&amp;$V$50&amp;" ("&amp;$W$50&amp;"); "&amp;$U$51&amp;" - "&amp;$V$51&amp;" ("&amp;$W$51&amp;"); "&amp;$U$52&amp;" - "&amp;$V$52&amp;" ("&amp;$W$52&amp;")."&amp;CHAR(10)&amp;$U$44&amp;": "&amp;$U$45&amp;" - "&amp;$V$45&amp;" ("&amp;$W$45&amp;"); "&amp;$U$46&amp;" - "&amp;$V$46&amp;" ("&amp;$W$46&amp;"); "&amp;$U$47&amp;" - "&amp;$V$47&amp;" ("&amp;$W$47&amp;")."</f>
        <v>3 CAE com mais Estabelecimentos:
2013: G - Com. por grosso e ret. (…) (29,8%); C - Ind. transf. (11,5%); I - Alojamento, rest. e sim. (10,8%).
2023: G - Com. por grosso e ret. (…) (26,6%); I - Alojamento, rest. e sim. (11,9%); F - Construção (10,5%).</v>
      </c>
      <c r="AO59" s="456"/>
    </row>
    <row r="62" spans="1:48">
      <c r="R62" t="str">
        <f>IF($Q$3=1,$R$56,$R$59)</f>
        <v>3 CAE com mais Estabelecimentos:
2013: G - Com. por grosso e ret. (…) (29,8%); C - Ind. transf. (11,5%); I - Alojamento, rest. e sim. (10,8%).
2023: G - Com. por grosso e ret. (…) (26,6%); I - Alojamento, rest. e sim. (11,9%); F - Construção (10,5%).</v>
      </c>
      <c r="AU62" s="456"/>
    </row>
    <row r="63" spans="1:48">
      <c r="I63" s="603" t="s">
        <v>485</v>
      </c>
      <c r="AU63" s="456"/>
    </row>
    <row r="64" spans="1:48">
      <c r="I64" s="603" t="s">
        <v>486</v>
      </c>
      <c r="R64" s="577"/>
    </row>
    <row r="65" spans="1:38">
      <c r="I65" s="603" t="s">
        <v>487</v>
      </c>
      <c r="R65" s="577"/>
    </row>
    <row r="66" spans="1:38">
      <c r="A66" s="464" t="s">
        <v>270</v>
      </c>
      <c r="B66" s="595" t="s">
        <v>483</v>
      </c>
    </row>
    <row r="67" spans="1:38">
      <c r="B67" s="586">
        <f>+B73/AT4</f>
        <v>0.10513804257880087</v>
      </c>
    </row>
    <row r="68" spans="1:38" ht="13.5" thickBot="1">
      <c r="A68" s="456" t="s">
        <v>226</v>
      </c>
    </row>
    <row r="69" spans="1:38">
      <c r="A69" s="459"/>
      <c r="B69" s="464">
        <f>+D6</f>
        <v>2013</v>
      </c>
      <c r="C69" s="459"/>
      <c r="D69" s="464">
        <f>+E6</f>
        <v>2014</v>
      </c>
      <c r="E69" s="459"/>
      <c r="F69" s="464">
        <f>+F6</f>
        <v>2015</v>
      </c>
      <c r="G69" s="459"/>
      <c r="H69" s="464">
        <f>+G6</f>
        <v>2016</v>
      </c>
      <c r="I69" s="459"/>
      <c r="J69" s="464">
        <f>+H6</f>
        <v>2017</v>
      </c>
      <c r="K69" s="459"/>
      <c r="L69" s="464">
        <f>+I6</f>
        <v>2018</v>
      </c>
      <c r="M69" s="459"/>
      <c r="N69" s="464">
        <f>+J6</f>
        <v>2019</v>
      </c>
      <c r="O69" s="459"/>
      <c r="P69" s="464">
        <f>+K6</f>
        <v>2020</v>
      </c>
      <c r="Q69" s="459"/>
      <c r="R69" s="464">
        <f>+L6</f>
        <v>2021</v>
      </c>
      <c r="S69" s="459"/>
      <c r="T69" s="464">
        <f>+M6</f>
        <v>2022</v>
      </c>
      <c r="U69" s="459"/>
      <c r="V69" s="464">
        <f>+N6</f>
        <v>2023</v>
      </c>
      <c r="W69" s="457"/>
      <c r="X69" s="457" t="str">
        <f>+V69&amp;" - % do total"</f>
        <v>2023 - % do total</v>
      </c>
      <c r="Y69" s="756" t="str">
        <f>+"em "&amp;B69</f>
        <v>em 2013</v>
      </c>
      <c r="Z69" s="757"/>
    </row>
    <row r="70" spans="1:38">
      <c r="A70" s="592" t="str">
        <f>+INDEX($B$7:$B$26,MATCH(B70,$D$7:$D$26,0),1)</f>
        <v>G</v>
      </c>
      <c r="B70" s="593">
        <f>+LARGE($D$7:$D$26,1)</f>
        <v>73629</v>
      </c>
      <c r="C70" s="465" t="str">
        <f>+INDEX($B$7:$B$26,MATCH(D70,$E$7:$E$26,0),1)</f>
        <v>G</v>
      </c>
      <c r="D70" s="466">
        <f>+LARGE($E$7:$E$26,1)</f>
        <v>74208</v>
      </c>
      <c r="E70" s="465" t="str">
        <f>+INDEX($B$7:$B$26,MATCH(F70,$F$7:$F$26,0),1)</f>
        <v>G</v>
      </c>
      <c r="F70" s="466">
        <f>+LARGE($F$7:$F$26,1)</f>
        <v>74441</v>
      </c>
      <c r="G70" s="465" t="str">
        <f>+INDEX($B$7:$B$26,MATCH(H70,$G$7:$G$26,0),1)</f>
        <v>G</v>
      </c>
      <c r="H70" s="466">
        <f>+LARGE($G$7:$G$26,1)</f>
        <v>74332</v>
      </c>
      <c r="I70" s="465" t="str">
        <f>+INDEX($B$7:$B$26,MATCH(J70,$H$7:$H$26,0),1)</f>
        <v>G</v>
      </c>
      <c r="J70" s="466">
        <f>+LARGE($H$7:$H$26,1)</f>
        <v>73637</v>
      </c>
      <c r="K70" s="465" t="str">
        <f>+INDEX($B$7:$B$26,MATCH(L70,$I$7:$I$26,0),1)</f>
        <v>G</v>
      </c>
      <c r="L70" s="466">
        <f>+LARGE($I$7:$I$26,1)</f>
        <v>73191</v>
      </c>
      <c r="M70" s="465" t="str">
        <f>+INDEX($B$7:$B$26,MATCH(N70,$J$7:$J$26,0),1)</f>
        <v>G</v>
      </c>
      <c r="N70" s="466">
        <f>+LARGE($J$7:$J$26,1)</f>
        <v>69985</v>
      </c>
      <c r="O70" s="465" t="str">
        <f>+INDEX($B$7:$B$26,MATCH(P70,$K$7:$K$26,0),1)</f>
        <v>G</v>
      </c>
      <c r="P70" s="466">
        <f>+LARGE($K$7:$K$26,1)</f>
        <v>69568</v>
      </c>
      <c r="Q70" s="465" t="str">
        <f>+INDEX($B$7:$B$26,MATCH(R70,$L$7:$L$26,0),1)</f>
        <v>G</v>
      </c>
      <c r="R70" s="466">
        <f>+LARGE($L$7:$L$26,1)</f>
        <v>67802</v>
      </c>
      <c r="S70" s="465" t="str">
        <f>+INDEX($B$7:$B$26,MATCH(T70,$M$7:$M$26,0),1)</f>
        <v>G</v>
      </c>
      <c r="T70" s="466">
        <f>+LARGE($M$7:$M$26,1)</f>
        <v>69554</v>
      </c>
      <c r="U70" s="592" t="str">
        <f>+INDEX($B$7:$B$26,MATCH(V70,$N$7:$N$26,0),1)</f>
        <v>G</v>
      </c>
      <c r="V70" s="593">
        <f>+LARGE($N$7:$N$26,1)</f>
        <v>69619</v>
      </c>
      <c r="X70" s="586">
        <f>+V70/$BD$4</f>
        <v>0.23903355170093252</v>
      </c>
      <c r="Y70" s="596">
        <f>+B70/$AT$4</f>
        <v>0.27694651320243735</v>
      </c>
      <c r="Z70" s="602" t="str">
        <f>+A70</f>
        <v>G</v>
      </c>
      <c r="AB70" s="490">
        <f>+B70/$BD$4</f>
        <v>0.25280169749907294</v>
      </c>
      <c r="AC70" s="490">
        <f>+D70/$BD$4</f>
        <v>0.25478966668040048</v>
      </c>
      <c r="AD70" s="490">
        <f>+F70/$BD$4</f>
        <v>0.25558966118687598</v>
      </c>
      <c r="AE70" s="490">
        <f>+H70/$BD$4</f>
        <v>0.25521541482976939</v>
      </c>
      <c r="AF70" s="490">
        <f>+J70/$BD$4</f>
        <v>0.25282916512161291</v>
      </c>
      <c r="AG70" s="490">
        <f>+L70/$BD$4</f>
        <v>0.25129784516501175</v>
      </c>
      <c r="AH70" s="490">
        <f>+N70/$BD$4</f>
        <v>0.24029019543213437</v>
      </c>
      <c r="AI70" s="490">
        <f>+P70/$BD$4</f>
        <v>0.23885844560724045</v>
      </c>
      <c r="AJ70" s="490">
        <f>+R70/$BD$4</f>
        <v>0.23279496793155069</v>
      </c>
      <c r="AK70" s="490">
        <f>+T70/$BD$4</f>
        <v>0.23881037726779558</v>
      </c>
      <c r="AL70" s="490">
        <f>+V70/$BD$4</f>
        <v>0.23903355170093252</v>
      </c>
    </row>
    <row r="71" spans="1:38">
      <c r="A71" s="592" t="str">
        <f>+INDEX($B$7:$B$26,MATCH(B71,$D$7:$D$26,0),1)</f>
        <v>C</v>
      </c>
      <c r="B71" s="593">
        <f>+LARGE($D$7:$D$26,2)</f>
        <v>32643</v>
      </c>
      <c r="C71" s="465" t="str">
        <f>+INDEX($B$7:$B$26,MATCH(D71,$E$7:$E$26,0),1)</f>
        <v>C</v>
      </c>
      <c r="D71" s="466">
        <f>+LARGE($E$7:$E$26,2)</f>
        <v>32895</v>
      </c>
      <c r="E71" s="465" t="str">
        <f>+INDEX($B$7:$B$26,MATCH(F71,$F$7:$F$26,0),1)</f>
        <v>C</v>
      </c>
      <c r="F71" s="466">
        <f>+LARGE($F$7:$F$26,2)</f>
        <v>32998</v>
      </c>
      <c r="G71" s="465" t="str">
        <f>+INDEX($B$7:$B$26,MATCH(H71,$G$7:$G$26,0),1)</f>
        <v>C</v>
      </c>
      <c r="H71" s="466">
        <f>+LARGE($G$7:$G$26,2)</f>
        <v>33278</v>
      </c>
      <c r="I71" s="465" t="str">
        <f>+INDEX($B$7:$B$26,MATCH(J71,$H$7:$H$26,0),1)</f>
        <v>I</v>
      </c>
      <c r="J71" s="466">
        <f>+LARGE($H$7:$H$26,2)</f>
        <v>34159</v>
      </c>
      <c r="K71" s="465" t="str">
        <f>+INDEX($B$7:$B$26,MATCH(L71,$I$7:$I$26,0),1)</f>
        <v>I</v>
      </c>
      <c r="L71" s="466">
        <f>+LARGE($I$7:$I$26,2)</f>
        <v>34949</v>
      </c>
      <c r="M71" s="465" t="str">
        <f>+INDEX($B$7:$B$26,MATCH(N71,$J$7:$J$26,0),1)</f>
        <v>I</v>
      </c>
      <c r="N71" s="466">
        <f>+LARGE($J$7:$J$26,2)</f>
        <v>33798</v>
      </c>
      <c r="O71" s="465" t="str">
        <f>+INDEX($B$7:$B$26,MATCH(P71,$K$7:$K$26,0),1)</f>
        <v>I</v>
      </c>
      <c r="P71" s="466">
        <f>+LARGE($K$7:$K$26,2)</f>
        <v>33300</v>
      </c>
      <c r="Q71" s="465" t="str">
        <f>+INDEX($B$7:$B$26,MATCH(R71,$L$7:$L$26,0),1)</f>
        <v>I</v>
      </c>
      <c r="R71" s="466">
        <f>+LARGE($L$7:$L$26,2)</f>
        <v>32645</v>
      </c>
      <c r="S71" s="465" t="str">
        <f>+INDEX($B$7:$B$26,MATCH(T71,$M$7:$M$26,0),1)</f>
        <v>I</v>
      </c>
      <c r="T71" s="466">
        <f>+LARGE($M$7:$M$26,2)</f>
        <v>34416</v>
      </c>
      <c r="U71" s="592" t="str">
        <f>+INDEX($B$7:$B$26,MATCH(V71,$N$7:$N$26,0),1)</f>
        <v>I</v>
      </c>
      <c r="V71" s="593">
        <f>+LARGE($N$7:$N$26,2)</f>
        <v>35628</v>
      </c>
      <c r="X71" s="586">
        <f>+V71/$BD$4</f>
        <v>0.12232705698158296</v>
      </c>
      <c r="Y71" s="596">
        <f>+B71/$AT$4</f>
        <v>0.12278266756939743</v>
      </c>
      <c r="Z71" s="602" t="str">
        <f>+A71</f>
        <v>C</v>
      </c>
    </row>
    <row r="72" spans="1:38">
      <c r="A72" s="592" t="str">
        <f>+INDEX($B$7:$B$26,MATCH(B72,$D$7:$D$26,0),1)</f>
        <v>I</v>
      </c>
      <c r="B72" s="593">
        <f>+LARGE($D$7:$D$26,3)</f>
        <v>30313</v>
      </c>
      <c r="C72" s="465" t="str">
        <f>+INDEX($B$7:$B$26,MATCH(D72,$E$7:$E$26,0),1)</f>
        <v>I</v>
      </c>
      <c r="D72" s="466">
        <f>+LARGE($E$7:$E$26,3)</f>
        <v>31162</v>
      </c>
      <c r="E72" s="465" t="str">
        <f>+INDEX($B$7:$B$26,MATCH(F72,$F$7:$F$26,0),1)</f>
        <v>I</v>
      </c>
      <c r="F72" s="466">
        <f>+LARGE($F$7:$F$26,3)</f>
        <v>32218</v>
      </c>
      <c r="G72" s="465" t="str">
        <f>+INDEX($B$7:$B$26,MATCH(H72,$G$7:$G$26,0),1)</f>
        <v>I</v>
      </c>
      <c r="H72" s="466">
        <f>+LARGE($G$7:$G$26,3)</f>
        <v>33270</v>
      </c>
      <c r="I72" s="465" t="str">
        <f>+INDEX($B$7:$B$26,MATCH(J72,$H$7:$H$26,0),1)</f>
        <v>C</v>
      </c>
      <c r="J72" s="466">
        <f>+LARGE($H$7:$H$26,3)</f>
        <v>33315</v>
      </c>
      <c r="K72" s="465" t="str">
        <f>+INDEX($B$7:$B$26,MATCH(L72,$I$7:$I$26,0),1)</f>
        <v>C</v>
      </c>
      <c r="L72" s="466">
        <f>+LARGE($I$7:$I$26,3)</f>
        <v>33177</v>
      </c>
      <c r="M72" s="465" t="str">
        <f>+INDEX($B$7:$B$26,MATCH(N72,$J$7:$J$26,0),1)</f>
        <v>C</v>
      </c>
      <c r="N72" s="466">
        <f>+LARGE($J$7:$J$26,3)</f>
        <v>31905</v>
      </c>
      <c r="O72" s="465" t="str">
        <f>+INDEX($B$7:$B$26,MATCH(P72,$K$7:$K$26,0),1)</f>
        <v>C</v>
      </c>
      <c r="P72" s="466">
        <f>+LARGE($K$7:$K$26,3)</f>
        <v>31715</v>
      </c>
      <c r="Q72" s="465" t="str">
        <f>+INDEX($B$7:$B$26,MATCH(R72,$L$7:$L$26,0),1)</f>
        <v>F</v>
      </c>
      <c r="R72" s="466">
        <f>+LARGE($L$7:$L$26,3)</f>
        <v>31375</v>
      </c>
      <c r="S72" s="465" t="str">
        <f>+INDEX($B$7:$B$26,MATCH(T72,$M$7:$M$26,0),1)</f>
        <v>F</v>
      </c>
      <c r="T72" s="466">
        <f>+LARGE($M$7:$M$26,3)</f>
        <v>33643</v>
      </c>
      <c r="U72" s="592" t="str">
        <f>+INDEX($B$7:$B$26,MATCH(V72,$N$7:$N$26,0),1)</f>
        <v>F</v>
      </c>
      <c r="V72" s="593">
        <f>+LARGE($N$7:$N$26,3)</f>
        <v>35137</v>
      </c>
      <c r="X72" s="586">
        <f>+V72/$BD$4</f>
        <v>0.12064123164819469</v>
      </c>
      <c r="Y72" s="596">
        <f>+B72/$AT$4</f>
        <v>0.11401865643571804</v>
      </c>
      <c r="Z72" s="597" t="str">
        <f>+A72</f>
        <v>I</v>
      </c>
    </row>
    <row r="73" spans="1:38">
      <c r="A73" s="465" t="str">
        <f>+INDEX($B$7:$B$26,MATCH(B73,$D$7:$D$26,0),1)</f>
        <v>F</v>
      </c>
      <c r="B73" s="466">
        <f>+LARGE($D$7:$D$26,4)</f>
        <v>27952</v>
      </c>
      <c r="C73" s="465" t="str">
        <f>+INDEX($B$7:$B$26,MATCH(D73,$E$7:$E$26,0),1)</f>
        <v>F</v>
      </c>
      <c r="D73" s="466">
        <f>+LARGE($E$7:$E$26,4)</f>
        <v>27621</v>
      </c>
      <c r="E73" s="465" t="str">
        <f>+INDEX($B$7:$B$26,MATCH(F73,$F$7:$F$26,0),1)</f>
        <v>F</v>
      </c>
      <c r="F73" s="466">
        <f>+LARGE($F$7:$F$26,4)</f>
        <v>27400</v>
      </c>
      <c r="G73" s="465" t="str">
        <f>+INDEX($B$7:$B$26,MATCH(H73,$G$7:$G$26,0),1)</f>
        <v>F</v>
      </c>
      <c r="H73" s="466">
        <f>+LARGE($G$7:$G$26,4)</f>
        <v>27945</v>
      </c>
      <c r="I73" s="465" t="str">
        <f>+INDEX($B$7:$B$26,MATCH(J73,$H$7:$H$26,0),1)</f>
        <v>F</v>
      </c>
      <c r="J73" s="466">
        <f>+LARGE($H$7:$H$26,4)</f>
        <v>28669</v>
      </c>
      <c r="K73" s="465" t="str">
        <f>+INDEX($B$7:$B$26,MATCH(L73,$I$7:$I$26,0),1)</f>
        <v>F</v>
      </c>
      <c r="L73" s="466">
        <f>+LARGE($I$7:$I$26,4)</f>
        <v>29662</v>
      </c>
      <c r="M73" s="465" t="str">
        <f>+INDEX($B$7:$B$26,MATCH(N73,$J$7:$J$26,0),1)</f>
        <v>F</v>
      </c>
      <c r="N73" s="466">
        <f>+LARGE($J$7:$J$26,4)</f>
        <v>30134</v>
      </c>
      <c r="O73" s="465" t="str">
        <f>+INDEX($B$7:$B$26,MATCH(P73,$K$7:$K$26,0),1)</f>
        <v>F</v>
      </c>
      <c r="P73" s="466">
        <f>+LARGE($K$7:$K$26,4)</f>
        <v>31394</v>
      </c>
      <c r="Q73" s="465" t="str">
        <f>+INDEX($B$7:$B$26,MATCH(R73,$L$7:$L$26,0),1)</f>
        <v>C</v>
      </c>
      <c r="R73" s="466">
        <f>+LARGE($L$7:$L$26,4)</f>
        <v>30818</v>
      </c>
      <c r="S73" s="465" t="str">
        <f>+INDEX($B$7:$B$26,MATCH(T73,$M$7:$M$26,0),1)</f>
        <v>C</v>
      </c>
      <c r="T73" s="466">
        <f>+LARGE($M$7:$M$26,4)</f>
        <v>31733</v>
      </c>
      <c r="U73" s="465" t="str">
        <f>+INDEX($B$7:$B$26,MATCH(V73,$N$7:$N$26,0),1)</f>
        <v>C</v>
      </c>
      <c r="V73" s="466">
        <f>+LARGE($N$7:$N$26,4)</f>
        <v>31551</v>
      </c>
      <c r="X73" s="746">
        <f>+V73/$BD$4</f>
        <v>0.10832886984467059</v>
      </c>
      <c r="Y73" s="673">
        <f>+B73/$AT$4</f>
        <v>0.10513804257880087</v>
      </c>
      <c r="Z73" s="599" t="str">
        <f>+A73</f>
        <v>F</v>
      </c>
    </row>
    <row r="74" spans="1:38" ht="13.5" thickBot="1">
      <c r="A74" s="465" t="str">
        <f>+INDEX($B$7:$B$26,MATCH(B74,$D$7:$D$26,0),1)</f>
        <v>M</v>
      </c>
      <c r="B74" s="466">
        <f>+LARGE($D$7:$D$26,5)</f>
        <v>20799</v>
      </c>
      <c r="C74" s="465" t="str">
        <f>+INDEX($B$7:$B$26,MATCH(D74,$E$7:$E$26,0),1)</f>
        <v>M</v>
      </c>
      <c r="D74" s="466">
        <f>+LARGE($E$7:$E$26,5)</f>
        <v>21426</v>
      </c>
      <c r="E74" s="465" t="str">
        <f>+INDEX($B$7:$B$26,MATCH(F74,$F$7:$F$26,0),1)</f>
        <v>M</v>
      </c>
      <c r="F74" s="466">
        <f>+LARGE($F$7:$F$26,5)</f>
        <v>21717</v>
      </c>
      <c r="G74" s="465" t="str">
        <f>+INDEX($B$7:$B$26,MATCH(H74,$G$7:$G$26,0),1)</f>
        <v>M</v>
      </c>
      <c r="H74" s="466">
        <f>+LARGE($G$7:$G$26,5)</f>
        <v>22039</v>
      </c>
      <c r="I74" s="465" t="str">
        <f>+INDEX($B$7:$B$26,MATCH(J74,$H$7:$H$26,0),1)</f>
        <v>M</v>
      </c>
      <c r="J74" s="466">
        <f>+LARGE($H$7:$H$26,5)</f>
        <v>22524</v>
      </c>
      <c r="K74" s="465" t="str">
        <f>+INDEX($B$7:$B$26,MATCH(L74,$I$7:$I$26,0),1)</f>
        <v>M</v>
      </c>
      <c r="L74" s="466">
        <f>+LARGE($I$7:$I$26,5)</f>
        <v>23187</v>
      </c>
      <c r="M74" s="465" t="str">
        <f>+INDEX($B$7:$B$26,MATCH(N74,$J$7:$J$26,0),1)</f>
        <v>M</v>
      </c>
      <c r="N74" s="466">
        <f>+LARGE($J$7:$J$26,5)</f>
        <v>22977</v>
      </c>
      <c r="O74" s="465" t="str">
        <f>+INDEX($B$7:$B$26,MATCH(P74,$K$7:$K$26,0),1)</f>
        <v>M</v>
      </c>
      <c r="P74" s="466">
        <f>+LARGE($K$7:$K$26,5)</f>
        <v>23504</v>
      </c>
      <c r="Q74" s="465" t="str">
        <f>+INDEX($B$7:$B$26,MATCH(R74,$L$7:$L$26,0),1)</f>
        <v>M</v>
      </c>
      <c r="R74" s="466">
        <f>+LARGE($L$7:$L$26,5)</f>
        <v>23335</v>
      </c>
      <c r="S74" s="465" t="str">
        <f>+INDEX($B$7:$B$26,MATCH(T74,$M$7:$M$26,0),1)</f>
        <v>M</v>
      </c>
      <c r="T74" s="466">
        <f>+LARGE($M$7:$M$26,5)</f>
        <v>24442</v>
      </c>
      <c r="U74" s="465" t="str">
        <f>+INDEX($B$7:$B$26,MATCH(V74,$N$7:$N$26,0),1)</f>
        <v>M</v>
      </c>
      <c r="V74" s="466">
        <f>+LARGE($N$7:$N$26,5)</f>
        <v>25202</v>
      </c>
      <c r="X74" s="470">
        <f>+V74/$BD$4</f>
        <v>8.6529877906417807E-2</v>
      </c>
      <c r="Y74" s="600">
        <f>+B74/$AT$4</f>
        <v>7.8232904536222073E-2</v>
      </c>
      <c r="Z74" s="601" t="str">
        <f>+A74</f>
        <v>M</v>
      </c>
    </row>
    <row r="75" spans="1:38">
      <c r="B75" s="586">
        <f>B70/$AT$4</f>
        <v>0.27694651320243735</v>
      </c>
    </row>
    <row r="76" spans="1:38">
      <c r="B76" s="586">
        <f>B71/$AT$4</f>
        <v>0.12278266756939743</v>
      </c>
    </row>
    <row r="77" spans="1:38" ht="13.5" thickBot="1">
      <c r="A77" s="456" t="s">
        <v>211</v>
      </c>
      <c r="B77" s="586">
        <f>B72/$AT$4</f>
        <v>0.11401865643571804</v>
      </c>
    </row>
    <row r="78" spans="1:38">
      <c r="A78" s="459"/>
      <c r="B78" s="464">
        <f>+B69</f>
        <v>2013</v>
      </c>
      <c r="C78" s="464"/>
      <c r="D78" s="464">
        <f t="shared" ref="D78:V78" si="19">+D69</f>
        <v>2014</v>
      </c>
      <c r="E78" s="464"/>
      <c r="F78" s="464">
        <f t="shared" si="19"/>
        <v>2015</v>
      </c>
      <c r="G78" s="464"/>
      <c r="H78" s="464">
        <f t="shared" si="19"/>
        <v>2016</v>
      </c>
      <c r="I78" s="464"/>
      <c r="J78" s="464">
        <f t="shared" si="19"/>
        <v>2017</v>
      </c>
      <c r="K78" s="464"/>
      <c r="L78" s="464">
        <f t="shared" si="19"/>
        <v>2018</v>
      </c>
      <c r="M78" s="464"/>
      <c r="N78" s="464">
        <f t="shared" si="19"/>
        <v>2019</v>
      </c>
      <c r="O78" s="464"/>
      <c r="P78" s="464">
        <f t="shared" si="19"/>
        <v>2020</v>
      </c>
      <c r="Q78" s="464"/>
      <c r="R78" s="464">
        <f t="shared" si="19"/>
        <v>2021</v>
      </c>
      <c r="S78" s="464"/>
      <c r="T78" s="464">
        <f t="shared" si="19"/>
        <v>2022</v>
      </c>
      <c r="U78" s="464"/>
      <c r="V78" s="464">
        <f t="shared" si="19"/>
        <v>2023</v>
      </c>
      <c r="X78" s="457" t="str">
        <f>+V78&amp;" - % do total"</f>
        <v>2023 - % do total</v>
      </c>
      <c r="Y78" s="756" t="str">
        <f>+"em "&amp;B78</f>
        <v>em 2013</v>
      </c>
      <c r="Z78" s="757"/>
    </row>
    <row r="79" spans="1:38">
      <c r="A79" s="465" t="str">
        <f>+INDEX($B$31:$B$50,MATCH(B79,$D$31:$D$50,0),1)</f>
        <v>G</v>
      </c>
      <c r="B79" s="466">
        <f>+LARGE($D$31:$D$50,1)</f>
        <v>94026</v>
      </c>
      <c r="C79" s="465" t="str">
        <f>+INDEX($B$31:$B$50,MATCH(D79,$E$31:$E$50,0),1)</f>
        <v>G</v>
      </c>
      <c r="D79" s="466">
        <f>+LARGE($E$31:$E$50,1)</f>
        <v>94440</v>
      </c>
      <c r="E79" s="465" t="str">
        <f>+INDEX($B$31:$B$50,MATCH(F79,$F$31:$F$50,0),1)</f>
        <v>G</v>
      </c>
      <c r="F79" s="466">
        <f>+LARGE($F$31:$F$50,1)</f>
        <v>94937</v>
      </c>
      <c r="G79" s="465" t="str">
        <f>+INDEX($B$31:$B$50,MATCH(H79,$G$31:$G$50,0),1)</f>
        <v>G</v>
      </c>
      <c r="H79" s="466">
        <f>+LARGE($G$31:$G$50,1)</f>
        <v>94933</v>
      </c>
      <c r="I79" s="465" t="str">
        <f>+INDEX($B$31:$B$50,MATCH(J79,$H$31:$H$50,0),1)</f>
        <v>G</v>
      </c>
      <c r="J79" s="466">
        <f>+LARGE($H$31:$H$50,1)</f>
        <v>94292</v>
      </c>
      <c r="K79" s="465" t="str">
        <f>+INDEX($B$31:$B$50,MATCH(L79,$I$31:$I$50,0),1)</f>
        <v>G</v>
      </c>
      <c r="L79" s="466">
        <f>+LARGE($I$31:$I$50,1)</f>
        <v>93805</v>
      </c>
      <c r="M79" s="465" t="str">
        <f>+INDEX($B$31:$B$50,MATCH(N79,$J$31:$J$50,0),1)</f>
        <v>G</v>
      </c>
      <c r="N79" s="466">
        <f>+LARGE($J$31:$J$50,1)</f>
        <v>90517</v>
      </c>
      <c r="O79" s="465" t="str">
        <f>+INDEX($B$31:$B$50,MATCH(P79,$K$31:$K$50,0),1)</f>
        <v>G</v>
      </c>
      <c r="P79" s="466">
        <f>+LARGE($K$31:$K$50,1)</f>
        <v>89750</v>
      </c>
      <c r="Q79" s="465" t="str">
        <f>+INDEX($B$31:$B$50,MATCH(R79,$L$31:$L$50,0),1)</f>
        <v>G</v>
      </c>
      <c r="R79" s="466">
        <f>+LARGE($L$31:$L$50,1)</f>
        <v>87838</v>
      </c>
      <c r="S79" s="465" t="str">
        <f>+INDEX($B$31:$B$50,MATCH(T79,$M$31:$M$50,0),1)</f>
        <v>G</v>
      </c>
      <c r="T79" s="466">
        <f>+LARGE($M$31:$M$50,1)</f>
        <v>90136</v>
      </c>
      <c r="U79" s="592" t="str">
        <f>+INDEX($B$31:$B$50,MATCH(V79,$N$31:$N$50,0),1)</f>
        <v>G</v>
      </c>
      <c r="V79" s="466">
        <f>+LARGE($N$31:$N$50,1)</f>
        <v>90639</v>
      </c>
      <c r="X79" s="586">
        <f>+V79/$BD$5</f>
        <v>0.26630019626047408</v>
      </c>
      <c r="Y79" s="596">
        <f>+B79/$AT$5</f>
        <v>0.29838914417730839</v>
      </c>
      <c r="Z79" s="597" t="str">
        <f>+A79</f>
        <v>G</v>
      </c>
      <c r="AB79" s="490">
        <f>+B79/$BD$5</f>
        <v>0.27625130742381687</v>
      </c>
      <c r="AC79" s="490">
        <f>+D79/$BD$5</f>
        <v>0.27746765227814929</v>
      </c>
      <c r="AD79" s="490">
        <f>+F79/$BD$5</f>
        <v>0.27892785370955803</v>
      </c>
      <c r="AE79" s="490">
        <f>+H79/$BD$5</f>
        <v>0.27891610158536156</v>
      </c>
      <c r="AF79" s="490">
        <f>+J79/$BD$5</f>
        <v>0.27703282368288068</v>
      </c>
      <c r="AG79" s="490">
        <f>+L79/$BD$5</f>
        <v>0.2756020025619631</v>
      </c>
      <c r="AH79" s="490">
        <f>+N79/$BD$5</f>
        <v>0.26594175647248242</v>
      </c>
      <c r="AI79" s="490">
        <f>+P79/$BD$5</f>
        <v>0.26368828665781341</v>
      </c>
      <c r="AJ79" s="490">
        <f>+R79/$BD$5</f>
        <v>0.25807077129191103</v>
      </c>
      <c r="AK79" s="490">
        <f>+T79/$BD$5</f>
        <v>0.2648223666427707</v>
      </c>
      <c r="AL79" s="490">
        <f>+V79/$BD$5</f>
        <v>0.26630019626047408</v>
      </c>
    </row>
    <row r="80" spans="1:38">
      <c r="A80" s="465" t="str">
        <f>+INDEX($B$31:$B$50,MATCH(B80,$D$31:$D$50,0),1)</f>
        <v>C</v>
      </c>
      <c r="B80" s="466">
        <f>+LARGE($D$31:$D$50,2)</f>
        <v>36152</v>
      </c>
      <c r="C80" s="465" t="str">
        <f>+INDEX($B$31:$B$50,MATCH(D80,$E$31:$E$50,0),1)</f>
        <v>C</v>
      </c>
      <c r="D80" s="466">
        <f>+LARGE($E$31:$E$50,2)</f>
        <v>36167</v>
      </c>
      <c r="E80" s="465" t="str">
        <f>+INDEX($B$31:$B$50,MATCH(F80,$F$31:$F$50,0),1)</f>
        <v>C</v>
      </c>
      <c r="F80" s="466">
        <f>+LARGE($F$31:$F$50,2)</f>
        <v>36172</v>
      </c>
      <c r="G80" s="465" t="str">
        <f>+INDEX($B$31:$B$50,MATCH(H80,$G$31:$G$50,0),1)</f>
        <v>I</v>
      </c>
      <c r="H80" s="466">
        <f>+LARGE($G$31:$G$50,2)</f>
        <v>37220</v>
      </c>
      <c r="I80" s="465" t="str">
        <f>+INDEX($B$31:$B$50,MATCH(J80,$H$31:$H$50,0),1)</f>
        <v>I</v>
      </c>
      <c r="J80" s="466">
        <f>+LARGE($H$31:$H$50,2)</f>
        <v>38276</v>
      </c>
      <c r="K80" s="465" t="str">
        <f>+INDEX($B$31:$B$50,MATCH(L80,$I$31:$I$50,0),1)</f>
        <v>I</v>
      </c>
      <c r="L80" s="466">
        <f>+LARGE($I$31:$I$50,2)</f>
        <v>39308</v>
      </c>
      <c r="M80" s="465" t="str">
        <f>+INDEX($B$31:$B$50,MATCH(N80,$J$31:$J$50,0),1)</f>
        <v>I</v>
      </c>
      <c r="N80" s="466">
        <f>+LARGE($J$31:$J$50,2)</f>
        <v>38184</v>
      </c>
      <c r="O80" s="465" t="str">
        <f>+INDEX($B$31:$B$50,MATCH(P80,$K$31:$K$50,0),1)</f>
        <v>I</v>
      </c>
      <c r="P80" s="466">
        <f>+LARGE($K$31:$K$50,2)</f>
        <v>37633</v>
      </c>
      <c r="Q80" s="465" t="str">
        <f>+INDEX($B$31:$B$50,MATCH(R80,$L$31:$L$50,0),1)</f>
        <v>I</v>
      </c>
      <c r="R80" s="466">
        <f>+LARGE($L$31:$L$50,2)</f>
        <v>36899</v>
      </c>
      <c r="S80" s="465" t="str">
        <f>+INDEX($B$31:$B$50,MATCH(T80,$M$31:$M$50,0),1)</f>
        <v>I</v>
      </c>
      <c r="T80" s="466">
        <f>+LARGE($M$31:$M$50,2)</f>
        <v>39006</v>
      </c>
      <c r="U80" s="592" t="str">
        <f>+INDEX($B$31:$B$50,MATCH(V80,$N$31:$N$50,0),1)</f>
        <v>I</v>
      </c>
      <c r="V80" s="466">
        <f>+LARGE($N$31:$N$50,2)</f>
        <v>40412</v>
      </c>
      <c r="X80" s="586">
        <f>+V80/$BD$5</f>
        <v>0.11873171075671927</v>
      </c>
      <c r="Y80" s="596">
        <f t="shared" ref="Y80:Y83" si="20">+B80/$AT$5</f>
        <v>0.11472746198177156</v>
      </c>
      <c r="Z80" s="597" t="str">
        <f t="shared" ref="Z80:Z83" si="21">+A80</f>
        <v>C</v>
      </c>
    </row>
    <row r="81" spans="1:27">
      <c r="A81" s="465" t="str">
        <f>+INDEX($B$31:$B$50,MATCH(B81,$D$31:$D$50,0),1)</f>
        <v>I</v>
      </c>
      <c r="B81" s="466">
        <f>+LARGE($D$31:$D$50,3)</f>
        <v>33970</v>
      </c>
      <c r="C81" s="465" t="str">
        <f>+INDEX($B$31:$B$50,MATCH(D81,$E$31:$E$50,0),1)</f>
        <v>I</v>
      </c>
      <c r="D81" s="466">
        <f>+LARGE($E$31:$E$50,3)</f>
        <v>34983</v>
      </c>
      <c r="E81" s="465" t="str">
        <f>+INDEX($B$31:$B$50,MATCH(F81,$F$31:$F$50,0),1)</f>
        <v>I</v>
      </c>
      <c r="F81" s="466">
        <f>+LARGE($F$31:$F$50,3)</f>
        <v>36106</v>
      </c>
      <c r="G81" s="465" t="str">
        <f>+INDEX($B$31:$B$50,MATCH(H81,$G$31:$G$50,0),1)</f>
        <v>C</v>
      </c>
      <c r="H81" s="466">
        <f>+LARGE($G$31:$G$50,3)</f>
        <v>36485</v>
      </c>
      <c r="I81" s="465" t="str">
        <f>+INDEX($B$31:$B$50,MATCH(J81,$H$31:$H$50,0),1)</f>
        <v>C</v>
      </c>
      <c r="J81" s="466">
        <f>+LARGE($H$31:$H$50,3)</f>
        <v>36402</v>
      </c>
      <c r="K81" s="465" t="str">
        <f>+INDEX($B$31:$B$50,MATCH(L81,$I$31:$I$50,0),1)</f>
        <v>C</v>
      </c>
      <c r="L81" s="466">
        <f>+LARGE($I$31:$I$50,3)</f>
        <v>36243</v>
      </c>
      <c r="M81" s="465" t="str">
        <f>+INDEX($B$31:$B$50,MATCH(N81,$J$31:$J$50,0),1)</f>
        <v>C</v>
      </c>
      <c r="N81" s="466">
        <f>+LARGE($J$31:$J$50,3)</f>
        <v>34835</v>
      </c>
      <c r="O81" s="465" t="str">
        <f>+INDEX($B$31:$B$50,MATCH(P81,$K$31:$K$50,0),1)</f>
        <v>C</v>
      </c>
      <c r="P81" s="466">
        <f>+LARGE($K$31:$K$50,3)</f>
        <v>34676</v>
      </c>
      <c r="Q81" s="465" t="str">
        <f>+INDEX($B$31:$B$50,MATCH(R81,$L$31:$L$50,0),1)</f>
        <v>C</v>
      </c>
      <c r="R81" s="466">
        <f>+LARGE($L$31:$L$50,3)</f>
        <v>33711</v>
      </c>
      <c r="S81" s="465" t="str">
        <f>+INDEX($B$31:$B$50,MATCH(T81,$M$31:$M$50,0),1)</f>
        <v>C</v>
      </c>
      <c r="T81" s="466">
        <f>+LARGE($M$31:$M$50,3)</f>
        <v>34690</v>
      </c>
      <c r="U81" s="592" t="str">
        <f>+INDEX($B$31:$B$50,MATCH(V81,$N$31:$N$50,0),1)</f>
        <v>F</v>
      </c>
      <c r="V81" s="466">
        <f>+LARGE($N$31:$N$50,3)</f>
        <v>35793</v>
      </c>
      <c r="X81" s="586">
        <f>+V81/$BD$5</f>
        <v>0.10516094534087037</v>
      </c>
      <c r="Y81" s="596">
        <f t="shared" si="20"/>
        <v>0.10780293990708066</v>
      </c>
      <c r="Z81" s="597" t="str">
        <f t="shared" si="21"/>
        <v>I</v>
      </c>
    </row>
    <row r="82" spans="1:27">
      <c r="A82" s="465" t="str">
        <f>+INDEX($B$31:$B$50,MATCH(B82,$D$31:$D$50,0),1)</f>
        <v>F</v>
      </c>
      <c r="B82" s="466">
        <f>+LARGE($D$31:$D$50,4)</f>
        <v>28828</v>
      </c>
      <c r="C82" s="465" t="str">
        <f>+INDEX($B$31:$B$50,MATCH(D82,$E$31:$E$50,0),1)</f>
        <v>F</v>
      </c>
      <c r="D82" s="466">
        <f>+LARGE($E$31:$E$50,4)</f>
        <v>28421</v>
      </c>
      <c r="E82" s="465" t="str">
        <f>+INDEX($B$31:$B$50,MATCH(F82,$F$31:$F$50,0),1)</f>
        <v>F</v>
      </c>
      <c r="F82" s="466">
        <f>+LARGE($F$31:$F$50,4)</f>
        <v>28140</v>
      </c>
      <c r="G82" s="465" t="str">
        <f>+INDEX($B$31:$B$50,MATCH(H82,$G$31:$G$50,0),1)</f>
        <v>F</v>
      </c>
      <c r="H82" s="466">
        <f>+LARGE($G$31:$G$50,4)</f>
        <v>28678</v>
      </c>
      <c r="I82" s="465" t="str">
        <f>+INDEX($B$31:$B$50,MATCH(J82,$H$31:$H$50,0),1)</f>
        <v>F</v>
      </c>
      <c r="J82" s="466">
        <f>+LARGE($H$31:$H$50,4)</f>
        <v>29363</v>
      </c>
      <c r="K82" s="465" t="str">
        <f>+INDEX($B$31:$B$50,MATCH(L82,$I$31:$I$50,0),1)</f>
        <v>F</v>
      </c>
      <c r="L82" s="466">
        <f>+LARGE($I$31:$I$50,4)</f>
        <v>30329</v>
      </c>
      <c r="M82" s="465" t="str">
        <f>+INDEX($B$31:$B$50,MATCH(N82,$J$31:$J$50,0),1)</f>
        <v>F</v>
      </c>
      <c r="N82" s="466">
        <f>+LARGE($J$31:$J$50,4)</f>
        <v>30816</v>
      </c>
      <c r="O82" s="465" t="str">
        <f>+INDEX($B$31:$B$50,MATCH(P82,$K$31:$K$50,0),1)</f>
        <v>F</v>
      </c>
      <c r="P82" s="466">
        <f>+LARGE($K$31:$K$50,4)</f>
        <v>32069</v>
      </c>
      <c r="Q82" s="465" t="str">
        <f>+INDEX($B$31:$B$50,MATCH(R82,$L$31:$L$50,0),1)</f>
        <v>F</v>
      </c>
      <c r="R82" s="466">
        <f>+LARGE($L$31:$L$50,4)</f>
        <v>32036</v>
      </c>
      <c r="S82" s="465" t="str">
        <f>+INDEX($B$31:$B$50,MATCH(T82,$M$31:$M$50,0),1)</f>
        <v>F</v>
      </c>
      <c r="T82" s="466">
        <f>+LARGE($M$31:$M$50,4)</f>
        <v>34322</v>
      </c>
      <c r="U82" s="465" t="str">
        <f>+INDEX($B$31:$B$50,MATCH(V82,$N$31:$N$50,0),1)</f>
        <v>C</v>
      </c>
      <c r="V82" s="466">
        <f>+LARGE($N$31:$N$50,4)</f>
        <v>34549</v>
      </c>
      <c r="X82" s="746">
        <f>+V82/$BD$5</f>
        <v>0.10150603471577488</v>
      </c>
      <c r="Y82" s="673">
        <f t="shared" si="20"/>
        <v>9.1484932341516667E-2</v>
      </c>
      <c r="Z82" s="599" t="str">
        <f t="shared" si="21"/>
        <v>F</v>
      </c>
    </row>
    <row r="83" spans="1:27" ht="13.5" thickBot="1">
      <c r="A83" s="465" t="str">
        <f>+INDEX($B$31:$B$50,MATCH(B83,$D$31:$D$50,0),1)</f>
        <v>M</v>
      </c>
      <c r="B83" s="466">
        <f>+LARGE($D$31:$D$50,5)</f>
        <v>21901</v>
      </c>
      <c r="C83" s="465" t="str">
        <f>+INDEX($B$31:$B$50,MATCH(D83,$E$31:$E$50,0),1)</f>
        <v>M</v>
      </c>
      <c r="D83" s="466">
        <f>+LARGE($E$31:$E$50,5)</f>
        <v>22569</v>
      </c>
      <c r="E83" s="465" t="str">
        <f>+INDEX($B$31:$B$50,MATCH(F83,$F$31:$F$50,0),1)</f>
        <v>M</v>
      </c>
      <c r="F83" s="466">
        <f>+LARGE($F$31:$F$50,5)</f>
        <v>22865</v>
      </c>
      <c r="G83" s="465" t="str">
        <f>+INDEX($B$31:$B$50,MATCH(H83,$G$31:$G$50,0),1)</f>
        <v>M</v>
      </c>
      <c r="H83" s="466">
        <f>+LARGE($G$31:$G$50,5)</f>
        <v>23189</v>
      </c>
      <c r="I83" s="465" t="str">
        <f>+INDEX($B$31:$B$50,MATCH(J83,$H$31:$H$50,0),1)</f>
        <v>M</v>
      </c>
      <c r="J83" s="466">
        <f>+LARGE($H$31:$H$50,5)</f>
        <v>23749</v>
      </c>
      <c r="K83" s="465" t="str">
        <f>+INDEX($B$31:$B$50,MATCH(L83,$I$31:$I$50,0),1)</f>
        <v>M</v>
      </c>
      <c r="L83" s="466">
        <f>+LARGE($I$31:$I$50,5)</f>
        <v>24467</v>
      </c>
      <c r="M83" s="465" t="str">
        <f>+INDEX($B$31:$B$50,MATCH(N83,$J$31:$J$50,0),1)</f>
        <v>M</v>
      </c>
      <c r="N83" s="466">
        <f>+LARGE($J$31:$J$50,5)</f>
        <v>24250</v>
      </c>
      <c r="O83" s="465" t="str">
        <f>+INDEX($B$31:$B$50,MATCH(P83,$K$31:$K$50,0),1)</f>
        <v>M</v>
      </c>
      <c r="P83" s="466">
        <f>+LARGE($K$31:$K$50,5)</f>
        <v>24826</v>
      </c>
      <c r="Q83" s="465" t="str">
        <f>+INDEX($B$31:$B$50,MATCH(R83,$L$31:$L$50,0),1)</f>
        <v>M</v>
      </c>
      <c r="R83" s="466">
        <f>+LARGE($L$31:$L$50,5)</f>
        <v>24675</v>
      </c>
      <c r="S83" s="465" t="str">
        <f>+INDEX($B$31:$B$50,MATCH(T83,$M$31:$M$50,0),1)</f>
        <v>M</v>
      </c>
      <c r="T83" s="466">
        <f>+LARGE($M$31:$M$50,5)</f>
        <v>25874</v>
      </c>
      <c r="U83" s="465" t="str">
        <f>+INDEX($B$31:$B$50,MATCH(V83,$N$31:$N$50,0),1)</f>
        <v>M</v>
      </c>
      <c r="V83" s="466">
        <f>+LARGE($N$31:$N$50,5)</f>
        <v>26684</v>
      </c>
      <c r="X83" s="470">
        <f>+V83/$BD$5</f>
        <v>7.8398420514508002E-2</v>
      </c>
      <c r="Y83" s="600">
        <f t="shared" si="20"/>
        <v>6.9502272207976848E-2</v>
      </c>
      <c r="Z83" s="601" t="str">
        <f t="shared" si="21"/>
        <v>M</v>
      </c>
    </row>
    <row r="84" spans="1:27">
      <c r="B84" s="470">
        <f>B79/$AT$5</f>
        <v>0.29838914417730839</v>
      </c>
    </row>
    <row r="85" spans="1:27">
      <c r="B85" s="470">
        <f t="shared" ref="B85" si="22">B80/$AT$5</f>
        <v>0.11472746198177156</v>
      </c>
    </row>
    <row r="86" spans="1:27">
      <c r="B86" s="470">
        <f>B81/$AT$5</f>
        <v>0.10780293990708066</v>
      </c>
    </row>
    <row r="88" spans="1:27">
      <c r="R88" s="457" t="s">
        <v>437</v>
      </c>
    </row>
    <row r="89" spans="1:27">
      <c r="A89" s="456" t="s">
        <v>226</v>
      </c>
      <c r="D89" s="457">
        <f>+D6</f>
        <v>2013</v>
      </c>
      <c r="E89" s="457">
        <f t="shared" ref="E89:N89" si="23">+E6</f>
        <v>2014</v>
      </c>
      <c r="F89" s="457">
        <f t="shared" si="23"/>
        <v>2015</v>
      </c>
      <c r="G89" s="457">
        <f t="shared" si="23"/>
        <v>2016</v>
      </c>
      <c r="H89" s="457">
        <f t="shared" si="23"/>
        <v>2017</v>
      </c>
      <c r="I89" s="457">
        <f t="shared" si="23"/>
        <v>2018</v>
      </c>
      <c r="J89" s="457">
        <f t="shared" si="23"/>
        <v>2019</v>
      </c>
      <c r="K89" s="457">
        <f t="shared" si="23"/>
        <v>2020</v>
      </c>
      <c r="L89" s="457">
        <f t="shared" si="23"/>
        <v>2021</v>
      </c>
      <c r="M89" s="457">
        <f t="shared" si="23"/>
        <v>2022</v>
      </c>
      <c r="N89" s="457">
        <f t="shared" si="23"/>
        <v>2023</v>
      </c>
      <c r="R89" s="457" t="s">
        <v>271</v>
      </c>
    </row>
    <row r="90" spans="1:27">
      <c r="B90" s="456" t="str">
        <f>+B27</f>
        <v>Micro (1-9 pessoas)</v>
      </c>
      <c r="C90" s="456"/>
      <c r="D90">
        <f>+'q2'!$B$6+'q2'!$B$7</f>
        <v>226260</v>
      </c>
      <c r="E90">
        <f>+'q2'!$C$6+'q2'!$C$7</f>
        <v>229443</v>
      </c>
      <c r="F90">
        <f>+'q2'!$D$6+'q2'!$D$7</f>
        <v>231010</v>
      </c>
      <c r="G90">
        <f>+'q2'!$E$6+'q2'!$E$7</f>
        <v>233017</v>
      </c>
      <c r="H90">
        <f>+'q2'!$F$6+'q2'!$F$7</f>
        <v>233890</v>
      </c>
      <c r="I90">
        <f>+'q2'!$G$6+'q2'!$G$7</f>
        <v>235060</v>
      </c>
      <c r="J90">
        <f>+'q2'!$H$6+'q2'!$H$7</f>
        <v>227923</v>
      </c>
      <c r="K90">
        <f>+'q2'!$I$6+'q2'!$I$7</f>
        <v>230042</v>
      </c>
      <c r="L90">
        <f>+'q2'!$J$6+'q2'!$J$7</f>
        <v>224301</v>
      </c>
      <c r="M90">
        <f>+'q2'!$K$6+'q2'!$K$7</f>
        <v>233783</v>
      </c>
      <c r="N90">
        <f>+'q2'!$L$6+'q2'!$L$7</f>
        <v>237756</v>
      </c>
      <c r="R90" s="457" t="s">
        <v>222</v>
      </c>
      <c r="X90" s="457" t="s">
        <v>223</v>
      </c>
    </row>
    <row r="91" spans="1:27">
      <c r="B91" s="456" t="str">
        <f t="shared" ref="B91:B93" si="24">+B28</f>
        <v>Pequenas (10 - 49 pessoas)</v>
      </c>
      <c r="C91" s="456"/>
      <c r="D91">
        <f>+'q2'!$B$8+'q2'!$B$9</f>
        <v>31941</v>
      </c>
      <c r="E91">
        <f>+'q2'!$C$8+'q2'!$C$9</f>
        <v>32961</v>
      </c>
      <c r="F91">
        <f>+'q2'!$D$8+'q2'!$D$9</f>
        <v>34146</v>
      </c>
      <c r="G91">
        <f>+'q2'!$E$8+'q2'!$E$9</f>
        <v>35096</v>
      </c>
      <c r="H91">
        <f>+'q2'!$F$8+'q2'!$F$9</f>
        <v>36761</v>
      </c>
      <c r="I91">
        <f>+'q2'!$G$8+'q2'!$G$9</f>
        <v>38306</v>
      </c>
      <c r="J91">
        <f>+'q2'!$H$8+'q2'!$H$9</f>
        <v>38760</v>
      </c>
      <c r="K91">
        <f>+'q2'!$I$8+'q2'!$I$9</f>
        <v>38234</v>
      </c>
      <c r="L91">
        <f>+'q2'!$J$8+'q2'!$J$9</f>
        <v>38248</v>
      </c>
      <c r="M91">
        <f>+'q2'!$K$8+'q2'!$K$9</f>
        <v>41070</v>
      </c>
      <c r="N91">
        <f>+'q2'!$L$8+'q2'!$L$9</f>
        <v>43032</v>
      </c>
      <c r="R91" t="str">
        <f>+"Entre "&amp;$D$89&amp;" e "&amp;$N$89&amp;":"</f>
        <v>Entre 2013 e 2023:</v>
      </c>
      <c r="X91" t="str">
        <f>+"Entre "&amp;$D$89&amp;" e "&amp;$N$89&amp;":"</f>
        <v>Entre 2013 e 2023:</v>
      </c>
    </row>
    <row r="92" spans="1:27">
      <c r="B92" s="456" t="str">
        <f t="shared" si="24"/>
        <v>Médias (50 - 249 pessoas)</v>
      </c>
      <c r="C92" s="456"/>
      <c r="D92">
        <f>+'q2'!$B$10+'q2'!$B$11+'q2'!$B$12+'q2'!$B$13</f>
        <v>5440</v>
      </c>
      <c r="E92">
        <f>+'q2'!$C$10+'q2'!$C$11+'q2'!$C$12+'q2'!$C$13</f>
        <v>5596</v>
      </c>
      <c r="F92">
        <f>+'q2'!$D$10+'q2'!$D$11+'q2'!$D$12+'q2'!$D$13</f>
        <v>5749</v>
      </c>
      <c r="G92">
        <f>+'q2'!$E$10+'q2'!$E$11+'q2'!$E$12+'q2'!$E$13</f>
        <v>5981</v>
      </c>
      <c r="H92">
        <f>+'q2'!$F$10+'q2'!$F$11+'q2'!$F$12+'q2'!$F$13</f>
        <v>6271</v>
      </c>
      <c r="I92">
        <f>+'q2'!$G$10+'q2'!$G$11+'q2'!$G$12+'q2'!$G$13</f>
        <v>6560</v>
      </c>
      <c r="J92">
        <f>+'q2'!$H$10+'q2'!$H$11+'q2'!$H$12+'q2'!$H$13</f>
        <v>6679</v>
      </c>
      <c r="K92">
        <f>+'q2'!$I$10+'q2'!$I$11+'q2'!$I$12+'q2'!$I$13</f>
        <v>6566</v>
      </c>
      <c r="L92">
        <f>+'q2'!$J$10+'q2'!$J$11+'q2'!$J$12+'q2'!$J$13</f>
        <v>6728</v>
      </c>
      <c r="M92">
        <f>+'q2'!$K$10+'q2'!$K$11+'q2'!$K$12+'q2'!$K$13</f>
        <v>7348</v>
      </c>
      <c r="N92">
        <f>+'q2'!$L$10+'q2'!$L$11+'q2'!$L$12+'q2'!$L$13</f>
        <v>7716</v>
      </c>
      <c r="Q92" t="str">
        <f>+LEFT($B$90,FIND(" ",$B$90,1))</f>
        <v xml:space="preserve">Micro </v>
      </c>
      <c r="R92" t="str">
        <f>+Q92&amp;"e "&amp;Q93&amp;R90&amp;" representam cerca de "</f>
        <v xml:space="preserve">Micro e Pequenas empresas representam cerca de </v>
      </c>
      <c r="W92" t="str">
        <f>+LEFT($B$105,FIND(" ",$B$90,1))</f>
        <v xml:space="preserve">Micro </v>
      </c>
      <c r="X92" t="str">
        <f>+W92&amp;"e "&amp;W93&amp;X90&amp;" representam cerca de "</f>
        <v xml:space="preserve">Micro e Pequenos estabelecimentos representam cerca de </v>
      </c>
    </row>
    <row r="93" spans="1:27">
      <c r="B93" s="456" t="str">
        <f t="shared" si="24"/>
        <v>Grandes (250 ou + pessoas)</v>
      </c>
      <c r="C93" s="456"/>
      <c r="D93">
        <f>+'q2'!$B$14+'q2'!$B$15+'q2'!$B$16</f>
        <v>798</v>
      </c>
      <c r="E93">
        <f>+'q2'!$C$14+'q2'!$C$15+'q2'!$C$16</f>
        <v>813</v>
      </c>
      <c r="F93">
        <f>+'q2'!$D$14+'q2'!$D$15+'q2'!$D$16</f>
        <v>847</v>
      </c>
      <c r="G93">
        <f>+'q2'!$E$14+'q2'!$E$15+'q2'!$E$16</f>
        <v>902</v>
      </c>
      <c r="H93">
        <f>+'q2'!$F$14+'q2'!$F$15+'q2'!$F$16</f>
        <v>958</v>
      </c>
      <c r="I93">
        <f>+'q2'!$G$14+'q2'!$G$15+'q2'!$G$16</f>
        <v>1011</v>
      </c>
      <c r="J93">
        <f>+'q2'!$H$14+'q2'!$H$15+'q2'!$H$16</f>
        <v>1055</v>
      </c>
      <c r="K93">
        <f>+'q2'!$I$14+'q2'!$I$15+'q2'!$I$16</f>
        <v>1019</v>
      </c>
      <c r="L93">
        <f>+'q2'!$J$14+'q2'!$J$15+'q2'!$J$16</f>
        <v>1033</v>
      </c>
      <c r="M93">
        <f>+'q2'!$K$14+'q2'!$K$15+'q2'!$K$16</f>
        <v>1136</v>
      </c>
      <c r="N93">
        <f>+'q2'!$L$14+'q2'!$L$15+'q2'!$L$16</f>
        <v>1230</v>
      </c>
      <c r="Q93" t="str">
        <f>+LEFT($B$91,FIND(" ",$B$91,1))</f>
        <v xml:space="preserve">Pequenas </v>
      </c>
      <c r="R93" t="str">
        <f>+TEXT($P$100,"##.###%")</f>
        <v>97%</v>
      </c>
      <c r="S93" t="s">
        <v>489</v>
      </c>
      <c r="W93" t="str">
        <f>+LEFT($B$106,FIND(" ",$B$91,1))</f>
        <v xml:space="preserve">Pequenos </v>
      </c>
      <c r="X93" t="str">
        <f>+TEXT(P115,"##.###%")</f>
        <v>97%</v>
      </c>
      <c r="Y93" t="s">
        <v>489</v>
      </c>
    </row>
    <row r="94" spans="1:27">
      <c r="R94" t="str">
        <f>+$Q$92&amp;$R$90&amp;" "&amp;$Q$95&amp;": entre "</f>
        <v xml:space="preserve">Micro empresas (1-9 pessoas): entre </v>
      </c>
      <c r="X94" t="str">
        <f>+$W$92&amp;$X$90&amp;" "&amp;$W$95&amp;": entre "</f>
        <v xml:space="preserve">Micro estabelecimentos (1-9 pessoas): entre </v>
      </c>
    </row>
    <row r="95" spans="1:27">
      <c r="D95" s="470">
        <f>+D90/$AT$4</f>
        <v>0.85104942450914012</v>
      </c>
      <c r="E95" s="470">
        <f>+E90/$AU$4</f>
        <v>0.84921959723296603</v>
      </c>
      <c r="F95" s="470">
        <f>+F90/$AV$4</f>
        <v>0.84600454112649237</v>
      </c>
      <c r="G95" s="470">
        <f>+G90/$AW$4</f>
        <v>0.84325014837224788</v>
      </c>
      <c r="H95" s="470">
        <f>+H90/$AX$4</f>
        <v>0.83774190428774564</v>
      </c>
      <c r="I95" s="470">
        <f>+I90/$AY$4</f>
        <v>0.83284910500432263</v>
      </c>
      <c r="J95" s="470">
        <f>+J90/$AZ$4</f>
        <v>0.82655366616984161</v>
      </c>
      <c r="K95" s="470">
        <f>+K90/$BA$4</f>
        <v>0.82855918254148342</v>
      </c>
      <c r="L95" s="470">
        <f>+L90/$BB$4</f>
        <v>0.82522460872828418</v>
      </c>
      <c r="M95" s="470">
        <f>+M90/$BC$4</f>
        <v>0.82069437618479257</v>
      </c>
      <c r="N95" s="470">
        <f>+N90/$BD$4</f>
        <v>0.816324008075481</v>
      </c>
      <c r="Q95" t="str">
        <f>+RIGHT($B$90,13)</f>
        <v>(1-9 pessoas)</v>
      </c>
      <c r="R95">
        <f>+SMALL($D$95:$N$95,1)</f>
        <v>0.816324008075481</v>
      </c>
      <c r="S95" t="str">
        <f>+TEXT(R95,"##.###,0%")</f>
        <v>81,6%</v>
      </c>
      <c r="T95">
        <f>+HLOOKUP(R95,$D$95:$N$104,10,0)</f>
        <v>2023</v>
      </c>
      <c r="U95" s="456" t="s">
        <v>840</v>
      </c>
      <c r="W95" t="str">
        <f>+RIGHT($B$105,13)</f>
        <v>(1-9 pessoas)</v>
      </c>
      <c r="X95">
        <f>+SMALL($D$110:$N$110,1)</f>
        <v>0.81329694092207161</v>
      </c>
      <c r="Y95" t="str">
        <f>+TEXT(X95,"##.###,0%")</f>
        <v>81,3%</v>
      </c>
      <c r="Z95">
        <f>+HLOOKUP(X95,$D$110:$N$117,8,0)</f>
        <v>2023</v>
      </c>
      <c r="AA95" s="456" t="s">
        <v>840</v>
      </c>
    </row>
    <row r="96" spans="1:27">
      <c r="D96" s="470">
        <f>+D91/$AT$4</f>
        <v>0.12014218009478674</v>
      </c>
      <c r="E96" s="470">
        <f>+E91/$AU$4</f>
        <v>0.12199599527724007</v>
      </c>
      <c r="F96" s="470">
        <f>+F91/$AV$4</f>
        <v>0.12504943968358603</v>
      </c>
      <c r="G96" s="470">
        <f>+G91/$AW$4</f>
        <v>0.12700664418163657</v>
      </c>
      <c r="H96" s="470">
        <f>+H91/$AX$4</f>
        <v>0.1316697171470427</v>
      </c>
      <c r="I96" s="470">
        <f>+I91/$AY$4</f>
        <v>0.1357232953981774</v>
      </c>
      <c r="J96" s="470">
        <f>+J91/$AZ$4</f>
        <v>0.14056159361162787</v>
      </c>
      <c r="K96" s="470">
        <f>+K91/$BA$4</f>
        <v>0.13771020850666868</v>
      </c>
      <c r="L96" s="470">
        <f>+L91/$BB$4</f>
        <v>0.14071801211157958</v>
      </c>
      <c r="M96" s="470">
        <f>+M91/$BC$4</f>
        <v>0.1441760864986309</v>
      </c>
      <c r="N96" s="470">
        <f>+N91/$BD$4</f>
        <v>0.14774834164228914</v>
      </c>
      <c r="Q96" t="str">
        <f>+RIGHT($B$91,17)</f>
        <v>(10 - 49 pessoas)</v>
      </c>
      <c r="R96">
        <f>+LARGE($D$95:$N$95,1)</f>
        <v>0.85104942450914012</v>
      </c>
      <c r="S96" t="str">
        <f>+TEXT(R96,"##.###,0%")</f>
        <v>85,1%</v>
      </c>
      <c r="T96">
        <f>+HLOOKUP(R96,$D$95:$N$104,10,0)</f>
        <v>2013</v>
      </c>
      <c r="U96" t="s">
        <v>488</v>
      </c>
      <c r="W96" t="str">
        <f>+RIGHT($B$106,17)</f>
        <v>(10 - 49 pessoas)</v>
      </c>
      <c r="X96">
        <f>+LARGE($D$110:$N$110,1)</f>
        <v>0.85302368681611618</v>
      </c>
      <c r="Y96" t="str">
        <f>+TEXT(X96,"##.###,0%")</f>
        <v>85,3%</v>
      </c>
      <c r="Z96">
        <f>+HLOOKUP(X96,$D$110:$N$117,8,0)</f>
        <v>2013</v>
      </c>
      <c r="AA96" t="s">
        <v>488</v>
      </c>
    </row>
    <row r="97" spans="1:27">
      <c r="D97" s="470">
        <f>+D92/$AT$4</f>
        <v>2.0461897239148423E-2</v>
      </c>
      <c r="E97" s="470">
        <f>+E92/$AU$4</f>
        <v>2.0712041187204135E-2</v>
      </c>
      <c r="F97" s="470">
        <f>+F92/$AV$4</f>
        <v>2.1053980810078372E-2</v>
      </c>
      <c r="G97" s="470">
        <f>+G92/$AW$4</f>
        <v>2.1644254013288362E-2</v>
      </c>
      <c r="H97" s="470">
        <f>+H92/$AX$4</f>
        <v>2.2461325759068163E-2</v>
      </c>
      <c r="I97" s="470">
        <f>+I92/$AY$4</f>
        <v>2.3242959792514065E-2</v>
      </c>
      <c r="J97" s="470">
        <f>+J92/$AZ$4</f>
        <v>2.4221127031270967E-2</v>
      </c>
      <c r="K97" s="470">
        <f>+K92/$BA$4</f>
        <v>2.364924488818294E-2</v>
      </c>
      <c r="L97" s="470">
        <f>+L92/$BB$4</f>
        <v>2.4752948794360685E-2</v>
      </c>
      <c r="M97" s="470">
        <f>+M92/$BC$4</f>
        <v>2.5795127431018746E-2</v>
      </c>
      <c r="N97" s="470">
        <f>+N92/$BD$4</f>
        <v>2.6492521939763505E-2</v>
      </c>
      <c r="R97" t="str">
        <f>+$Q$93&amp;$R$90&amp;" "&amp;$Q$96&amp;": entre "</f>
        <v xml:space="preserve">Pequenas empresas (10 - 49 pessoas): entre </v>
      </c>
      <c r="X97" t="str">
        <f>+$W$93&amp;$X$90&amp;" "&amp;$W$96&amp;": entre "</f>
        <v xml:space="preserve">Pequenos estabelecimentos (10 - 49 pessoas): entre </v>
      </c>
    </row>
    <row r="98" spans="1:27">
      <c r="D98" s="470">
        <f>+D93/$AT$4</f>
        <v>3.0015797788309636E-3</v>
      </c>
      <c r="E98" s="470">
        <f>+E93/$AU$4</f>
        <v>3.0090939037163977E-3</v>
      </c>
      <c r="F98" s="470">
        <f>+F93/$AV$4</f>
        <v>3.1018823701750532E-3</v>
      </c>
      <c r="G98" s="470">
        <f>+G93/$AW$4</f>
        <v>3.2641894532663609E-3</v>
      </c>
      <c r="H98" s="470">
        <f>+H93/$AX$4</f>
        <v>3.4313427008750281E-3</v>
      </c>
      <c r="I98" s="470">
        <f>+I93/$AY$4</f>
        <v>3.5821085899743477E-3</v>
      </c>
      <c r="J98" s="470">
        <f>+J93/$AZ$4</f>
        <v>3.8259154091916259E-3</v>
      </c>
      <c r="K98" s="470">
        <f>+K93/$BA$4</f>
        <v>3.6702072100302189E-3</v>
      </c>
      <c r="L98" s="470">
        <f>+L93/$BB$4</f>
        <v>3.8005047717857591E-3</v>
      </c>
      <c r="M98" s="470">
        <f>+M93/$BC$4</f>
        <v>3.9879238924383905E-3</v>
      </c>
      <c r="N98" s="470">
        <f>+N93/$BD$4</f>
        <v>4.2231469655143999E-3</v>
      </c>
      <c r="R98">
        <f>+SMALL($D$96:$N$96,1)</f>
        <v>0.12014218009478674</v>
      </c>
      <c r="S98" t="str">
        <f>+TEXT(R98,"##.###,0%")</f>
        <v>12,0%</v>
      </c>
      <c r="T98">
        <f>+HLOOKUP(R98,$D$96:$N$104,9,0)</f>
        <v>2013</v>
      </c>
      <c r="U98" s="456" t="s">
        <v>840</v>
      </c>
      <c r="X98">
        <f>+SMALL($D$111:$N$111,1)</f>
        <v>0.1207919723780751</v>
      </c>
      <c r="Y98" t="str">
        <f>+TEXT(X98,"##.###,0%")</f>
        <v>12,1%</v>
      </c>
      <c r="Z98">
        <f>+HLOOKUP(X98,$D$111:$N$117,7,0)</f>
        <v>2013</v>
      </c>
      <c r="AA98" s="456" t="s">
        <v>840</v>
      </c>
    </row>
    <row r="99" spans="1:27">
      <c r="R99">
        <f>+LARGE($D$96:$N$96,1)</f>
        <v>0.14774834164228914</v>
      </c>
      <c r="S99" t="str">
        <f>+TEXT(R99,"##.###,0%")</f>
        <v>14,8%</v>
      </c>
      <c r="T99">
        <f>+HLOOKUP(R99,$D$96:$N$104,9,0)</f>
        <v>2023</v>
      </c>
      <c r="X99">
        <f>+LARGE($D$111:$N$111,1)</f>
        <v>0.15320362905595186</v>
      </c>
      <c r="Y99" t="str">
        <f>+TEXT(X99,"##.###,0%")</f>
        <v>15,3%</v>
      </c>
      <c r="Z99">
        <f>+HLOOKUP(X99,$D$111:$N$117,7,0)</f>
        <v>2023</v>
      </c>
    </row>
    <row r="100" spans="1:27">
      <c r="D100" s="470">
        <f>+D95+D96</f>
        <v>0.97119160460392684</v>
      </c>
      <c r="E100" s="470">
        <f t="shared" ref="E100:N100" si="25">+E95+E96</f>
        <v>0.97121559251020606</v>
      </c>
      <c r="F100" s="470">
        <f t="shared" si="25"/>
        <v>0.97105398081007843</v>
      </c>
      <c r="G100" s="470">
        <f t="shared" si="25"/>
        <v>0.97025679255388442</v>
      </c>
      <c r="H100" s="470">
        <f t="shared" si="25"/>
        <v>0.96941162143478832</v>
      </c>
      <c r="I100" s="470">
        <f t="shared" si="25"/>
        <v>0.96857240040250003</v>
      </c>
      <c r="J100" s="470">
        <f t="shared" si="25"/>
        <v>0.96711525978146951</v>
      </c>
      <c r="K100" s="470">
        <f t="shared" si="25"/>
        <v>0.96626939104815213</v>
      </c>
      <c r="L100" s="470">
        <f t="shared" si="25"/>
        <v>0.96594262083986382</v>
      </c>
      <c r="M100" s="470">
        <f t="shared" si="25"/>
        <v>0.96487046268342347</v>
      </c>
      <c r="N100" s="470">
        <f t="shared" si="25"/>
        <v>0.96407234971777012</v>
      </c>
      <c r="O100" s="495">
        <f>+(N100-D100)*100</f>
        <v>-0.71192548861567229</v>
      </c>
      <c r="P100" s="604">
        <f>+AVERAGE(D100:N100)</f>
        <v>0.96817927967146034</v>
      </c>
    </row>
    <row r="103" spans="1:27">
      <c r="R103" t="s">
        <v>226</v>
      </c>
    </row>
    <row r="104" spans="1:27">
      <c r="A104" s="456" t="s">
        <v>211</v>
      </c>
      <c r="D104" s="457">
        <f>+D89</f>
        <v>2013</v>
      </c>
      <c r="E104" s="457">
        <f t="shared" ref="E104:N104" si="26">+E89</f>
        <v>2014</v>
      </c>
      <c r="F104" s="457">
        <f t="shared" si="26"/>
        <v>2015</v>
      </c>
      <c r="G104" s="457">
        <f t="shared" si="26"/>
        <v>2016</v>
      </c>
      <c r="H104" s="457">
        <f t="shared" si="26"/>
        <v>2017</v>
      </c>
      <c r="I104" s="457">
        <f t="shared" si="26"/>
        <v>2018</v>
      </c>
      <c r="J104" s="457">
        <f t="shared" si="26"/>
        <v>2019</v>
      </c>
      <c r="K104" s="457">
        <f t="shared" si="26"/>
        <v>2020</v>
      </c>
      <c r="L104" s="457">
        <f t="shared" si="26"/>
        <v>2021</v>
      </c>
      <c r="M104" s="457">
        <f t="shared" si="26"/>
        <v>2022</v>
      </c>
      <c r="N104" s="457">
        <f t="shared" si="26"/>
        <v>2023</v>
      </c>
      <c r="R104" t="str">
        <f>+$R$91&amp;CHAR(10)&amp;$R$92&amp;$R$93&amp;$S$93&amp;CHAR(10)&amp;$R$94&amp;$S$95&amp;" ("&amp;$T$95&amp;") "&amp;$U$95&amp;$S$96&amp;" ("&amp;$T$96&amp;") "&amp;$U$96&amp;CHAR(10)&amp;$R$97&amp;$S$97&amp;$S$98&amp;" ("&amp;$T$98&amp;") "&amp;$U$98&amp;$S$99&amp;" ("&amp;$T$99&amp;")."</f>
        <v>Entre 2013 e 2023:
Micro e Pequenas empresas representam cerca de 97% das estruturas;
Micro empresas (1-9 pessoas): entre 81,6% (2023) e 85,1% (2013) ;
Pequenas empresas (10 - 49 pessoas): entre 12,0% (2013) e 14,8% (2023).</v>
      </c>
    </row>
    <row r="105" spans="1:27">
      <c r="B105" s="456" t="str">
        <f>+B51</f>
        <v>Micro (1-9 pessoas)</v>
      </c>
      <c r="C105" s="456"/>
      <c r="D105">
        <f>+'q6'!$B$6+'q6'!$B$7</f>
        <v>268798</v>
      </c>
      <c r="E105">
        <f>+'q6'!$C$6+'q6'!$C$7</f>
        <v>271147</v>
      </c>
      <c r="F105">
        <f>+'q6'!$D$6+'q6'!$D$7</f>
        <v>272301</v>
      </c>
      <c r="G105">
        <f>+'q6'!$E$6+'q6'!$E$7</f>
        <v>273993</v>
      </c>
      <c r="H105">
        <f>+'q6'!$F$6+'q6'!$F$7</f>
        <v>274084</v>
      </c>
      <c r="I105">
        <f>+'q6'!$G$6+'q6'!$G$7</f>
        <v>275129</v>
      </c>
      <c r="J105">
        <f>+'q6'!$H$6+'q6'!$H$7</f>
        <v>266320</v>
      </c>
      <c r="K105">
        <f>+'q6'!$I$6+'q6'!$I$7</f>
        <v>268913</v>
      </c>
      <c r="L105">
        <f>+'q6'!$J$6+'q6'!$J$7</f>
        <v>262011</v>
      </c>
      <c r="M105">
        <f>+'q6'!$K$6+'q6'!$K$7</f>
        <v>272062</v>
      </c>
      <c r="N105">
        <f>+'q6'!$L$6+'q6'!$L$7</f>
        <v>276817</v>
      </c>
    </row>
    <row r="106" spans="1:27">
      <c r="B106" s="456" t="str">
        <f t="shared" ref="B106:B108" si="27">+B52</f>
        <v>Pequenos (10 - 49 pessoas)</v>
      </c>
      <c r="C106" s="456"/>
      <c r="D106">
        <f>+'q6'!$B$8+'q6'!$B$9</f>
        <v>38063</v>
      </c>
      <c r="E106">
        <f>+'q6'!$C$8+'q6'!$C$9</f>
        <v>39365</v>
      </c>
      <c r="F106">
        <f>+'q6'!$D$8+'q6'!$D$9</f>
        <v>40661</v>
      </c>
      <c r="G106">
        <f>+'q6'!$E$8+'q6'!$E$9</f>
        <v>42031</v>
      </c>
      <c r="H106">
        <f>+'q6'!$F$8+'q6'!$F$9</f>
        <v>43973</v>
      </c>
      <c r="I106">
        <f>+'q6'!$G$8+'q6'!$G$9</f>
        <v>45897</v>
      </c>
      <c r="J106">
        <f>+'q6'!$H$8+'q6'!$H$9</f>
        <v>46757</v>
      </c>
      <c r="K106">
        <f>+'q6'!$I$8+'q6'!$I$9</f>
        <v>45757</v>
      </c>
      <c r="L106">
        <f>+'q6'!$J$8+'q6'!$J$9</f>
        <v>46152</v>
      </c>
      <c r="M106">
        <f>+'q6'!$K$8+'q6'!$K$9</f>
        <v>49721</v>
      </c>
      <c r="N106">
        <f>+'q6'!$L$8+'q6'!$L$9</f>
        <v>52145</v>
      </c>
      <c r="R106" t="s">
        <v>211</v>
      </c>
    </row>
    <row r="107" spans="1:27">
      <c r="B107" s="456" t="str">
        <f t="shared" si="27"/>
        <v>Médios (50 - 249 pessoas)</v>
      </c>
      <c r="C107" s="456"/>
      <c r="D107">
        <f>+'q6'!$B$10+'q6'!$B$11+'q6'!$B$12+'q6'!$B$13</f>
        <v>5864</v>
      </c>
      <c r="E107">
        <f>+'q6'!$C$10+'q6'!$C$11+'q6'!$C$12+'q6'!$C$13</f>
        <v>6032</v>
      </c>
      <c r="F107">
        <f>+'q6'!$D$10+'q6'!$D$11+'q6'!$D$12+'q6'!$D$13</f>
        <v>6244</v>
      </c>
      <c r="G107">
        <f>+'q6'!$E$10+'q6'!$E$11+'q6'!$E$12+'q6'!$E$13</f>
        <v>6541</v>
      </c>
      <c r="H107">
        <f>+'q6'!$F$10+'q6'!$F$11+'q6'!$F$12+'q6'!$F$13</f>
        <v>6822</v>
      </c>
      <c r="I107">
        <f>+'q6'!$G$10+'q6'!$G$11+'q6'!$G$12+'q6'!$G$13</f>
        <v>7206</v>
      </c>
      <c r="J107">
        <f>+'q6'!$H$10+'q6'!$H$11+'q6'!$H$12+'q6'!$H$13</f>
        <v>7384</v>
      </c>
      <c r="K107">
        <f>+'q6'!$I$10+'q6'!$I$11+'q6'!$I$12+'q6'!$I$13</f>
        <v>7265</v>
      </c>
      <c r="L107">
        <f>+'q6'!$J$10+'q6'!$J$11+'q6'!$J$12+'q6'!$J$13</f>
        <v>7437</v>
      </c>
      <c r="M107">
        <f>+'q6'!$K$10+'q6'!$K$11+'q6'!$K$12+'q6'!$K$13</f>
        <v>8143</v>
      </c>
      <c r="N107">
        <f>+'q6'!$L$10+'q6'!$L$11+'q6'!$L$12+'q6'!$L$13</f>
        <v>8569</v>
      </c>
      <c r="R107" t="str">
        <f>+$X$91&amp;CHAR(10)&amp;$X$92&amp;$X$93&amp;$Y$93&amp;CHAR(10)&amp;$X$94&amp;$Y$95&amp;" ("&amp;$Z$95&amp;") "&amp;$AA$95&amp;$Y$96&amp;" ("&amp;$Z$96&amp;") "&amp;$AA$96&amp;CHAR(10)&amp;$X$97&amp;$Y$98&amp;" ("&amp;$Z$98&amp;") "&amp;$AA$98&amp;$Y$99&amp;" ("&amp;$Z$99&amp;")."</f>
        <v>Entre 2013 e 2023:
Micro e Pequenos estabelecimentos representam cerca de 97% das estruturas;
Micro estabelecimentos (1-9 pessoas): entre 81,3% (2023) e 85,3% (2013) ;
Pequenos estabelecimentos (10 - 49 pessoas): entre 12,1% (2013) e 15,3% (2023).</v>
      </c>
    </row>
    <row r="108" spans="1:27">
      <c r="B108" s="456" t="str">
        <f t="shared" si="27"/>
        <v>Grandes (250 ou + pessoas)</v>
      </c>
      <c r="C108" s="456"/>
      <c r="D108">
        <f>+'q6'!$B$14+'q6'!$B$15+'q6'!$B$16</f>
        <v>714</v>
      </c>
      <c r="E108">
        <f>+'q6'!$C$14+'q6'!$C$15+'q6'!$C$16</f>
        <v>722</v>
      </c>
      <c r="F108">
        <f>+'q6'!$D$14+'q6'!$D$15+'q6'!$D$16</f>
        <v>759</v>
      </c>
      <c r="G108">
        <f>+'q6'!$E$14+'q6'!$E$15+'q6'!$E$16</f>
        <v>804</v>
      </c>
      <c r="H108">
        <f>+'q6'!$F$14+'q6'!$F$15+'q6'!$F$16</f>
        <v>855</v>
      </c>
      <c r="I108">
        <f>+'q6'!$G$14+'q6'!$G$15+'q6'!$G$16</f>
        <v>904</v>
      </c>
      <c r="J108">
        <f>+'q6'!$H$14+'q6'!$H$15+'q6'!$H$16</f>
        <v>940</v>
      </c>
      <c r="K108">
        <f>+'q6'!$I$14+'q6'!$I$15+'q6'!$I$16</f>
        <v>922</v>
      </c>
      <c r="L108">
        <f>+'q6'!$J$14+'q6'!$J$15+'q6'!$J$16</f>
        <v>937</v>
      </c>
      <c r="M108">
        <f>+'q6'!$K$14+'q6'!$K$15+'q6'!$K$16</f>
        <v>1017</v>
      </c>
      <c r="N108">
        <f>+'q6'!$L$14+'q6'!$L$15+'q6'!$L$16</f>
        <v>1103</v>
      </c>
    </row>
    <row r="110" spans="1:27">
      <c r="D110" s="470">
        <f>+D105/$AT$5</f>
        <v>0.85302368681611618</v>
      </c>
      <c r="E110" s="470">
        <f>+E105/$AU$5</f>
        <v>0.85029446259791897</v>
      </c>
      <c r="F110" s="470">
        <f>+F105/$AV$5</f>
        <v>0.84697045101088642</v>
      </c>
      <c r="G110" s="470">
        <f>+G105/$AW$5</f>
        <v>0.84322921956218666</v>
      </c>
      <c r="H110" s="470">
        <f>+H105/$AX$5</f>
        <v>0.83742189767640818</v>
      </c>
      <c r="I110" s="470">
        <f>+I105/$AY$5</f>
        <v>0.83203999177422672</v>
      </c>
      <c r="J110" s="470">
        <f>+J105/$AZ$5</f>
        <v>0.82457628692975993</v>
      </c>
      <c r="K110" s="470">
        <f>+K105/$BA$5</f>
        <v>0.82752901135220136</v>
      </c>
      <c r="L110" s="470">
        <f>+L105/$BB$5</f>
        <v>0.823276376730536</v>
      </c>
      <c r="M110" s="470">
        <f>+M105/$BC$5</f>
        <v>0.8177814916902878</v>
      </c>
      <c r="N110" s="470">
        <f>+N105/$BD$5</f>
        <v>0.81329694092207161</v>
      </c>
      <c r="R110" t="str">
        <f>+IF($Q$3=1,$R$104,$R$107)</f>
        <v>Entre 2013 e 2023:
Micro e Pequenos estabelecimentos representam cerca de 97% das estruturas;
Micro estabelecimentos (1-9 pessoas): entre 81,3% (2023) e 85,3% (2013) ;
Pequenos estabelecimentos (10 - 49 pessoas): entre 12,1% (2013) e 15,3% (2023).</v>
      </c>
    </row>
    <row r="111" spans="1:27">
      <c r="D111" s="470">
        <f>+D106/$AT$5</f>
        <v>0.1207919723780751</v>
      </c>
      <c r="E111" s="470">
        <f>+E106/$AU$5</f>
        <v>0.1234453691914979</v>
      </c>
      <c r="F111" s="470">
        <f>+F106/$AV$5</f>
        <v>0.12647278382581648</v>
      </c>
      <c r="G111" s="470">
        <f>+G106/$AW$5</f>
        <v>0.12935282042759585</v>
      </c>
      <c r="H111" s="470">
        <f>+H106/$AX$5</f>
        <v>0.13435280098993263</v>
      </c>
      <c r="I111" s="470">
        <f>+I106/$AY$5</f>
        <v>0.13880085160946931</v>
      </c>
      <c r="J111" s="470">
        <f>+J106/$AZ$5</f>
        <v>0.1447683743165169</v>
      </c>
      <c r="K111" s="470">
        <f>+K106/$BA$5</f>
        <v>0.1408085327687493</v>
      </c>
      <c r="L111" s="470">
        <f>+L106/$BB$5</f>
        <v>0.14501624488616011</v>
      </c>
      <c r="M111" s="470">
        <f>+M106/$BC$5</f>
        <v>0.14945458589708521</v>
      </c>
      <c r="N111" s="470">
        <f>+N106/$BD$5</f>
        <v>0.15320362905595186</v>
      </c>
    </row>
    <row r="112" spans="1:27">
      <c r="D112" s="470">
        <f>+D107/$AT$5</f>
        <v>1.8609256391378302E-2</v>
      </c>
      <c r="E112" s="470">
        <f>+E107/$AU$5</f>
        <v>1.8915850805617054E-2</v>
      </c>
      <c r="F112" s="470">
        <f>+F107/$AV$5</f>
        <v>1.9421461897356142E-2</v>
      </c>
      <c r="G112" s="470">
        <f>+G107/$AW$5</f>
        <v>2.0130303785703515E-2</v>
      </c>
      <c r="H112" s="470">
        <f>+H107/$AX$5</f>
        <v>2.0843581478482715E-2</v>
      </c>
      <c r="I112" s="470">
        <f>+I107/$AY$5</f>
        <v>2.1792250837698236E-2</v>
      </c>
      <c r="J112" s="470">
        <f>+J107/$AZ$5</f>
        <v>2.286223829486838E-2</v>
      </c>
      <c r="K112" s="470">
        <f>+K107/$BA$5</f>
        <v>2.235666653331651E-2</v>
      </c>
      <c r="L112" s="470">
        <f>+L107/$BB$5</f>
        <v>2.3368127344825202E-2</v>
      </c>
      <c r="M112" s="470">
        <f>+M107/$BC$5</f>
        <v>2.4476754147341462E-2</v>
      </c>
      <c r="N112" s="470">
        <f>+N107/$BD$5</f>
        <v>2.5175988059841815E-2</v>
      </c>
    </row>
    <row r="113" spans="4:24">
      <c r="D113" s="470">
        <f>+D108/$AT$5</f>
        <v>2.2658610271903325E-3</v>
      </c>
      <c r="E113" s="470">
        <f>+E108/$AU$5</f>
        <v>2.2641320095582746E-3</v>
      </c>
      <c r="F113" s="470">
        <f>+F108/$AV$5</f>
        <v>2.3608087091757388E-3</v>
      </c>
      <c r="G113" s="470">
        <f>+G108/$AW$5</f>
        <v>2.4743562519042388E-3</v>
      </c>
      <c r="H113" s="470">
        <f>+H108/$AX$5</f>
        <v>2.6123222169602348E-3</v>
      </c>
      <c r="I113" s="470">
        <f>+I108/$AY$5</f>
        <v>2.7338599441131288E-3</v>
      </c>
      <c r="J113" s="470">
        <f>+J108/$AZ$5</f>
        <v>2.9104149508635264E-3</v>
      </c>
      <c r="K113" s="470">
        <f>+K108/$BA$5</f>
        <v>2.837281010835213E-3</v>
      </c>
      <c r="L113" s="470">
        <f>+L108/$BB$5</f>
        <v>2.9441892324998274E-3</v>
      </c>
      <c r="M113" s="470">
        <f>+M108/$BC$5</f>
        <v>3.0569641370313482E-3</v>
      </c>
      <c r="N113" s="470">
        <f>+N108/$BD$5</f>
        <v>3.2406482471706759E-3</v>
      </c>
      <c r="X113" s="603" t="s">
        <v>484</v>
      </c>
    </row>
    <row r="114" spans="4:24">
      <c r="X114" s="603" t="s">
        <v>491</v>
      </c>
    </row>
    <row r="115" spans="4:24">
      <c r="D115" s="470">
        <f>+D110+D111</f>
        <v>0.97381565919419133</v>
      </c>
      <c r="E115" s="470">
        <f t="shared" ref="E115:N115" si="28">+E110+E111</f>
        <v>0.97373983178941681</v>
      </c>
      <c r="F115" s="470">
        <f t="shared" si="28"/>
        <v>0.97344323483670292</v>
      </c>
      <c r="G115" s="470">
        <f t="shared" si="28"/>
        <v>0.97258203998978254</v>
      </c>
      <c r="H115" s="470">
        <f t="shared" si="28"/>
        <v>0.97177469866634081</v>
      </c>
      <c r="I115" s="470">
        <f t="shared" si="28"/>
        <v>0.97084084338369603</v>
      </c>
      <c r="J115" s="470">
        <f t="shared" si="28"/>
        <v>0.96934466124627683</v>
      </c>
      <c r="K115" s="470">
        <f t="shared" si="28"/>
        <v>0.96833754412095063</v>
      </c>
      <c r="L115" s="470">
        <f t="shared" si="28"/>
        <v>0.96829262161669605</v>
      </c>
      <c r="M115" s="470">
        <f t="shared" si="28"/>
        <v>0.96723607758737296</v>
      </c>
      <c r="N115" s="470">
        <f t="shared" si="28"/>
        <v>0.96650056997802347</v>
      </c>
      <c r="O115" s="495">
        <f>+(N115-D115)*100</f>
        <v>-0.73150892161678582</v>
      </c>
      <c r="P115" s="604">
        <f>+AVERAGE(D115:N115)</f>
        <v>0.97053707112813192</v>
      </c>
    </row>
    <row r="117" spans="4:24">
      <c r="D117" s="457">
        <f>+D104</f>
        <v>2013</v>
      </c>
      <c r="E117" s="457">
        <f t="shared" ref="E117:N117" si="29">+E104</f>
        <v>2014</v>
      </c>
      <c r="F117" s="457">
        <f t="shared" si="29"/>
        <v>2015</v>
      </c>
      <c r="G117" s="457">
        <f t="shared" si="29"/>
        <v>2016</v>
      </c>
      <c r="H117" s="457">
        <f t="shared" si="29"/>
        <v>2017</v>
      </c>
      <c r="I117" s="457">
        <f t="shared" si="29"/>
        <v>2018</v>
      </c>
      <c r="J117" s="457">
        <f t="shared" si="29"/>
        <v>2019</v>
      </c>
      <c r="K117" s="457">
        <f t="shared" si="29"/>
        <v>2020</v>
      </c>
      <c r="L117" s="457">
        <f t="shared" si="29"/>
        <v>2021</v>
      </c>
      <c r="M117" s="457">
        <f t="shared" si="29"/>
        <v>2022</v>
      </c>
      <c r="N117" s="457">
        <f t="shared" si="29"/>
        <v>2023</v>
      </c>
    </row>
  </sheetData>
  <mergeCells count="2">
    <mergeCell ref="Y69:Z69"/>
    <mergeCell ref="Y78:Z78"/>
  </mergeCells>
  <conditionalFormatting sqref="BC3 BC5">
    <cfRule type="cellIs" dxfId="1297" priority="56" operator="equal">
      <formula>0</formula>
    </cfRule>
  </conditionalFormatting>
  <conditionalFormatting sqref="BD3:BE3 BD5:BE5">
    <cfRule type="cellIs" dxfId="1296" priority="55" operator="equal">
      <formula>0</formula>
    </cfRule>
  </conditionalFormatting>
  <conditionalFormatting sqref="AT3:BE3">
    <cfRule type="cellIs" dxfId="1295" priority="54" operator="equal">
      <formula>0</formula>
    </cfRule>
  </conditionalFormatting>
  <conditionalFormatting sqref="AT4:BE4">
    <cfRule type="cellIs" dxfId="1294" priority="53" operator="equal">
      <formula>0</formula>
    </cfRule>
  </conditionalFormatting>
  <conditionalFormatting sqref="B69:B74">
    <cfRule type="cellIs" dxfId="1293" priority="52" operator="equal">
      <formula>0</formula>
    </cfRule>
  </conditionalFormatting>
  <conditionalFormatting sqref="D69">
    <cfRule type="cellIs" dxfId="1292" priority="51" operator="equal">
      <formula>0</formula>
    </cfRule>
  </conditionalFormatting>
  <conditionalFormatting sqref="F69">
    <cfRule type="cellIs" dxfId="1291" priority="50" operator="equal">
      <formula>0</formula>
    </cfRule>
  </conditionalFormatting>
  <conditionalFormatting sqref="H69">
    <cfRule type="cellIs" dxfId="1290" priority="49" operator="equal">
      <formula>0</formula>
    </cfRule>
  </conditionalFormatting>
  <conditionalFormatting sqref="J69">
    <cfRule type="cellIs" dxfId="1289" priority="48" operator="equal">
      <formula>0</formula>
    </cfRule>
  </conditionalFormatting>
  <conditionalFormatting sqref="L69">
    <cfRule type="cellIs" dxfId="1288" priority="47" operator="equal">
      <formula>0</formula>
    </cfRule>
  </conditionalFormatting>
  <conditionalFormatting sqref="N69">
    <cfRule type="cellIs" dxfId="1287" priority="46" operator="equal">
      <formula>0</formula>
    </cfRule>
  </conditionalFormatting>
  <conditionalFormatting sqref="P69">
    <cfRule type="cellIs" dxfId="1286" priority="45" operator="equal">
      <formula>0</formula>
    </cfRule>
  </conditionalFormatting>
  <conditionalFormatting sqref="R69">
    <cfRule type="cellIs" dxfId="1285" priority="44" operator="equal">
      <formula>0</formula>
    </cfRule>
  </conditionalFormatting>
  <conditionalFormatting sqref="T69">
    <cfRule type="cellIs" dxfId="1284" priority="43" operator="equal">
      <formula>0</formula>
    </cfRule>
  </conditionalFormatting>
  <conditionalFormatting sqref="V69">
    <cfRule type="cellIs" dxfId="1283" priority="42" operator="equal">
      <formula>0</formula>
    </cfRule>
  </conditionalFormatting>
  <conditionalFormatting sqref="D70:D74">
    <cfRule type="cellIs" dxfId="1282" priority="41" operator="equal">
      <formula>0</formula>
    </cfRule>
  </conditionalFormatting>
  <conditionalFormatting sqref="F70:F74">
    <cfRule type="cellIs" dxfId="1281" priority="40" operator="equal">
      <formula>0</formula>
    </cfRule>
  </conditionalFormatting>
  <conditionalFormatting sqref="H70:H74">
    <cfRule type="cellIs" dxfId="1280" priority="39" operator="equal">
      <formula>0</formula>
    </cfRule>
  </conditionalFormatting>
  <conditionalFormatting sqref="J70:J74">
    <cfRule type="cellIs" dxfId="1279" priority="38" operator="equal">
      <formula>0</formula>
    </cfRule>
  </conditionalFormatting>
  <conditionalFormatting sqref="L70:L74">
    <cfRule type="cellIs" dxfId="1278" priority="37" operator="equal">
      <formula>0</formula>
    </cfRule>
  </conditionalFormatting>
  <conditionalFormatting sqref="N70:N74">
    <cfRule type="cellIs" dxfId="1277" priority="36" operator="equal">
      <formula>0</formula>
    </cfRule>
  </conditionalFormatting>
  <conditionalFormatting sqref="P70:P74">
    <cfRule type="cellIs" dxfId="1276" priority="35" operator="equal">
      <formula>0</formula>
    </cfRule>
  </conditionalFormatting>
  <conditionalFormatting sqref="R70:R74">
    <cfRule type="cellIs" dxfId="1275" priority="34" operator="equal">
      <formula>0</formula>
    </cfRule>
  </conditionalFormatting>
  <conditionalFormatting sqref="T70:T74">
    <cfRule type="cellIs" dxfId="1274" priority="33" operator="equal">
      <formula>0</formula>
    </cfRule>
  </conditionalFormatting>
  <conditionalFormatting sqref="V70:V74">
    <cfRule type="cellIs" dxfId="1273" priority="32" operator="equal">
      <formula>0</formula>
    </cfRule>
  </conditionalFormatting>
  <conditionalFormatting sqref="B78:B83 C78:V78">
    <cfRule type="cellIs" dxfId="1272" priority="31" operator="equal">
      <formula>0</formula>
    </cfRule>
  </conditionalFormatting>
  <conditionalFormatting sqref="D79:D83">
    <cfRule type="cellIs" dxfId="1271" priority="10" operator="equal">
      <formula>0</formula>
    </cfRule>
  </conditionalFormatting>
  <conditionalFormatting sqref="F79:F83">
    <cfRule type="cellIs" dxfId="1270" priority="9" operator="equal">
      <formula>0</formula>
    </cfRule>
  </conditionalFormatting>
  <conditionalFormatting sqref="H79:H83">
    <cfRule type="cellIs" dxfId="1269" priority="8" operator="equal">
      <formula>0</formula>
    </cfRule>
  </conditionalFormatting>
  <conditionalFormatting sqref="J79:J83">
    <cfRule type="cellIs" dxfId="1268" priority="7" operator="equal">
      <formula>0</formula>
    </cfRule>
  </conditionalFormatting>
  <conditionalFormatting sqref="L79:L83">
    <cfRule type="cellIs" dxfId="1267" priority="6" operator="equal">
      <formula>0</formula>
    </cfRule>
  </conditionalFormatting>
  <conditionalFormatting sqref="N79:N83">
    <cfRule type="cellIs" dxfId="1266" priority="5" operator="equal">
      <formula>0</formula>
    </cfRule>
  </conditionalFormatting>
  <conditionalFormatting sqref="P79:P83">
    <cfRule type="cellIs" dxfId="1265" priority="4" operator="equal">
      <formula>0</formula>
    </cfRule>
  </conditionalFormatting>
  <conditionalFormatting sqref="R79:R83">
    <cfRule type="cellIs" dxfId="1264" priority="3" operator="equal">
      <formula>0</formula>
    </cfRule>
  </conditionalFormatting>
  <conditionalFormatting sqref="T79:T83">
    <cfRule type="cellIs" dxfId="1263" priority="2" operator="equal">
      <formula>0</formula>
    </cfRule>
  </conditionalFormatting>
  <conditionalFormatting sqref="V79:V83">
    <cfRule type="cellIs" dxfId="1262" priority="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8" r:id="rId4" name="Drop Down 2">
              <controlPr defaultSize="0" autoLine="0" autoPict="0">
                <anchor moveWithCells="1">
                  <from>
                    <xdr:col>17</xdr:col>
                    <xdr:colOff>304800</xdr:colOff>
                    <xdr:row>1</xdr:row>
                    <xdr:rowOff>152400</xdr:rowOff>
                  </from>
                  <to>
                    <xdr:col>17</xdr:col>
                    <xdr:colOff>1552575</xdr:colOff>
                    <xdr:row>3</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4A219-E0B7-45FD-A866-7E24041C6035}">
  <sheetPr codeName="Folha8">
    <tabColor indexed="24"/>
  </sheetPr>
  <dimension ref="A1:BX118"/>
  <sheetViews>
    <sheetView topLeftCell="L76" workbookViewId="0">
      <selection activeCell="R62" sqref="R62"/>
    </sheetView>
  </sheetViews>
  <sheetFormatPr defaultRowHeight="12.75"/>
  <cols>
    <col min="1" max="1" width="16" bestFit="1" customWidth="1"/>
    <col min="2" max="2" width="25" bestFit="1" customWidth="1"/>
    <col min="18" max="18" width="25" bestFit="1" customWidth="1"/>
    <col min="53" max="53" width="8.140625" customWidth="1"/>
    <col min="54" max="54" width="16" bestFit="1" customWidth="1"/>
    <col min="59" max="60" width="18.28515625" bestFit="1" customWidth="1"/>
  </cols>
  <sheetData>
    <row r="1" spans="1:76">
      <c r="A1" s="456"/>
    </row>
    <row r="2" spans="1:76">
      <c r="A2" s="456" t="s">
        <v>212</v>
      </c>
      <c r="B2">
        <v>1</v>
      </c>
      <c r="AF2" s="603" t="s">
        <v>493</v>
      </c>
    </row>
    <row r="3" spans="1:76" ht="13.5" thickBot="1">
      <c r="A3" s="456" t="s">
        <v>185</v>
      </c>
      <c r="Q3">
        <v>1</v>
      </c>
      <c r="AS3" s="118"/>
      <c r="AT3" s="6">
        <f>+'q1'!$C$4</f>
        <v>2013</v>
      </c>
      <c r="AU3" s="6">
        <f>+'q1'!$D$4</f>
        <v>2014</v>
      </c>
      <c r="AV3" s="6">
        <f>+'q1'!$E$4</f>
        <v>2015</v>
      </c>
      <c r="AW3" s="6">
        <f>+'q1'!$F$4</f>
        <v>2016</v>
      </c>
      <c r="AX3" s="6">
        <f>+'q1'!$G$4</f>
        <v>2017</v>
      </c>
      <c r="AY3" s="6">
        <f>+'q1'!$H$4</f>
        <v>2018</v>
      </c>
      <c r="AZ3" s="6">
        <f>+'q1'!$I$4</f>
        <v>2019</v>
      </c>
      <c r="BA3" s="6">
        <f>+'q1'!$J$4</f>
        <v>2020</v>
      </c>
      <c r="BB3" s="6">
        <f>+'q1'!$K$4</f>
        <v>2021</v>
      </c>
      <c r="BC3" s="6">
        <f>+'q1'!$L$4</f>
        <v>2022</v>
      </c>
      <c r="BD3" s="6">
        <f>+'q1'!$M$4</f>
        <v>2023</v>
      </c>
      <c r="BE3" s="479"/>
      <c r="BF3" s="457" t="str">
        <f>+BD3&amp;"-"&amp;BC3</f>
        <v>2023-2022</v>
      </c>
      <c r="BG3" t="str">
        <f>+"variação "&amp;$BD$3&amp;"/"&amp;$BC$3</f>
        <v>variação 2023/2022</v>
      </c>
      <c r="BH3" t="str">
        <f>+"variação "&amp;$BD$3&amp;"/"&amp;$AT$3</f>
        <v>variação 2023/2013</v>
      </c>
    </row>
    <row r="4" spans="1:76" ht="13.5" thickTop="1">
      <c r="R4" s="456"/>
      <c r="AS4" s="468" t="s">
        <v>212</v>
      </c>
      <c r="AT4" s="469">
        <f>+'q9'!$C$5</f>
        <v>2555676</v>
      </c>
      <c r="AU4" s="469">
        <f>+'q9'!$D$5</f>
        <v>2636881</v>
      </c>
      <c r="AV4" s="469">
        <f>+'q9'!$E$5</f>
        <v>2716011</v>
      </c>
      <c r="AW4" s="469">
        <f>+'q9'!$F$5</f>
        <v>2819978</v>
      </c>
      <c r="AX4" s="469">
        <f>+'q9'!$G$5</f>
        <v>2946903</v>
      </c>
      <c r="AY4" s="469">
        <f>+'q9'!$H$5</f>
        <v>3060489</v>
      </c>
      <c r="AZ4" s="469">
        <f>+'q9'!$I$5</f>
        <v>3110949</v>
      </c>
      <c r="BA4" s="469">
        <f>+'q9'!$J$5</f>
        <v>3085566</v>
      </c>
      <c r="BB4" s="469">
        <f>+'q9'!$K$5</f>
        <v>3102345</v>
      </c>
      <c r="BC4" s="469">
        <f>+'q9'!$L$5</f>
        <v>3337082</v>
      </c>
      <c r="BD4" s="606">
        <f>+'q9'!$M$5</f>
        <v>3489583</v>
      </c>
      <c r="BE4" s="342"/>
      <c r="BF4" s="608">
        <f>+BD4-BC4</f>
        <v>152501</v>
      </c>
      <c r="BG4" s="586">
        <f>+(BD4/BC4-1)</f>
        <v>4.5698907009177558E-2</v>
      </c>
      <c r="BH4" s="586">
        <f>+(BD4/AT4-1)</f>
        <v>0.36542464694272669</v>
      </c>
      <c r="BQ4" s="758"/>
      <c r="BR4" s="758"/>
      <c r="BS4" s="758"/>
      <c r="BT4" s="758"/>
      <c r="BU4" s="758"/>
      <c r="BV4" s="758"/>
      <c r="BW4" s="758"/>
      <c r="BX4" s="758"/>
    </row>
    <row r="5" spans="1:76">
      <c r="AS5" s="468" t="s">
        <v>185</v>
      </c>
      <c r="AT5" s="467">
        <f>+'q13'!$C$5</f>
        <v>2384121</v>
      </c>
      <c r="AU5" s="467">
        <f>+'q13'!$D$5</f>
        <v>2458163</v>
      </c>
      <c r="AV5" s="467">
        <f>+'q13'!$E$5</f>
        <v>2537653</v>
      </c>
      <c r="AW5" s="467">
        <f>+'q13'!$F$5</f>
        <v>2641919</v>
      </c>
      <c r="AX5" s="467">
        <f>+'q13'!$G$5</f>
        <v>2767521</v>
      </c>
      <c r="AY5" s="467">
        <f>+'q13'!$H$5</f>
        <v>2877918</v>
      </c>
      <c r="AZ5" s="467">
        <f>+'q13'!$I$5</f>
        <v>2930482</v>
      </c>
      <c r="BA5" s="467">
        <f>+'q13'!$J$5</f>
        <v>2902825</v>
      </c>
      <c r="BB5" s="467">
        <f>+'q13'!$K$5</f>
        <v>2922343</v>
      </c>
      <c r="BC5" s="467">
        <f>+'q13'!$L$5</f>
        <v>3148147</v>
      </c>
      <c r="BD5" s="607">
        <f>+'q13'!$M$5</f>
        <v>3296134</v>
      </c>
      <c r="BE5" s="467"/>
      <c r="BF5" s="608">
        <f>+BD5-BC5</f>
        <v>147987</v>
      </c>
      <c r="BG5" s="586">
        <f>+(BD5/BC5-1)</f>
        <v>4.7007652438084913E-2</v>
      </c>
      <c r="BH5" s="586">
        <f>+(BD5/AT5-1)</f>
        <v>0.38253637294415843</v>
      </c>
      <c r="BQ5" s="456"/>
      <c r="BR5" s="456"/>
      <c r="BS5" s="456"/>
      <c r="BT5" s="456"/>
      <c r="BU5" s="456"/>
      <c r="BV5" s="456"/>
      <c r="BW5" s="456"/>
      <c r="BX5" s="456"/>
    </row>
    <row r="6" spans="1:76">
      <c r="B6" s="456"/>
      <c r="D6">
        <f>+'q9'!$C$4</f>
        <v>2013</v>
      </c>
      <c r="E6">
        <f>+'q9'!$D$4</f>
        <v>2014</v>
      </c>
      <c r="F6">
        <f>+'q9'!$E$4</f>
        <v>2015</v>
      </c>
      <c r="G6">
        <f>+'q9'!$F$4</f>
        <v>2016</v>
      </c>
      <c r="H6">
        <f>+'q9'!$G$4</f>
        <v>2017</v>
      </c>
      <c r="I6">
        <f>+'q9'!$H$4</f>
        <v>2018</v>
      </c>
      <c r="J6">
        <f>+'q9'!$I$4</f>
        <v>2019</v>
      </c>
      <c r="K6">
        <f>+'q9'!$J$4</f>
        <v>2020</v>
      </c>
      <c r="L6">
        <f>+'q9'!$K$4</f>
        <v>2021</v>
      </c>
      <c r="M6">
        <f>+'q9'!$L$4</f>
        <v>2022</v>
      </c>
      <c r="N6">
        <f>+'q9'!$M$4</f>
        <v>2023</v>
      </c>
      <c r="S6">
        <f>+D6</f>
        <v>2013</v>
      </c>
      <c r="T6">
        <f t="shared" ref="T6:AC6" si="0">+E6</f>
        <v>2014</v>
      </c>
      <c r="U6">
        <f t="shared" si="0"/>
        <v>2015</v>
      </c>
      <c r="V6">
        <f t="shared" si="0"/>
        <v>2016</v>
      </c>
      <c r="W6">
        <f t="shared" si="0"/>
        <v>2017</v>
      </c>
      <c r="X6">
        <f t="shared" si="0"/>
        <v>2018</v>
      </c>
      <c r="Y6">
        <f t="shared" si="0"/>
        <v>2019</v>
      </c>
      <c r="Z6">
        <f t="shared" si="0"/>
        <v>2020</v>
      </c>
      <c r="AA6">
        <f t="shared" si="0"/>
        <v>2021</v>
      </c>
      <c r="AB6">
        <f t="shared" si="0"/>
        <v>2022</v>
      </c>
      <c r="AC6">
        <f t="shared" si="0"/>
        <v>2023</v>
      </c>
    </row>
    <row r="7" spans="1:76">
      <c r="A7" s="456" t="s">
        <v>212</v>
      </c>
      <c r="B7" t="str">
        <f>+'q9'!$A$6</f>
        <v>A</v>
      </c>
      <c r="C7" t="str">
        <f>+'q9'!$B$6</f>
        <v>Agr., pr. animal, caça, flor. pesca</v>
      </c>
      <c r="D7">
        <f>+'q9'!$C$6</f>
        <v>57477</v>
      </c>
      <c r="E7">
        <f>+'q9'!$D$6</f>
        <v>59974</v>
      </c>
      <c r="F7">
        <f>+'q9'!$E$6</f>
        <v>62767</v>
      </c>
      <c r="G7">
        <f>+'q9'!$F$6</f>
        <v>66231</v>
      </c>
      <c r="H7">
        <f>+'q9'!$G$6</f>
        <v>67785</v>
      </c>
      <c r="I7">
        <f>+'q9'!$H$6</f>
        <v>71264</v>
      </c>
      <c r="J7">
        <f>+'q9'!$I$6</f>
        <v>72158</v>
      </c>
      <c r="K7">
        <f>+'q9'!$J$6</f>
        <v>76190</v>
      </c>
      <c r="L7">
        <f>+'q9'!$K$6</f>
        <v>74598</v>
      </c>
      <c r="M7">
        <f>+'q9'!$L$6</f>
        <v>80596</v>
      </c>
      <c r="N7">
        <f>+'q9'!$M$6</f>
        <v>84693</v>
      </c>
      <c r="Q7" t="str">
        <f>INDEX($A$2:$A$3,$Q$3)</f>
        <v>Pessoas ao serviço</v>
      </c>
      <c r="R7" t="str">
        <f>+B7</f>
        <v>A</v>
      </c>
      <c r="S7">
        <f t="shared" ref="S7:S26" si="1">IF($Q$3=1, VLOOKUP($R$7:$R$26,$B$6:$N$26,COLUMN(D7)-1,0),VLOOKUP($R$7:$R$26,$B$31:$N$50,COLUMN(D7)-1,0))</f>
        <v>57477</v>
      </c>
      <c r="T7">
        <f t="shared" ref="T7:AC22" si="2">IF($Q$3=1, VLOOKUP($R$7:$R$26,$B$6:$N$26,COLUMN(E7)-1,0),VLOOKUP($R$7:$R$26,$B$31:$N$50,COLUMN(E7)-1,0))</f>
        <v>59974</v>
      </c>
      <c r="U7">
        <f t="shared" si="2"/>
        <v>62767</v>
      </c>
      <c r="V7">
        <f t="shared" si="2"/>
        <v>66231</v>
      </c>
      <c r="W7">
        <f t="shared" si="2"/>
        <v>67785</v>
      </c>
      <c r="X7">
        <f t="shared" si="2"/>
        <v>71264</v>
      </c>
      <c r="Y7">
        <f t="shared" si="2"/>
        <v>72158</v>
      </c>
      <c r="Z7">
        <f t="shared" si="2"/>
        <v>76190</v>
      </c>
      <c r="AA7">
        <f t="shared" si="2"/>
        <v>74598</v>
      </c>
      <c r="AB7">
        <f t="shared" si="2"/>
        <v>80596</v>
      </c>
      <c r="AC7">
        <f t="shared" si="2"/>
        <v>84693</v>
      </c>
    </row>
    <row r="8" spans="1:76">
      <c r="A8" s="456"/>
      <c r="B8" t="str">
        <f>+'q9'!$A$7</f>
        <v>B</v>
      </c>
      <c r="C8" t="str">
        <f>+'q9'!$B$7</f>
        <v>Indústrias extrativas</v>
      </c>
      <c r="D8">
        <f>+'q9'!$C$7</f>
        <v>8685</v>
      </c>
      <c r="E8">
        <f>+'q9'!$D$7</f>
        <v>8514</v>
      </c>
      <c r="F8">
        <f>+'q9'!$E$7</f>
        <v>8479</v>
      </c>
      <c r="G8">
        <f>+'q9'!$F$7</f>
        <v>8384</v>
      </c>
      <c r="H8">
        <f>+'q9'!$G$7</f>
        <v>8723</v>
      </c>
      <c r="I8">
        <f>+'q9'!$H$7</f>
        <v>8644</v>
      </c>
      <c r="J8">
        <f>+'q9'!$I$7</f>
        <v>8455</v>
      </c>
      <c r="K8">
        <f>+'q9'!$J$7</f>
        <v>8318</v>
      </c>
      <c r="L8">
        <f>+'q9'!$K$7</f>
        <v>8437</v>
      </c>
      <c r="M8">
        <f>+'q9'!$L$7</f>
        <v>8822</v>
      </c>
      <c r="N8">
        <f>+'q9'!$M$7</f>
        <v>9420</v>
      </c>
      <c r="R8" t="str">
        <f t="shared" ref="R8:R26" si="3">+B8</f>
        <v>B</v>
      </c>
      <c r="S8">
        <f t="shared" si="1"/>
        <v>8685</v>
      </c>
      <c r="T8">
        <f t="shared" si="2"/>
        <v>8514</v>
      </c>
      <c r="U8">
        <f t="shared" si="2"/>
        <v>8479</v>
      </c>
      <c r="V8">
        <f t="shared" si="2"/>
        <v>8384</v>
      </c>
      <c r="W8">
        <f t="shared" si="2"/>
        <v>8723</v>
      </c>
      <c r="X8">
        <f t="shared" si="2"/>
        <v>8644</v>
      </c>
      <c r="Y8">
        <f t="shared" si="2"/>
        <v>8455</v>
      </c>
      <c r="Z8">
        <f t="shared" si="2"/>
        <v>8318</v>
      </c>
      <c r="AA8">
        <f t="shared" si="2"/>
        <v>8437</v>
      </c>
      <c r="AB8">
        <f t="shared" si="2"/>
        <v>8822</v>
      </c>
      <c r="AC8">
        <f t="shared" si="2"/>
        <v>9420</v>
      </c>
    </row>
    <row r="9" spans="1:76">
      <c r="A9" s="456"/>
      <c r="B9" t="str">
        <f>+'q9'!$A$8</f>
        <v>C</v>
      </c>
      <c r="C9" t="str">
        <f>+'q9'!$B$8</f>
        <v>Indústrias transformadoras</v>
      </c>
      <c r="D9">
        <f>+'q9'!$C$8</f>
        <v>566564</v>
      </c>
      <c r="E9">
        <f>+'q9'!$D$8</f>
        <v>583685</v>
      </c>
      <c r="F9">
        <f>+'q9'!$E$8</f>
        <v>598482</v>
      </c>
      <c r="G9">
        <f>+'q9'!$F$8</f>
        <v>615556</v>
      </c>
      <c r="H9">
        <f>+'q9'!$G$8</f>
        <v>639429</v>
      </c>
      <c r="I9">
        <f>+'q9'!$H$8</f>
        <v>659459</v>
      </c>
      <c r="J9">
        <f>+'q9'!$I$8</f>
        <v>650638</v>
      </c>
      <c r="K9">
        <f>+'q9'!$J$8</f>
        <v>639517</v>
      </c>
      <c r="L9">
        <f>+'q9'!$K$8</f>
        <v>636329</v>
      </c>
      <c r="M9">
        <f>+'q9'!$L$8</f>
        <v>667361</v>
      </c>
      <c r="N9">
        <f>+'q9'!$M$8</f>
        <v>675754</v>
      </c>
      <c r="R9" t="str">
        <f t="shared" si="3"/>
        <v>C</v>
      </c>
      <c r="S9">
        <f t="shared" si="1"/>
        <v>566564</v>
      </c>
      <c r="T9">
        <f t="shared" si="2"/>
        <v>583685</v>
      </c>
      <c r="U9">
        <f t="shared" si="2"/>
        <v>598482</v>
      </c>
      <c r="V9">
        <f t="shared" si="2"/>
        <v>615556</v>
      </c>
      <c r="W9">
        <f t="shared" si="2"/>
        <v>639429</v>
      </c>
      <c r="X9">
        <f t="shared" si="2"/>
        <v>659459</v>
      </c>
      <c r="Y9">
        <f t="shared" si="2"/>
        <v>650638</v>
      </c>
      <c r="Z9">
        <f t="shared" si="2"/>
        <v>639517</v>
      </c>
      <c r="AA9">
        <f t="shared" si="2"/>
        <v>636329</v>
      </c>
      <c r="AB9">
        <f t="shared" si="2"/>
        <v>667361</v>
      </c>
      <c r="AC9">
        <f t="shared" si="2"/>
        <v>675754</v>
      </c>
    </row>
    <row r="10" spans="1:76">
      <c r="A10" s="456"/>
      <c r="B10" t="str">
        <f>+'q9'!$A$33</f>
        <v>D</v>
      </c>
      <c r="C10" t="str">
        <f>+'q9'!$B$33</f>
        <v>Eletr., gás, ág. quente/fria e ar frio</v>
      </c>
      <c r="D10">
        <f>+'q9'!$C$33</f>
        <v>6642</v>
      </c>
      <c r="E10">
        <f>+'q9'!$D$33</f>
        <v>6369</v>
      </c>
      <c r="F10">
        <f>+'q9'!$E$33</f>
        <v>6704</v>
      </c>
      <c r="G10">
        <f>+'q9'!$F$33</f>
        <v>6470</v>
      </c>
      <c r="H10">
        <f>+'q9'!$G$33</f>
        <v>6573</v>
      </c>
      <c r="I10">
        <f>+'q9'!$H$33</f>
        <v>6821</v>
      </c>
      <c r="J10">
        <f>+'q9'!$I$33</f>
        <v>6807</v>
      </c>
      <c r="K10">
        <f>+'q9'!$J$33</f>
        <v>6753</v>
      </c>
      <c r="L10">
        <f>+'q9'!$K$33</f>
        <v>6643</v>
      </c>
      <c r="M10">
        <f>+'q9'!$L$33</f>
        <v>6615</v>
      </c>
      <c r="N10">
        <f>+'q9'!$M$33</f>
        <v>7038</v>
      </c>
      <c r="R10" t="str">
        <f t="shared" si="3"/>
        <v>D</v>
      </c>
      <c r="S10">
        <f t="shared" si="1"/>
        <v>6642</v>
      </c>
      <c r="T10">
        <f t="shared" si="2"/>
        <v>6369</v>
      </c>
      <c r="U10">
        <f t="shared" si="2"/>
        <v>6704</v>
      </c>
      <c r="V10">
        <f t="shared" si="2"/>
        <v>6470</v>
      </c>
      <c r="W10">
        <f t="shared" si="2"/>
        <v>6573</v>
      </c>
      <c r="X10">
        <f t="shared" si="2"/>
        <v>6821</v>
      </c>
      <c r="Y10">
        <f t="shared" si="2"/>
        <v>6807</v>
      </c>
      <c r="Z10">
        <f t="shared" si="2"/>
        <v>6753</v>
      </c>
      <c r="AA10">
        <f t="shared" si="2"/>
        <v>6643</v>
      </c>
      <c r="AB10">
        <f t="shared" si="2"/>
        <v>6615</v>
      </c>
      <c r="AC10">
        <f t="shared" si="2"/>
        <v>7038</v>
      </c>
      <c r="BL10" s="486"/>
      <c r="BM10" s="589"/>
      <c r="BN10" s="589"/>
      <c r="BO10" s="589"/>
      <c r="BP10" s="589"/>
      <c r="BQ10" s="589"/>
      <c r="BR10" s="589"/>
      <c r="BS10" s="589"/>
      <c r="BT10" s="589"/>
      <c r="BU10" s="589"/>
      <c r="BV10" s="589"/>
      <c r="BW10" s="589"/>
    </row>
    <row r="11" spans="1:76">
      <c r="A11" s="456"/>
      <c r="B11" t="str">
        <f>+'q9'!$A$34</f>
        <v>E</v>
      </c>
      <c r="C11" t="str">
        <f>+'q9'!$B$34</f>
        <v>Capt., trat. e d. água; san., resíd.</v>
      </c>
      <c r="D11">
        <f>+'q9'!$C$34</f>
        <v>20721</v>
      </c>
      <c r="E11">
        <f>+'q9'!$D$34</f>
        <v>20728</v>
      </c>
      <c r="F11">
        <f>+'q9'!$E$34</f>
        <v>21233</v>
      </c>
      <c r="G11">
        <f>+'q9'!$F$34</f>
        <v>22585</v>
      </c>
      <c r="H11">
        <f>+'q9'!$G$34</f>
        <v>23439</v>
      </c>
      <c r="I11">
        <f>+'q9'!$H$34</f>
        <v>23927</v>
      </c>
      <c r="J11">
        <f>+'q9'!$I$34</f>
        <v>25301</v>
      </c>
      <c r="K11">
        <f>+'q9'!$J$34</f>
        <v>26123</v>
      </c>
      <c r="L11">
        <f>+'q9'!$K$34</f>
        <v>27869</v>
      </c>
      <c r="M11">
        <f>+'q9'!$L$34</f>
        <v>29036</v>
      </c>
      <c r="N11">
        <f>+'q9'!$M$34</f>
        <v>29674</v>
      </c>
      <c r="R11" t="str">
        <f t="shared" si="3"/>
        <v>E</v>
      </c>
      <c r="S11">
        <f t="shared" si="1"/>
        <v>20721</v>
      </c>
      <c r="T11">
        <f t="shared" si="2"/>
        <v>20728</v>
      </c>
      <c r="U11">
        <f t="shared" si="2"/>
        <v>21233</v>
      </c>
      <c r="V11">
        <f t="shared" si="2"/>
        <v>22585</v>
      </c>
      <c r="W11">
        <f t="shared" si="2"/>
        <v>23439</v>
      </c>
      <c r="X11">
        <f t="shared" si="2"/>
        <v>23927</v>
      </c>
      <c r="Y11">
        <f t="shared" si="2"/>
        <v>25301</v>
      </c>
      <c r="Z11">
        <f t="shared" si="2"/>
        <v>26123</v>
      </c>
      <c r="AA11">
        <f t="shared" si="2"/>
        <v>27869</v>
      </c>
      <c r="AB11">
        <f t="shared" si="2"/>
        <v>29036</v>
      </c>
      <c r="AC11">
        <f t="shared" si="2"/>
        <v>29674</v>
      </c>
      <c r="BL11" s="589"/>
      <c r="BM11" s="589"/>
      <c r="BN11" s="589"/>
      <c r="BO11" s="589"/>
      <c r="BP11" s="589"/>
      <c r="BQ11" s="589"/>
      <c r="BR11" s="589"/>
      <c r="BS11" s="589"/>
      <c r="BT11" s="589"/>
      <c r="BU11" s="589"/>
      <c r="BV11" s="589"/>
      <c r="BW11" s="589"/>
    </row>
    <row r="12" spans="1:76">
      <c r="A12" s="456"/>
      <c r="B12" t="str">
        <f>+'q9'!$A$35</f>
        <v>F</v>
      </c>
      <c r="C12" t="str">
        <f>+'q9'!$B$35</f>
        <v>Construção</v>
      </c>
      <c r="D12">
        <f>+'q9'!$C$35</f>
        <v>197944</v>
      </c>
      <c r="E12">
        <f>+'q9'!$D$35</f>
        <v>197951</v>
      </c>
      <c r="F12">
        <f>+'q9'!$E$35</f>
        <v>198073</v>
      </c>
      <c r="G12">
        <f>+'q9'!$F$35</f>
        <v>203068</v>
      </c>
      <c r="H12">
        <f>+'q9'!$G$35</f>
        <v>215365</v>
      </c>
      <c r="I12">
        <f>+'q9'!$H$35</f>
        <v>227394</v>
      </c>
      <c r="J12">
        <f>+'q9'!$I$35</f>
        <v>241160</v>
      </c>
      <c r="K12">
        <f>+'q9'!$J$35</f>
        <v>254572</v>
      </c>
      <c r="L12">
        <f>+'q9'!$K$35</f>
        <v>256768</v>
      </c>
      <c r="M12">
        <f>+'q9'!$L$35</f>
        <v>277485</v>
      </c>
      <c r="N12">
        <f>+'q9'!$M$35</f>
        <v>300958</v>
      </c>
      <c r="R12" t="str">
        <f t="shared" si="3"/>
        <v>F</v>
      </c>
      <c r="S12">
        <f t="shared" si="1"/>
        <v>197944</v>
      </c>
      <c r="T12">
        <f t="shared" si="2"/>
        <v>197951</v>
      </c>
      <c r="U12">
        <f t="shared" si="2"/>
        <v>198073</v>
      </c>
      <c r="V12">
        <f t="shared" si="2"/>
        <v>203068</v>
      </c>
      <c r="W12">
        <f t="shared" si="2"/>
        <v>215365</v>
      </c>
      <c r="X12">
        <f t="shared" si="2"/>
        <v>227394</v>
      </c>
      <c r="Y12">
        <f t="shared" si="2"/>
        <v>241160</v>
      </c>
      <c r="Z12">
        <f t="shared" si="2"/>
        <v>254572</v>
      </c>
      <c r="AA12">
        <f t="shared" si="2"/>
        <v>256768</v>
      </c>
      <c r="AB12">
        <f t="shared" si="2"/>
        <v>277485</v>
      </c>
      <c r="AC12">
        <f t="shared" si="2"/>
        <v>300958</v>
      </c>
      <c r="BE12" s="473"/>
      <c r="BG12" s="472"/>
      <c r="BH12" s="473"/>
      <c r="BL12" s="589"/>
      <c r="BM12" s="589"/>
      <c r="BN12" s="589"/>
      <c r="BO12" s="589"/>
      <c r="BP12" s="589"/>
      <c r="BQ12" s="589"/>
      <c r="BR12" s="589"/>
      <c r="BS12" s="589"/>
      <c r="BT12" s="589"/>
      <c r="BU12" s="589"/>
      <c r="BV12" s="589"/>
      <c r="BW12" s="589"/>
    </row>
    <row r="13" spans="1:76">
      <c r="A13" s="456"/>
      <c r="B13" t="str">
        <f>+'q9'!$A$36</f>
        <v>G</v>
      </c>
      <c r="C13" t="str">
        <f>+'q9'!$B$36</f>
        <v>Com. grosso e ret.; r.v.aut./moto.</v>
      </c>
      <c r="D13">
        <f>+'q9'!$C$36</f>
        <v>501601</v>
      </c>
      <c r="E13">
        <f>+'q9'!$D$36</f>
        <v>513639</v>
      </c>
      <c r="F13">
        <f>+'q9'!$E$36</f>
        <v>528110</v>
      </c>
      <c r="G13">
        <f>+'q9'!$F$36</f>
        <v>541723</v>
      </c>
      <c r="H13">
        <f>+'q9'!$G$36</f>
        <v>556229</v>
      </c>
      <c r="I13">
        <f>+'q9'!$H$36</f>
        <v>571387</v>
      </c>
      <c r="J13">
        <f>+'q9'!$I$36</f>
        <v>585267</v>
      </c>
      <c r="K13">
        <f>+'q9'!$J$36</f>
        <v>572866</v>
      </c>
      <c r="L13">
        <f>+'q9'!$K$36</f>
        <v>579715</v>
      </c>
      <c r="M13">
        <f>+'q9'!$L$36</f>
        <v>606424</v>
      </c>
      <c r="N13">
        <f>+'q9'!$M$36</f>
        <v>624971</v>
      </c>
      <c r="R13" t="str">
        <f t="shared" si="3"/>
        <v>G</v>
      </c>
      <c r="S13">
        <f t="shared" si="1"/>
        <v>501601</v>
      </c>
      <c r="T13">
        <f t="shared" si="2"/>
        <v>513639</v>
      </c>
      <c r="U13">
        <f t="shared" si="2"/>
        <v>528110</v>
      </c>
      <c r="V13">
        <f t="shared" si="2"/>
        <v>541723</v>
      </c>
      <c r="W13">
        <f t="shared" si="2"/>
        <v>556229</v>
      </c>
      <c r="X13">
        <f t="shared" si="2"/>
        <v>571387</v>
      </c>
      <c r="Y13">
        <f t="shared" si="2"/>
        <v>585267</v>
      </c>
      <c r="Z13">
        <f t="shared" si="2"/>
        <v>572866</v>
      </c>
      <c r="AA13">
        <f t="shared" si="2"/>
        <v>579715</v>
      </c>
      <c r="AB13">
        <f t="shared" si="2"/>
        <v>606424</v>
      </c>
      <c r="AC13">
        <f t="shared" si="2"/>
        <v>624971</v>
      </c>
      <c r="BL13" s="589"/>
      <c r="BM13" s="589"/>
      <c r="BN13" s="589"/>
      <c r="BO13" s="589"/>
      <c r="BP13" s="589"/>
      <c r="BQ13" s="589"/>
      <c r="BR13" s="589"/>
      <c r="BS13" s="589"/>
      <c r="BT13" s="589"/>
      <c r="BU13" s="589"/>
      <c r="BV13" s="589"/>
      <c r="BW13" s="589"/>
    </row>
    <row r="14" spans="1:76">
      <c r="A14" s="456"/>
      <c r="B14" t="str">
        <f>+'q9'!$A$37</f>
        <v>H</v>
      </c>
      <c r="C14" t="str">
        <f>+'q9'!$B$37</f>
        <v>Transportes e armazenagem</v>
      </c>
      <c r="D14">
        <f>+'q9'!$C$37</f>
        <v>124544</v>
      </c>
      <c r="E14">
        <f>+'q9'!$D$37</f>
        <v>130835</v>
      </c>
      <c r="F14">
        <f>+'q9'!$E$37</f>
        <v>134827</v>
      </c>
      <c r="G14">
        <f>+'q9'!$F$37</f>
        <v>140298</v>
      </c>
      <c r="H14">
        <f>+'q9'!$G$37</f>
        <v>147627</v>
      </c>
      <c r="I14">
        <f>+'q9'!$H$37</f>
        <v>153184</v>
      </c>
      <c r="J14">
        <f>+'q9'!$I$37</f>
        <v>154795</v>
      </c>
      <c r="K14">
        <f>+'q9'!$J$37</f>
        <v>153703</v>
      </c>
      <c r="L14">
        <f>+'q9'!$K$37</f>
        <v>150030</v>
      </c>
      <c r="M14">
        <f>+'q9'!$L$37</f>
        <v>157420</v>
      </c>
      <c r="N14">
        <f>+'q9'!$M$37</f>
        <v>167296</v>
      </c>
      <c r="R14" t="str">
        <f t="shared" si="3"/>
        <v>H</v>
      </c>
      <c r="S14">
        <f t="shared" si="1"/>
        <v>124544</v>
      </c>
      <c r="T14">
        <f t="shared" si="2"/>
        <v>130835</v>
      </c>
      <c r="U14">
        <f t="shared" si="2"/>
        <v>134827</v>
      </c>
      <c r="V14">
        <f t="shared" si="2"/>
        <v>140298</v>
      </c>
      <c r="W14">
        <f t="shared" si="2"/>
        <v>147627</v>
      </c>
      <c r="X14">
        <f t="shared" si="2"/>
        <v>153184</v>
      </c>
      <c r="Y14">
        <f t="shared" si="2"/>
        <v>154795</v>
      </c>
      <c r="Z14">
        <f t="shared" si="2"/>
        <v>153703</v>
      </c>
      <c r="AA14">
        <f t="shared" si="2"/>
        <v>150030</v>
      </c>
      <c r="AB14">
        <f t="shared" si="2"/>
        <v>157420</v>
      </c>
      <c r="AC14">
        <f t="shared" si="2"/>
        <v>167296</v>
      </c>
      <c r="BB14" s="471"/>
    </row>
    <row r="15" spans="1:76">
      <c r="A15" s="456"/>
      <c r="B15" t="str">
        <f>+'q9'!$A$38</f>
        <v>I</v>
      </c>
      <c r="C15" t="str">
        <f>+'q9'!$B$38</f>
        <v>Alojamento, restauração e sim.</v>
      </c>
      <c r="D15">
        <f>+'q9'!$C$38</f>
        <v>184439</v>
      </c>
      <c r="E15">
        <f>+'q9'!$D$38</f>
        <v>193103</v>
      </c>
      <c r="F15">
        <f>+'q9'!$E$38</f>
        <v>207980</v>
      </c>
      <c r="G15">
        <f>+'q9'!$F$38</f>
        <v>223137</v>
      </c>
      <c r="H15">
        <f>+'q9'!$G$38</f>
        <v>243205</v>
      </c>
      <c r="I15">
        <f>+'q9'!$H$38</f>
        <v>261730</v>
      </c>
      <c r="J15">
        <f>+'q9'!$I$38</f>
        <v>270796</v>
      </c>
      <c r="K15">
        <f>+'q9'!$J$38</f>
        <v>233699</v>
      </c>
      <c r="L15">
        <f>+'q9'!$K$38</f>
        <v>239745</v>
      </c>
      <c r="M15">
        <f>+'q9'!$L$38</f>
        <v>279781</v>
      </c>
      <c r="N15">
        <f>+'q9'!$M$38</f>
        <v>307448</v>
      </c>
      <c r="R15" t="str">
        <f t="shared" si="3"/>
        <v>I</v>
      </c>
      <c r="S15">
        <f t="shared" si="1"/>
        <v>184439</v>
      </c>
      <c r="T15">
        <f t="shared" si="2"/>
        <v>193103</v>
      </c>
      <c r="U15">
        <f t="shared" si="2"/>
        <v>207980</v>
      </c>
      <c r="V15">
        <f t="shared" si="2"/>
        <v>223137</v>
      </c>
      <c r="W15">
        <f t="shared" si="2"/>
        <v>243205</v>
      </c>
      <c r="X15">
        <f t="shared" si="2"/>
        <v>261730</v>
      </c>
      <c r="Y15">
        <f t="shared" si="2"/>
        <v>270796</v>
      </c>
      <c r="Z15">
        <f t="shared" si="2"/>
        <v>233699</v>
      </c>
      <c r="AA15">
        <f t="shared" si="2"/>
        <v>239745</v>
      </c>
      <c r="AB15">
        <f t="shared" si="2"/>
        <v>279781</v>
      </c>
      <c r="AC15">
        <f t="shared" si="2"/>
        <v>307448</v>
      </c>
      <c r="BB15" s="471"/>
    </row>
    <row r="16" spans="1:76">
      <c r="A16" s="456"/>
      <c r="B16" t="str">
        <f>+'q9'!$A$39</f>
        <v>J</v>
      </c>
      <c r="C16" t="str">
        <f>+'q9'!$B$39</f>
        <v xml:space="preserve">Ativ. Inform. e de comunicação </v>
      </c>
      <c r="D16">
        <f>+'q9'!$C$39</f>
        <v>68157</v>
      </c>
      <c r="E16">
        <f>+'q9'!$D$39</f>
        <v>71993</v>
      </c>
      <c r="F16">
        <f>+'q9'!$E$39</f>
        <v>72956</v>
      </c>
      <c r="G16">
        <f>+'q9'!$F$39</f>
        <v>77039</v>
      </c>
      <c r="H16">
        <f>+'q9'!$G$39</f>
        <v>83632</v>
      </c>
      <c r="I16">
        <f>+'q9'!$H$39</f>
        <v>91709</v>
      </c>
      <c r="J16">
        <f>+'q9'!$I$39</f>
        <v>99727</v>
      </c>
      <c r="K16">
        <f>+'q9'!$J$39</f>
        <v>107652</v>
      </c>
      <c r="L16">
        <f>+'q9'!$K$39</f>
        <v>114093</v>
      </c>
      <c r="M16">
        <f>+'q9'!$L$39</f>
        <v>132730</v>
      </c>
      <c r="N16">
        <f>+'q9'!$M$39</f>
        <v>136036</v>
      </c>
      <c r="R16" t="str">
        <f t="shared" si="3"/>
        <v>J</v>
      </c>
      <c r="S16">
        <f t="shared" si="1"/>
        <v>68157</v>
      </c>
      <c r="T16">
        <f t="shared" si="2"/>
        <v>71993</v>
      </c>
      <c r="U16">
        <f t="shared" si="2"/>
        <v>72956</v>
      </c>
      <c r="V16">
        <f t="shared" si="2"/>
        <v>77039</v>
      </c>
      <c r="W16">
        <f t="shared" si="2"/>
        <v>83632</v>
      </c>
      <c r="X16">
        <f t="shared" si="2"/>
        <v>91709</v>
      </c>
      <c r="Y16">
        <f t="shared" si="2"/>
        <v>99727</v>
      </c>
      <c r="Z16">
        <f t="shared" si="2"/>
        <v>107652</v>
      </c>
      <c r="AA16">
        <f t="shared" si="2"/>
        <v>114093</v>
      </c>
      <c r="AB16">
        <f t="shared" si="2"/>
        <v>132730</v>
      </c>
      <c r="AC16">
        <f t="shared" si="2"/>
        <v>136036</v>
      </c>
    </row>
    <row r="17" spans="1:54">
      <c r="A17" s="456"/>
      <c r="B17" t="str">
        <f>+'q9'!$A$40</f>
        <v>K</v>
      </c>
      <c r="C17" t="str">
        <f>+'q9'!$B$40</f>
        <v>Ativ. financeiras e de seguros</v>
      </c>
      <c r="D17">
        <f>+'q9'!$C$40</f>
        <v>83701</v>
      </c>
      <c r="E17">
        <f>+'q9'!$D$40</f>
        <v>82983</v>
      </c>
      <c r="F17">
        <f>+'q9'!$E$40</f>
        <v>81189</v>
      </c>
      <c r="G17">
        <f>+'q9'!$F$40</f>
        <v>79408</v>
      </c>
      <c r="H17">
        <f>+'q9'!$G$40</f>
        <v>78025</v>
      </c>
      <c r="I17">
        <f>+'q9'!$H$40</f>
        <v>78807</v>
      </c>
      <c r="J17">
        <f>+'q9'!$I$40</f>
        <v>72314</v>
      </c>
      <c r="K17">
        <f>+'q9'!$J$40</f>
        <v>78746</v>
      </c>
      <c r="L17">
        <f>+'q9'!$K$40</f>
        <v>77632</v>
      </c>
      <c r="M17">
        <f>+'q9'!$L$40</f>
        <v>80352</v>
      </c>
      <c r="N17">
        <f>+'q9'!$M$40</f>
        <v>83710</v>
      </c>
      <c r="R17" t="str">
        <f t="shared" si="3"/>
        <v>K</v>
      </c>
      <c r="S17">
        <f t="shared" si="1"/>
        <v>83701</v>
      </c>
      <c r="T17">
        <f t="shared" si="2"/>
        <v>82983</v>
      </c>
      <c r="U17">
        <f t="shared" si="2"/>
        <v>81189</v>
      </c>
      <c r="V17">
        <f t="shared" si="2"/>
        <v>79408</v>
      </c>
      <c r="W17">
        <f t="shared" si="2"/>
        <v>78025</v>
      </c>
      <c r="X17">
        <f t="shared" si="2"/>
        <v>78807</v>
      </c>
      <c r="Y17">
        <f t="shared" si="2"/>
        <v>72314</v>
      </c>
      <c r="Z17">
        <f t="shared" si="2"/>
        <v>78746</v>
      </c>
      <c r="AA17">
        <f t="shared" si="2"/>
        <v>77632</v>
      </c>
      <c r="AB17">
        <f t="shared" si="2"/>
        <v>80352</v>
      </c>
      <c r="AC17">
        <f t="shared" si="2"/>
        <v>83710</v>
      </c>
      <c r="BB17" s="471"/>
    </row>
    <row r="18" spans="1:54">
      <c r="A18" s="456"/>
      <c r="B18" t="str">
        <f>+'q9'!$A$41</f>
        <v>L</v>
      </c>
      <c r="C18" t="str">
        <f>+'q9'!$B$41</f>
        <v>Atividades imobiliárias</v>
      </c>
      <c r="D18">
        <f>+'q9'!$C$41</f>
        <v>18455</v>
      </c>
      <c r="E18">
        <f>+'q9'!$D$41</f>
        <v>19960</v>
      </c>
      <c r="F18">
        <f>+'q9'!$E$41</f>
        <v>21488</v>
      </c>
      <c r="G18">
        <f>+'q9'!$F$41</f>
        <v>22728</v>
      </c>
      <c r="H18">
        <f>+'q9'!$G$41</f>
        <v>25240</v>
      </c>
      <c r="I18">
        <f>+'q9'!$H$41</f>
        <v>28146</v>
      </c>
      <c r="J18">
        <f>+'q9'!$I$41</f>
        <v>29700</v>
      </c>
      <c r="K18">
        <f>+'q9'!$J$41</f>
        <v>30554</v>
      </c>
      <c r="L18">
        <f>+'q9'!$K$41</f>
        <v>32205</v>
      </c>
      <c r="M18">
        <f>+'q9'!$L$41</f>
        <v>35036</v>
      </c>
      <c r="N18">
        <f>+'q9'!$M$41</f>
        <v>37963</v>
      </c>
      <c r="R18" t="str">
        <f t="shared" si="3"/>
        <v>L</v>
      </c>
      <c r="S18">
        <f t="shared" si="1"/>
        <v>18455</v>
      </c>
      <c r="T18">
        <f t="shared" si="2"/>
        <v>19960</v>
      </c>
      <c r="U18">
        <f t="shared" si="2"/>
        <v>21488</v>
      </c>
      <c r="V18">
        <f t="shared" si="2"/>
        <v>22728</v>
      </c>
      <c r="W18">
        <f t="shared" si="2"/>
        <v>25240</v>
      </c>
      <c r="X18">
        <f t="shared" si="2"/>
        <v>28146</v>
      </c>
      <c r="Y18">
        <f t="shared" si="2"/>
        <v>29700</v>
      </c>
      <c r="Z18">
        <f t="shared" si="2"/>
        <v>30554</v>
      </c>
      <c r="AA18">
        <f t="shared" si="2"/>
        <v>32205</v>
      </c>
      <c r="AB18">
        <f t="shared" si="2"/>
        <v>35036</v>
      </c>
      <c r="AC18">
        <f t="shared" si="2"/>
        <v>37963</v>
      </c>
    </row>
    <row r="19" spans="1:54">
      <c r="A19" s="456"/>
      <c r="B19" t="str">
        <f>+'q9'!$A$42</f>
        <v>M</v>
      </c>
      <c r="C19" t="str">
        <f>+'q9'!$B$42</f>
        <v>Ativ. consultoria, cient.,téc. e sim.</v>
      </c>
      <c r="D19">
        <f>+'q9'!$C$42</f>
        <v>111886</v>
      </c>
      <c r="E19">
        <f>+'q9'!$D$42</f>
        <v>120671</v>
      </c>
      <c r="F19">
        <f>+'q9'!$E$42</f>
        <v>125288</v>
      </c>
      <c r="G19">
        <f>+'q9'!$F$42</f>
        <v>127354</v>
      </c>
      <c r="H19">
        <f>+'q9'!$G$42</f>
        <v>128982</v>
      </c>
      <c r="I19">
        <f>+'q9'!$H$42</f>
        <v>139971</v>
      </c>
      <c r="J19">
        <f>+'q9'!$I$42</f>
        <v>148924</v>
      </c>
      <c r="K19">
        <f>+'q9'!$J$42</f>
        <v>150763</v>
      </c>
      <c r="L19">
        <f>+'q9'!$K$42</f>
        <v>156464</v>
      </c>
      <c r="M19">
        <f>+'q9'!$L$42</f>
        <v>177058</v>
      </c>
      <c r="N19">
        <f>+'q9'!$M$42</f>
        <v>191467</v>
      </c>
      <c r="R19" t="str">
        <f t="shared" si="3"/>
        <v>M</v>
      </c>
      <c r="S19">
        <f t="shared" si="1"/>
        <v>111886</v>
      </c>
      <c r="T19">
        <f t="shared" si="2"/>
        <v>120671</v>
      </c>
      <c r="U19">
        <f t="shared" si="2"/>
        <v>125288</v>
      </c>
      <c r="V19">
        <f t="shared" si="2"/>
        <v>127354</v>
      </c>
      <c r="W19">
        <f t="shared" si="2"/>
        <v>128982</v>
      </c>
      <c r="X19">
        <f t="shared" si="2"/>
        <v>139971</v>
      </c>
      <c r="Y19">
        <f t="shared" si="2"/>
        <v>148924</v>
      </c>
      <c r="Z19">
        <f t="shared" si="2"/>
        <v>150763</v>
      </c>
      <c r="AA19">
        <f t="shared" si="2"/>
        <v>156464</v>
      </c>
      <c r="AB19">
        <f t="shared" si="2"/>
        <v>177058</v>
      </c>
      <c r="AC19">
        <f t="shared" si="2"/>
        <v>191467</v>
      </c>
    </row>
    <row r="20" spans="1:54">
      <c r="A20" s="456"/>
      <c r="B20" t="str">
        <f>+'q9'!$A$43</f>
        <v>N</v>
      </c>
      <c r="C20" t="str">
        <f>+'q9'!$B$43</f>
        <v>Ativ. Adm. e serviços de apoio</v>
      </c>
      <c r="D20">
        <f>+'q9'!$C$43</f>
        <v>230370</v>
      </c>
      <c r="E20">
        <f>+'q9'!$D$43</f>
        <v>243964</v>
      </c>
      <c r="F20">
        <f>+'q9'!$E$43</f>
        <v>251590</v>
      </c>
      <c r="G20">
        <f>+'q9'!$F$43</f>
        <v>273459</v>
      </c>
      <c r="H20">
        <f>+'q9'!$G$43</f>
        <v>299479</v>
      </c>
      <c r="I20">
        <f>+'q9'!$H$43</f>
        <v>298771</v>
      </c>
      <c r="J20">
        <f>+'q9'!$I$43</f>
        <v>299376</v>
      </c>
      <c r="K20">
        <f>+'q9'!$J$43</f>
        <v>291316</v>
      </c>
      <c r="L20">
        <f>+'q9'!$K$43</f>
        <v>280916</v>
      </c>
      <c r="M20">
        <f>+'q9'!$L$43</f>
        <v>313802</v>
      </c>
      <c r="N20">
        <f>+'q9'!$M$43</f>
        <v>329658</v>
      </c>
      <c r="R20" t="str">
        <f t="shared" si="3"/>
        <v>N</v>
      </c>
      <c r="S20">
        <f t="shared" si="1"/>
        <v>230370</v>
      </c>
      <c r="T20">
        <f t="shared" si="2"/>
        <v>243964</v>
      </c>
      <c r="U20">
        <f t="shared" si="2"/>
        <v>251590</v>
      </c>
      <c r="V20">
        <f t="shared" si="2"/>
        <v>273459</v>
      </c>
      <c r="W20">
        <f t="shared" si="2"/>
        <v>299479</v>
      </c>
      <c r="X20">
        <f t="shared" si="2"/>
        <v>298771</v>
      </c>
      <c r="Y20">
        <f t="shared" si="2"/>
        <v>299376</v>
      </c>
      <c r="Z20">
        <f t="shared" si="2"/>
        <v>291316</v>
      </c>
      <c r="AA20">
        <f t="shared" si="2"/>
        <v>280916</v>
      </c>
      <c r="AB20">
        <f t="shared" si="2"/>
        <v>313802</v>
      </c>
      <c r="AC20">
        <f t="shared" si="2"/>
        <v>329658</v>
      </c>
    </row>
    <row r="21" spans="1:54">
      <c r="A21" s="456"/>
      <c r="B21" t="str">
        <f>+'q9'!$A$44</f>
        <v>O</v>
      </c>
      <c r="C21" t="str">
        <f>+'q9'!$B$44</f>
        <v xml:space="preserve">Adm. Púb. e defesa; seg. social </v>
      </c>
      <c r="D21">
        <f>+'q9'!$C$44</f>
        <v>10265</v>
      </c>
      <c r="E21">
        <f>+'q9'!$D$44</f>
        <v>10823</v>
      </c>
      <c r="F21">
        <f>+'q9'!$E$44</f>
        <v>10646</v>
      </c>
      <c r="G21">
        <f>+'q9'!$F$44</f>
        <v>10719</v>
      </c>
      <c r="H21">
        <f>+'q9'!$G$44</f>
        <v>11285</v>
      </c>
      <c r="I21">
        <f>+'q9'!$H$44</f>
        <v>11658</v>
      </c>
      <c r="J21">
        <f>+'q9'!$I$44</f>
        <v>11877</v>
      </c>
      <c r="K21">
        <f>+'q9'!$J$44</f>
        <v>12408</v>
      </c>
      <c r="L21">
        <f>+'q9'!$K$44</f>
        <v>12061</v>
      </c>
      <c r="M21">
        <f>+'q9'!$L$44</f>
        <v>13207</v>
      </c>
      <c r="N21">
        <f>+'q9'!$M$44</f>
        <v>14299</v>
      </c>
      <c r="R21" t="str">
        <f t="shared" si="3"/>
        <v>O</v>
      </c>
      <c r="S21">
        <f t="shared" si="1"/>
        <v>10265</v>
      </c>
      <c r="T21">
        <f t="shared" si="2"/>
        <v>10823</v>
      </c>
      <c r="U21">
        <f t="shared" si="2"/>
        <v>10646</v>
      </c>
      <c r="V21">
        <f t="shared" si="2"/>
        <v>10719</v>
      </c>
      <c r="W21">
        <f t="shared" si="2"/>
        <v>11285</v>
      </c>
      <c r="X21">
        <f t="shared" si="2"/>
        <v>11658</v>
      </c>
      <c r="Y21">
        <f t="shared" si="2"/>
        <v>11877</v>
      </c>
      <c r="Z21">
        <f t="shared" si="2"/>
        <v>12408</v>
      </c>
      <c r="AA21">
        <f t="shared" si="2"/>
        <v>12061</v>
      </c>
      <c r="AB21">
        <f t="shared" si="2"/>
        <v>13207</v>
      </c>
      <c r="AC21">
        <f t="shared" si="2"/>
        <v>14299</v>
      </c>
    </row>
    <row r="22" spans="1:54">
      <c r="A22" s="456"/>
      <c r="B22" t="str">
        <f>+'q9'!$A$45</f>
        <v>P</v>
      </c>
      <c r="C22" t="str">
        <f>+'q9'!$B$45</f>
        <v>Educação</v>
      </c>
      <c r="D22">
        <f>+'q9'!$C$45</f>
        <v>53165</v>
      </c>
      <c r="E22">
        <f>+'q9'!$D$45</f>
        <v>53776</v>
      </c>
      <c r="F22">
        <f>+'q9'!$E$45</f>
        <v>56603</v>
      </c>
      <c r="G22">
        <f>+'q9'!$F$45</f>
        <v>56595</v>
      </c>
      <c r="H22">
        <f>+'q9'!$G$45</f>
        <v>56216</v>
      </c>
      <c r="I22">
        <f>+'q9'!$H$45</f>
        <v>60367</v>
      </c>
      <c r="J22">
        <f>+'q9'!$I$45</f>
        <v>60849</v>
      </c>
      <c r="K22">
        <f>+'q9'!$J$45</f>
        <v>62433</v>
      </c>
      <c r="L22">
        <f>+'q9'!$K$45</f>
        <v>61474</v>
      </c>
      <c r="M22">
        <f>+'q9'!$L$45</f>
        <v>64779</v>
      </c>
      <c r="N22">
        <f>+'q9'!$M$45</f>
        <v>69358</v>
      </c>
      <c r="R22" t="str">
        <f t="shared" si="3"/>
        <v>P</v>
      </c>
      <c r="S22">
        <f t="shared" si="1"/>
        <v>53165</v>
      </c>
      <c r="T22">
        <f t="shared" si="2"/>
        <v>53776</v>
      </c>
      <c r="U22">
        <f t="shared" si="2"/>
        <v>56603</v>
      </c>
      <c r="V22">
        <f t="shared" si="2"/>
        <v>56595</v>
      </c>
      <c r="W22">
        <f t="shared" si="2"/>
        <v>56216</v>
      </c>
      <c r="X22">
        <f t="shared" si="2"/>
        <v>60367</v>
      </c>
      <c r="Y22">
        <f t="shared" si="2"/>
        <v>60849</v>
      </c>
      <c r="Z22">
        <f t="shared" si="2"/>
        <v>62433</v>
      </c>
      <c r="AA22">
        <f t="shared" si="2"/>
        <v>61474</v>
      </c>
      <c r="AB22">
        <f t="shared" si="2"/>
        <v>64779</v>
      </c>
      <c r="AC22">
        <f t="shared" si="2"/>
        <v>69358</v>
      </c>
    </row>
    <row r="23" spans="1:54">
      <c r="A23" s="456"/>
      <c r="B23" t="str">
        <f>+'q9'!$A$46</f>
        <v>Q</v>
      </c>
      <c r="C23" t="str">
        <f>+'q9'!$B$46</f>
        <v>Ativ. saúde humana e apoio social</v>
      </c>
      <c r="D23">
        <f>+'q9'!$C$46</f>
        <v>222574</v>
      </c>
      <c r="E23">
        <f>+'q9'!$D$46</f>
        <v>229330</v>
      </c>
      <c r="F23">
        <f>+'q9'!$E$46</f>
        <v>241051</v>
      </c>
      <c r="G23">
        <f>+'q9'!$F$46</f>
        <v>254988</v>
      </c>
      <c r="H23">
        <f>+'q9'!$G$46</f>
        <v>265423</v>
      </c>
      <c r="I23">
        <f>+'q9'!$H$46</f>
        <v>271575</v>
      </c>
      <c r="J23">
        <f>+'q9'!$I$46</f>
        <v>278424</v>
      </c>
      <c r="K23">
        <f>+'q9'!$J$46</f>
        <v>289188</v>
      </c>
      <c r="L23">
        <f>+'q9'!$K$46</f>
        <v>295748</v>
      </c>
      <c r="M23">
        <f>+'q9'!$L$46</f>
        <v>309107</v>
      </c>
      <c r="N23">
        <f>+'q9'!$M$46</f>
        <v>319140</v>
      </c>
      <c r="R23" t="str">
        <f t="shared" si="3"/>
        <v>Q</v>
      </c>
      <c r="S23">
        <f t="shared" si="1"/>
        <v>222574</v>
      </c>
      <c r="T23">
        <f t="shared" ref="T23:AC26" si="4">IF($Q$3=1, VLOOKUP($R$7:$R$26,$B$6:$N$26,COLUMN(E23)-1,0),VLOOKUP($R$7:$R$26,$B$31:$N$50,COLUMN(E23)-1,0))</f>
        <v>229330</v>
      </c>
      <c r="U23">
        <f t="shared" si="4"/>
        <v>241051</v>
      </c>
      <c r="V23">
        <f t="shared" si="4"/>
        <v>254988</v>
      </c>
      <c r="W23">
        <f t="shared" si="4"/>
        <v>265423</v>
      </c>
      <c r="X23">
        <f t="shared" si="4"/>
        <v>271575</v>
      </c>
      <c r="Y23">
        <f t="shared" si="4"/>
        <v>278424</v>
      </c>
      <c r="Z23">
        <f t="shared" si="4"/>
        <v>289188</v>
      </c>
      <c r="AA23">
        <f t="shared" si="4"/>
        <v>295748</v>
      </c>
      <c r="AB23">
        <f t="shared" si="4"/>
        <v>309107</v>
      </c>
      <c r="AC23">
        <f t="shared" si="4"/>
        <v>319140</v>
      </c>
    </row>
    <row r="24" spans="1:54">
      <c r="A24" s="456"/>
      <c r="B24" t="str">
        <f>+'q9'!$A$47</f>
        <v>R</v>
      </c>
      <c r="C24" t="str">
        <f>+'q9'!$B$47</f>
        <v>Ativ. artíst., espet., desp. e recr.</v>
      </c>
      <c r="D24">
        <f>+'q9'!$C$47</f>
        <v>21362</v>
      </c>
      <c r="E24">
        <f>+'q9'!$D$47</f>
        <v>20524</v>
      </c>
      <c r="F24">
        <f>+'q9'!$E$47</f>
        <v>22785</v>
      </c>
      <c r="G24">
        <f>+'q9'!$F$47</f>
        <v>23892</v>
      </c>
      <c r="H24">
        <f>+'q9'!$G$47</f>
        <v>26109</v>
      </c>
      <c r="I24">
        <f>+'q9'!$H$47</f>
        <v>28777</v>
      </c>
      <c r="J24">
        <f>+'q9'!$I$47</f>
        <v>30427</v>
      </c>
      <c r="K24">
        <f>+'q9'!$J$47</f>
        <v>28691</v>
      </c>
      <c r="L24">
        <f>+'q9'!$K$47</f>
        <v>31034</v>
      </c>
      <c r="M24">
        <f>+'q9'!$L$47</f>
        <v>33359</v>
      </c>
      <c r="N24">
        <f>+'q9'!$M$47</f>
        <v>36709</v>
      </c>
      <c r="R24" t="str">
        <f t="shared" si="3"/>
        <v>R</v>
      </c>
      <c r="S24">
        <f t="shared" si="1"/>
        <v>21362</v>
      </c>
      <c r="T24">
        <f t="shared" si="4"/>
        <v>20524</v>
      </c>
      <c r="U24">
        <f t="shared" si="4"/>
        <v>22785</v>
      </c>
      <c r="V24">
        <f t="shared" si="4"/>
        <v>23892</v>
      </c>
      <c r="W24">
        <f t="shared" si="4"/>
        <v>26109</v>
      </c>
      <c r="X24">
        <f t="shared" si="4"/>
        <v>28777</v>
      </c>
      <c r="Y24">
        <f t="shared" si="4"/>
        <v>30427</v>
      </c>
      <c r="Z24">
        <f t="shared" si="4"/>
        <v>28691</v>
      </c>
      <c r="AA24">
        <f t="shared" si="4"/>
        <v>31034</v>
      </c>
      <c r="AB24">
        <f t="shared" si="4"/>
        <v>33359</v>
      </c>
      <c r="AC24">
        <f t="shared" si="4"/>
        <v>36709</v>
      </c>
    </row>
    <row r="25" spans="1:54">
      <c r="A25" s="456"/>
      <c r="B25" t="str">
        <f>+'q9'!$A$48</f>
        <v>S</v>
      </c>
      <c r="C25" t="str">
        <f>+'q9'!$B$48</f>
        <v>Outras atividades de serviços</v>
      </c>
      <c r="D25">
        <f>+'q9'!$C$48</f>
        <v>67041</v>
      </c>
      <c r="E25">
        <f>+'q9'!$D$48</f>
        <v>67966</v>
      </c>
      <c r="F25">
        <f>+'q9'!$E$48</f>
        <v>65669</v>
      </c>
      <c r="G25">
        <f>+'q9'!$F$48</f>
        <v>66238</v>
      </c>
      <c r="H25">
        <f>+'q9'!$G$48</f>
        <v>64042</v>
      </c>
      <c r="I25">
        <f>+'q9'!$H$48</f>
        <v>66801</v>
      </c>
      <c r="J25">
        <f>+'q9'!$I$48</f>
        <v>63852</v>
      </c>
      <c r="K25">
        <f>+'q9'!$J$48</f>
        <v>61955</v>
      </c>
      <c r="L25">
        <f>+'q9'!$K$48</f>
        <v>60477</v>
      </c>
      <c r="M25">
        <f>+'q9'!$L$48</f>
        <v>63987</v>
      </c>
      <c r="N25">
        <f>+'q9'!$M$48</f>
        <v>63846</v>
      </c>
      <c r="R25" t="str">
        <f t="shared" si="3"/>
        <v>S</v>
      </c>
      <c r="S25">
        <f t="shared" si="1"/>
        <v>67041</v>
      </c>
      <c r="T25">
        <f t="shared" si="4"/>
        <v>67966</v>
      </c>
      <c r="U25">
        <f t="shared" si="4"/>
        <v>65669</v>
      </c>
      <c r="V25">
        <f t="shared" si="4"/>
        <v>66238</v>
      </c>
      <c r="W25">
        <f t="shared" si="4"/>
        <v>64042</v>
      </c>
      <c r="X25">
        <f t="shared" si="4"/>
        <v>66801</v>
      </c>
      <c r="Y25">
        <f t="shared" si="4"/>
        <v>63852</v>
      </c>
      <c r="Z25">
        <f t="shared" si="4"/>
        <v>61955</v>
      </c>
      <c r="AA25">
        <f t="shared" si="4"/>
        <v>60477</v>
      </c>
      <c r="AB25">
        <f t="shared" si="4"/>
        <v>63987</v>
      </c>
      <c r="AC25">
        <f t="shared" si="4"/>
        <v>63846</v>
      </c>
    </row>
    <row r="26" spans="1:54">
      <c r="A26" s="456"/>
      <c r="B26" t="str">
        <f>+'q9'!$A$49</f>
        <v>U</v>
      </c>
      <c r="C26" t="str">
        <f>+'q9'!$B$49</f>
        <v>Ativ. org. int. e o. inst. extra-territ.</v>
      </c>
      <c r="D26">
        <f>+'q9'!$C$49</f>
        <v>83</v>
      </c>
      <c r="E26">
        <f>+'q9'!$D$49</f>
        <v>93</v>
      </c>
      <c r="F26">
        <f>+'q9'!$E$49</f>
        <v>91</v>
      </c>
      <c r="G26">
        <f>+'q9'!$F$49</f>
        <v>106</v>
      </c>
      <c r="H26">
        <f>+'q9'!$G$49</f>
        <v>95</v>
      </c>
      <c r="I26">
        <f>+'q9'!$H$49</f>
        <v>97</v>
      </c>
      <c r="J26">
        <f>+'q9'!$I$49</f>
        <v>102</v>
      </c>
      <c r="K26">
        <f>+'q9'!$J$49</f>
        <v>119</v>
      </c>
      <c r="L26">
        <f>+'q9'!$K$49</f>
        <v>107</v>
      </c>
      <c r="M26">
        <f>+'q9'!$L$49</f>
        <v>125</v>
      </c>
      <c r="N26">
        <f>+'q9'!$M$49</f>
        <v>145</v>
      </c>
      <c r="R26" t="str">
        <f t="shared" si="3"/>
        <v>U</v>
      </c>
      <c r="S26">
        <f t="shared" si="1"/>
        <v>83</v>
      </c>
      <c r="T26">
        <f t="shared" si="4"/>
        <v>93</v>
      </c>
      <c r="U26">
        <f t="shared" si="4"/>
        <v>91</v>
      </c>
      <c r="V26">
        <f t="shared" si="4"/>
        <v>106</v>
      </c>
      <c r="W26">
        <f t="shared" si="4"/>
        <v>95</v>
      </c>
      <c r="X26">
        <f t="shared" si="4"/>
        <v>97</v>
      </c>
      <c r="Y26">
        <f t="shared" si="4"/>
        <v>102</v>
      </c>
      <c r="Z26">
        <f t="shared" si="4"/>
        <v>119</v>
      </c>
      <c r="AA26">
        <f t="shared" si="4"/>
        <v>107</v>
      </c>
      <c r="AB26">
        <f t="shared" si="4"/>
        <v>125</v>
      </c>
      <c r="AC26">
        <f t="shared" si="4"/>
        <v>145</v>
      </c>
      <c r="AN26" s="456"/>
    </row>
    <row r="27" spans="1:54">
      <c r="A27" s="456"/>
      <c r="B27" s="456" t="s">
        <v>229</v>
      </c>
      <c r="C27" s="456"/>
      <c r="D27">
        <f>+'q10'!$B$6+'q10'!$B$7</f>
        <v>807035</v>
      </c>
      <c r="E27">
        <f>+'q10'!$C$6+'q10'!$C$7</f>
        <v>817718</v>
      </c>
      <c r="F27">
        <f>+'q10'!$D$6+'q10'!$D$7</f>
        <v>828965</v>
      </c>
      <c r="G27">
        <f>+'q10'!$E$6+'q10'!$E$7</f>
        <v>840792</v>
      </c>
      <c r="H27">
        <f>+'q10'!$F$6+'q10'!$F$7</f>
        <v>849655</v>
      </c>
      <c r="I27">
        <f>+'q10'!$G$6+'q10'!$G$7</f>
        <v>861111</v>
      </c>
      <c r="J27">
        <f>+'q10'!$H$6+'q10'!$H$7</f>
        <v>845876</v>
      </c>
      <c r="K27">
        <f>+'q10'!$I$6+'q10'!$I$7</f>
        <v>853076</v>
      </c>
      <c r="L27">
        <f>+'q10'!$J$6+'q10'!$J$7</f>
        <v>837669</v>
      </c>
      <c r="M27">
        <f>+'q10'!$K$6+'q10'!$K$7</f>
        <v>873069</v>
      </c>
      <c r="N27">
        <f>+'q10'!$L$6+'q10'!$L$7</f>
        <v>893226</v>
      </c>
    </row>
    <row r="28" spans="1:54">
      <c r="A28" s="456"/>
      <c r="B28" s="456" t="s">
        <v>479</v>
      </c>
      <c r="C28" s="456"/>
      <c r="D28">
        <f>+'q10'!$B$8+'q10'!$B$9</f>
        <v>754503</v>
      </c>
      <c r="E28">
        <f>+'q10'!$C$8+'q10'!$C$9</f>
        <v>781002</v>
      </c>
      <c r="F28">
        <f>+'q10'!$D$8+'q10'!$D$9</f>
        <v>809264</v>
      </c>
      <c r="G28">
        <f>+'q10'!$E$8+'q10'!$E$9</f>
        <v>838406</v>
      </c>
      <c r="H28">
        <f>+'q10'!$F$8+'q10'!$F$9</f>
        <v>880167</v>
      </c>
      <c r="I28">
        <f>+'q10'!$G$8+'q10'!$G$9</f>
        <v>916605</v>
      </c>
      <c r="J28">
        <f>+'q10'!$H$8+'q10'!$H$9</f>
        <v>936633</v>
      </c>
      <c r="K28">
        <f>+'q10'!$I$8+'q10'!$I$9</f>
        <v>923119</v>
      </c>
      <c r="L28">
        <f>+'q10'!$J$8+'q10'!$J$9</f>
        <v>932577</v>
      </c>
      <c r="M28">
        <f>+'q10'!$K$8+'q10'!$K$9</f>
        <v>1004253</v>
      </c>
      <c r="N28">
        <f>+'q10'!$L$8+'q10'!$L$9</f>
        <v>1056104</v>
      </c>
    </row>
    <row r="29" spans="1:54">
      <c r="A29" s="456"/>
      <c r="B29" s="456" t="s">
        <v>480</v>
      </c>
      <c r="C29" s="456"/>
      <c r="D29">
        <f>+'q10'!$B$10+'q10'!$B$11+'q10'!$B$12+'q10'!$B$13</f>
        <v>567809</v>
      </c>
      <c r="E29">
        <f>+'q10'!$C$10+'q10'!$C$11+'q10'!$C$12+'q10'!$C$13</f>
        <v>586678</v>
      </c>
      <c r="F29">
        <f>+'q10'!$D$10+'q10'!$D$11+'q10'!$D$12+'q10'!$D$13</f>
        <v>606103</v>
      </c>
      <c r="G29">
        <f>+'q10'!$E$10+'q10'!$E$11+'q10'!$E$12+'q10'!$E$13</f>
        <v>632612</v>
      </c>
      <c r="H29">
        <f>+'q10'!$F$10+'q10'!$F$11+'q10'!$F$12+'q10'!$F$13</f>
        <v>664431</v>
      </c>
      <c r="I29">
        <f>+'q10'!$G$10+'q10'!$G$11+'q10'!$G$12+'q10'!$G$13</f>
        <v>700099</v>
      </c>
      <c r="J29">
        <f>+'q10'!$H$10+'q10'!$H$11+'q10'!$H$12+'q10'!$H$13</f>
        <v>716788</v>
      </c>
      <c r="K29">
        <f>+'q10'!$I$10+'q10'!$I$11+'q10'!$I$12+'q10'!$I$13</f>
        <v>705873</v>
      </c>
      <c r="L29">
        <f>+'q10'!$J$10+'q10'!$J$11+'q10'!$J$12+'q10'!$J$13</f>
        <v>724835</v>
      </c>
      <c r="M29">
        <f>+'q10'!$K$10+'q10'!$K$11+'q10'!$K$12+'q10'!$K$13</f>
        <v>794196</v>
      </c>
      <c r="N29">
        <f>+'q10'!$L$10+'q10'!$L$11+'q10'!$L$12+'q10'!$L$13</f>
        <v>832992</v>
      </c>
    </row>
    <row r="30" spans="1:54">
      <c r="A30" s="456"/>
      <c r="B30" s="456" t="s">
        <v>238</v>
      </c>
      <c r="C30" s="456"/>
      <c r="D30">
        <f>+'q10'!$B$14+'q10'!$B$15+'q10'!$B$16</f>
        <v>424110</v>
      </c>
      <c r="E30">
        <f>+'q10'!$C$14+'q10'!$C$15+'q10'!$C$16</f>
        <v>449091</v>
      </c>
      <c r="F30">
        <f>+'q10'!$D$14+'q10'!$D$15+'q10'!$D$16</f>
        <v>469722</v>
      </c>
      <c r="G30">
        <f>+'q10'!$E$14+'q10'!$E$15+'q10'!$E$16</f>
        <v>506174</v>
      </c>
      <c r="H30">
        <f>+'q10'!$F$14+'q10'!$F$15+'q10'!$F$16</f>
        <v>550734</v>
      </c>
      <c r="I30">
        <f>+'q10'!$G$14+'q10'!$G$15+'q10'!$G$16</f>
        <v>580834</v>
      </c>
      <c r="J30">
        <f>+'q10'!$H$14+'q10'!$H$15+'q10'!$H$16</f>
        <v>609353</v>
      </c>
      <c r="K30">
        <f>+'q10'!$I$14+'q10'!$I$15+'q10'!$I$16</f>
        <v>599925</v>
      </c>
      <c r="L30">
        <f>+'q10'!$J$14+'q10'!$J$15+'q10'!$J$16</f>
        <v>604893</v>
      </c>
      <c r="M30">
        <f>+'q10'!$K$14+'q10'!$K$15+'q10'!$K$16</f>
        <v>663306</v>
      </c>
      <c r="N30">
        <f>+'q10'!$L$14+'q10'!$L$15+'q10'!$L$16</f>
        <v>704887</v>
      </c>
      <c r="S30">
        <f>+S6</f>
        <v>2013</v>
      </c>
      <c r="T30">
        <f t="shared" ref="T30:AC30" si="5">+T6</f>
        <v>2014</v>
      </c>
      <c r="U30">
        <f t="shared" si="5"/>
        <v>2015</v>
      </c>
      <c r="V30">
        <f t="shared" si="5"/>
        <v>2016</v>
      </c>
      <c r="W30">
        <f t="shared" si="5"/>
        <v>2017</v>
      </c>
      <c r="X30">
        <f t="shared" si="5"/>
        <v>2018</v>
      </c>
      <c r="Y30">
        <f t="shared" si="5"/>
        <v>2019</v>
      </c>
      <c r="Z30">
        <f t="shared" si="5"/>
        <v>2020</v>
      </c>
      <c r="AA30">
        <f t="shared" si="5"/>
        <v>2021</v>
      </c>
      <c r="AB30">
        <f t="shared" si="5"/>
        <v>2022</v>
      </c>
      <c r="AC30">
        <f t="shared" si="5"/>
        <v>2023</v>
      </c>
    </row>
    <row r="31" spans="1:54">
      <c r="A31" s="456" t="s">
        <v>185</v>
      </c>
      <c r="B31" t="str">
        <f>+'q13'!$A$6</f>
        <v>A</v>
      </c>
      <c r="C31" t="str">
        <f>+'q13'!$B$6</f>
        <v>Agr., pr. animal, caça, flor. pesca</v>
      </c>
      <c r="D31">
        <f>+'q13'!$C$6</f>
        <v>52455</v>
      </c>
      <c r="E31">
        <f>+'q13'!$D$6</f>
        <v>54661</v>
      </c>
      <c r="F31">
        <f>+'q13'!$E$6</f>
        <v>57045</v>
      </c>
      <c r="G31">
        <f>+'q13'!$F$6</f>
        <v>60375</v>
      </c>
      <c r="H31">
        <f>+'q13'!$G$6</f>
        <v>61737</v>
      </c>
      <c r="I31">
        <f>+'q13'!$H$6</f>
        <v>65121</v>
      </c>
      <c r="J31">
        <f>+'q13'!$I$6</f>
        <v>66106</v>
      </c>
      <c r="K31">
        <f>+'q13'!$J$6</f>
        <v>69923</v>
      </c>
      <c r="L31">
        <f>+'q13'!$K$6</f>
        <v>68486</v>
      </c>
      <c r="M31">
        <f>+'q13'!$L$6</f>
        <v>74274</v>
      </c>
      <c r="N31">
        <f>+'q13'!$M$6</f>
        <v>78184</v>
      </c>
      <c r="Q31" t="str">
        <f>INDEX($A$2:$A$3,$Q$3)</f>
        <v>Pessoas ao serviço</v>
      </c>
      <c r="R31" s="456" t="str">
        <f>+B27</f>
        <v>Micro (1-9 pessoas)</v>
      </c>
      <c r="S31">
        <f>IF($Q$3=1,VLOOKUP($R$31:$R$34,$B$27:$N$30,COLUMN(D27)-1,0),VLOOKUP($R$31:$R$34,$B$51:$N$54,COLUMN(D27)-1,0))</f>
        <v>807035</v>
      </c>
      <c r="T31">
        <f t="shared" ref="T31:AC34" si="6">IF($Q$3=1,VLOOKUP($R$31:$R$34,$B$27:$N$30,COLUMN(E27)-1,0),VLOOKUP($R$31:$R$34,$B$51:$N$54,COLUMN(E27)-1,0))</f>
        <v>817718</v>
      </c>
      <c r="U31">
        <f t="shared" si="6"/>
        <v>828965</v>
      </c>
      <c r="V31">
        <f t="shared" si="6"/>
        <v>840792</v>
      </c>
      <c r="W31">
        <f t="shared" si="6"/>
        <v>849655</v>
      </c>
      <c r="X31">
        <f t="shared" si="6"/>
        <v>861111</v>
      </c>
      <c r="Y31">
        <f t="shared" si="6"/>
        <v>845876</v>
      </c>
      <c r="Z31">
        <f t="shared" si="6"/>
        <v>853076</v>
      </c>
      <c r="AA31">
        <f t="shared" si="6"/>
        <v>837669</v>
      </c>
      <c r="AB31">
        <f t="shared" si="6"/>
        <v>873069</v>
      </c>
      <c r="AC31">
        <f t="shared" si="6"/>
        <v>893226</v>
      </c>
    </row>
    <row r="32" spans="1:54">
      <c r="A32" s="456"/>
      <c r="B32" t="str">
        <f>+'q13'!$A$7</f>
        <v>B</v>
      </c>
      <c r="C32" t="str">
        <f>+'q13'!$B$7</f>
        <v>Indústrias extrativas</v>
      </c>
      <c r="D32">
        <f>+'q13'!$C$7</f>
        <v>8319</v>
      </c>
      <c r="E32">
        <f>+'q13'!$D$7</f>
        <v>8158</v>
      </c>
      <c r="F32">
        <f>+'q13'!$E$7</f>
        <v>8132</v>
      </c>
      <c r="G32">
        <f>+'q13'!$F$7</f>
        <v>8049</v>
      </c>
      <c r="H32">
        <f>+'q13'!$G$7</f>
        <v>8407</v>
      </c>
      <c r="I32">
        <f>+'q13'!$H$7</f>
        <v>8338</v>
      </c>
      <c r="J32">
        <f>+'q13'!$I$7</f>
        <v>8161</v>
      </c>
      <c r="K32">
        <f>+'q13'!$J$7</f>
        <v>8029</v>
      </c>
      <c r="L32">
        <f>+'q13'!$K$7</f>
        <v>8140</v>
      </c>
      <c r="M32">
        <f>+'q13'!$L$7</f>
        <v>8518</v>
      </c>
      <c r="N32">
        <f>+'q13'!$M$7</f>
        <v>9125</v>
      </c>
      <c r="R32" s="456" t="str">
        <f t="shared" ref="R32:R34" si="7">+B28</f>
        <v>Pequenos (10 - 49 pessoas)</v>
      </c>
      <c r="S32">
        <f>IF($Q$3=1,VLOOKUP($R$31:$R$34,$B$27:$N$30,COLUMN(D28)-1,0),VLOOKUP($R$31:$R$34,$B$51:$N$54,COLUMN(D28)-1,0))</f>
        <v>754503</v>
      </c>
      <c r="T32">
        <f t="shared" si="6"/>
        <v>781002</v>
      </c>
      <c r="U32">
        <f t="shared" si="6"/>
        <v>809264</v>
      </c>
      <c r="V32">
        <f t="shared" si="6"/>
        <v>838406</v>
      </c>
      <c r="W32">
        <f t="shared" si="6"/>
        <v>880167</v>
      </c>
      <c r="X32">
        <f t="shared" si="6"/>
        <v>916605</v>
      </c>
      <c r="Y32">
        <f t="shared" si="6"/>
        <v>936633</v>
      </c>
      <c r="Z32">
        <f t="shared" si="6"/>
        <v>923119</v>
      </c>
      <c r="AA32">
        <f t="shared" si="6"/>
        <v>932577</v>
      </c>
      <c r="AB32">
        <f t="shared" si="6"/>
        <v>1004253</v>
      </c>
      <c r="AC32">
        <f t="shared" si="6"/>
        <v>1056104</v>
      </c>
    </row>
    <row r="33" spans="1:50">
      <c r="A33" s="456"/>
      <c r="B33" t="str">
        <f>+'q13'!$A$8</f>
        <v>C</v>
      </c>
      <c r="C33" t="str">
        <f>+'q13'!$B$8</f>
        <v>Indústrias transformadoras</v>
      </c>
      <c r="D33">
        <f>+'q13'!$C$8</f>
        <v>541161</v>
      </c>
      <c r="E33">
        <f>+'q13'!$D$8</f>
        <v>557477</v>
      </c>
      <c r="F33">
        <f>+'q13'!$E$8</f>
        <v>572207</v>
      </c>
      <c r="G33">
        <f>+'q13'!$F$8</f>
        <v>589603</v>
      </c>
      <c r="H33">
        <f>+'q13'!$G$8</f>
        <v>613379</v>
      </c>
      <c r="I33">
        <f>+'q13'!$H$8</f>
        <v>633595</v>
      </c>
      <c r="J33">
        <f>+'q13'!$I$8</f>
        <v>625633</v>
      </c>
      <c r="K33">
        <f>+'q13'!$J$8</f>
        <v>614674</v>
      </c>
      <c r="L33">
        <f>+'q13'!$K$8</f>
        <v>612054</v>
      </c>
      <c r="M33">
        <f>+'q13'!$L$8</f>
        <v>642354</v>
      </c>
      <c r="N33">
        <f>+'q13'!$M$8</f>
        <v>650876</v>
      </c>
      <c r="R33" s="456" t="str">
        <f t="shared" si="7"/>
        <v>Médios (50 - 249 pessoas)</v>
      </c>
      <c r="S33">
        <f>IF($Q$3=1,VLOOKUP($R$31:$R$34,$B$27:$N$30,COLUMN(D29)-1,0),VLOOKUP($R$31:$R$34,$B$51:$N$54,COLUMN(D29)-1,0))</f>
        <v>567809</v>
      </c>
      <c r="T33">
        <f t="shared" si="6"/>
        <v>586678</v>
      </c>
      <c r="U33">
        <f t="shared" si="6"/>
        <v>606103</v>
      </c>
      <c r="V33">
        <f t="shared" si="6"/>
        <v>632612</v>
      </c>
      <c r="W33">
        <f t="shared" si="6"/>
        <v>664431</v>
      </c>
      <c r="X33">
        <f t="shared" si="6"/>
        <v>700099</v>
      </c>
      <c r="Y33">
        <f t="shared" si="6"/>
        <v>716788</v>
      </c>
      <c r="Z33">
        <f t="shared" si="6"/>
        <v>705873</v>
      </c>
      <c r="AA33">
        <f t="shared" si="6"/>
        <v>724835</v>
      </c>
      <c r="AB33">
        <f t="shared" si="6"/>
        <v>794196</v>
      </c>
      <c r="AC33">
        <f t="shared" si="6"/>
        <v>832992</v>
      </c>
    </row>
    <row r="34" spans="1:50">
      <c r="A34" s="456"/>
      <c r="B34" t="str">
        <f>+'q13'!$A$33</f>
        <v>D</v>
      </c>
      <c r="C34" t="str">
        <f>+'q13'!$B$33</f>
        <v>Eletr., gás, ág. quente/fria e ar frio</v>
      </c>
      <c r="D34">
        <f>+'q13'!$C$33</f>
        <v>6577</v>
      </c>
      <c r="E34">
        <f>+'q13'!$D$33</f>
        <v>6277</v>
      </c>
      <c r="F34">
        <f>+'q13'!$E$33</f>
        <v>6611</v>
      </c>
      <c r="G34">
        <f>+'q13'!$F$33</f>
        <v>6390</v>
      </c>
      <c r="H34">
        <f>+'q13'!$G$33</f>
        <v>6505</v>
      </c>
      <c r="I34">
        <f>+'q13'!$H$33</f>
        <v>6748</v>
      </c>
      <c r="J34">
        <f>+'q13'!$I$33</f>
        <v>6736</v>
      </c>
      <c r="K34">
        <f>+'q13'!$J$33</f>
        <v>6671</v>
      </c>
      <c r="L34">
        <f>+'q13'!$K$33</f>
        <v>6574</v>
      </c>
      <c r="M34">
        <f>+'q13'!$L$33</f>
        <v>6551</v>
      </c>
      <c r="N34">
        <f>+'q13'!$M$33</f>
        <v>6954</v>
      </c>
      <c r="R34" s="456" t="str">
        <f t="shared" si="7"/>
        <v>Grandes (250 ou + pessoas)</v>
      </c>
      <c r="S34">
        <f>IF($Q$3=1,VLOOKUP($R$31:$R$34,$B$27:$N$30,COLUMN(D30)-1,0),VLOOKUP($R$31:$R$34,$B$51:$N$54,COLUMN(D30)-1,0))</f>
        <v>424110</v>
      </c>
      <c r="T34">
        <f t="shared" si="6"/>
        <v>449091</v>
      </c>
      <c r="U34">
        <f t="shared" si="6"/>
        <v>469722</v>
      </c>
      <c r="V34">
        <f t="shared" si="6"/>
        <v>506174</v>
      </c>
      <c r="W34">
        <f t="shared" si="6"/>
        <v>550734</v>
      </c>
      <c r="X34">
        <f t="shared" si="6"/>
        <v>580834</v>
      </c>
      <c r="Y34">
        <f t="shared" si="6"/>
        <v>609353</v>
      </c>
      <c r="Z34">
        <f t="shared" si="6"/>
        <v>599925</v>
      </c>
      <c r="AA34">
        <f t="shared" si="6"/>
        <v>604893</v>
      </c>
      <c r="AB34">
        <f t="shared" si="6"/>
        <v>663306</v>
      </c>
      <c r="AC34">
        <f t="shared" si="6"/>
        <v>704887</v>
      </c>
    </row>
    <row r="35" spans="1:50">
      <c r="A35" s="456"/>
      <c r="B35" t="str">
        <f>+'q13'!$A$34</f>
        <v>E</v>
      </c>
      <c r="C35" t="str">
        <f>+'q13'!$B$34</f>
        <v>Capt., trat. e d. água; san., resíd.</v>
      </c>
      <c r="D35">
        <f>+'q13'!$C$34</f>
        <v>20353</v>
      </c>
      <c r="E35">
        <f>+'q13'!$D$34</f>
        <v>20348</v>
      </c>
      <c r="F35">
        <f>+'q13'!$E$34</f>
        <v>20860</v>
      </c>
      <c r="G35">
        <f>+'q13'!$F$34</f>
        <v>22233</v>
      </c>
      <c r="H35">
        <f>+'q13'!$G$34</f>
        <v>23079</v>
      </c>
      <c r="I35">
        <f>+'q13'!$H$34</f>
        <v>23567</v>
      </c>
      <c r="J35">
        <f>+'q13'!$I$34</f>
        <v>24904</v>
      </c>
      <c r="K35">
        <f>+'q13'!$J$34</f>
        <v>25711</v>
      </c>
      <c r="L35">
        <f>+'q13'!$K$34</f>
        <v>27469</v>
      </c>
      <c r="M35">
        <f>+'q13'!$L$34</f>
        <v>28585</v>
      </c>
      <c r="N35">
        <f>+'q13'!$M$34</f>
        <v>29229</v>
      </c>
    </row>
    <row r="36" spans="1:50">
      <c r="A36" s="456"/>
      <c r="B36" t="str">
        <f>+'q13'!$A$35</f>
        <v>F</v>
      </c>
      <c r="C36" t="str">
        <f>+'q13'!$B$35</f>
        <v>Construção</v>
      </c>
      <c r="D36">
        <f>+'q13'!$C$35</f>
        <v>178328</v>
      </c>
      <c r="E36">
        <f>+'q13'!$D$35</f>
        <v>178366</v>
      </c>
      <c r="F36">
        <f>+'q13'!$E$35</f>
        <v>178864</v>
      </c>
      <c r="G36">
        <f>+'q13'!$F$35</f>
        <v>183547</v>
      </c>
      <c r="H36">
        <f>+'q13'!$G$35</f>
        <v>195420</v>
      </c>
      <c r="I36">
        <f>+'q13'!$H$35</f>
        <v>206868</v>
      </c>
      <c r="J36">
        <f>+'q13'!$I$35</f>
        <v>219984</v>
      </c>
      <c r="K36">
        <f>+'q13'!$J$35</f>
        <v>232381</v>
      </c>
      <c r="L36">
        <f>+'q13'!$K$35</f>
        <v>234450</v>
      </c>
      <c r="M36">
        <f>+'q13'!$L$35</f>
        <v>253501</v>
      </c>
      <c r="N36">
        <f>+'q13'!$M$35</f>
        <v>275564</v>
      </c>
    </row>
    <row r="37" spans="1:50">
      <c r="A37" s="456"/>
      <c r="B37" t="str">
        <f>+'q13'!$A$36</f>
        <v>G</v>
      </c>
      <c r="C37" t="str">
        <f>+'q13'!$B$36</f>
        <v>Com. grosso e ret.; r.v.aut./moto.</v>
      </c>
      <c r="D37">
        <f>+'q13'!$C$36</f>
        <v>452371</v>
      </c>
      <c r="E37">
        <f>+'q13'!$D$36</f>
        <v>463519</v>
      </c>
      <c r="F37">
        <f>+'q13'!$E$36</f>
        <v>478256</v>
      </c>
      <c r="G37">
        <f>+'q13'!$F$36</f>
        <v>492250</v>
      </c>
      <c r="H37">
        <f>+'q13'!$G$36</f>
        <v>507360</v>
      </c>
      <c r="I37">
        <f>+'q13'!$H$36</f>
        <v>522673</v>
      </c>
      <c r="J37">
        <f>+'q13'!$I$36</f>
        <v>538367</v>
      </c>
      <c r="K37">
        <f>+'q13'!$J$36</f>
        <v>525816</v>
      </c>
      <c r="L37">
        <f>+'q13'!$K$36</f>
        <v>533620</v>
      </c>
      <c r="M37">
        <f>+'q13'!$L$36</f>
        <v>559353</v>
      </c>
      <c r="N37">
        <f>+'q13'!$M$36</f>
        <v>577407</v>
      </c>
    </row>
    <row r="38" spans="1:50">
      <c r="A38" s="456"/>
      <c r="B38" t="str">
        <f>+'q13'!$A$37</f>
        <v>H</v>
      </c>
      <c r="C38" t="str">
        <f>+'q13'!$B$37</f>
        <v>Transportes e armazenagem</v>
      </c>
      <c r="D38">
        <f>+'q13'!$C$37</f>
        <v>116904</v>
      </c>
      <c r="E38">
        <f>+'q13'!$D$37</f>
        <v>122986</v>
      </c>
      <c r="F38">
        <f>+'q13'!$E$37</f>
        <v>127238</v>
      </c>
      <c r="G38">
        <f>+'q13'!$F$37</f>
        <v>132842</v>
      </c>
      <c r="H38">
        <f>+'q13'!$G$37</f>
        <v>140148</v>
      </c>
      <c r="I38">
        <f>+'q13'!$H$37</f>
        <v>145741</v>
      </c>
      <c r="J38">
        <f>+'q13'!$I$37</f>
        <v>147408</v>
      </c>
      <c r="K38">
        <f>+'q13'!$J$37</f>
        <v>146314</v>
      </c>
      <c r="L38">
        <f>+'q13'!$K$37</f>
        <v>142969</v>
      </c>
      <c r="M38">
        <f>+'q13'!$L$37</f>
        <v>149925</v>
      </c>
      <c r="N38">
        <f>+'q13'!$M$37</f>
        <v>159412</v>
      </c>
      <c r="P38" s="456"/>
    </row>
    <row r="39" spans="1:50">
      <c r="A39" s="456"/>
      <c r="B39" t="str">
        <f>+'q13'!$A$38</f>
        <v>I</v>
      </c>
      <c r="C39" t="str">
        <f>+'q13'!$B$38</f>
        <v>Alojamento, restauração e sim.</v>
      </c>
      <c r="D39">
        <f>+'q13'!$C$38</f>
        <v>166559</v>
      </c>
      <c r="E39">
        <f>+'q13'!$D$38</f>
        <v>174663</v>
      </c>
      <c r="F39">
        <f>+'q13'!$E$38</f>
        <v>189219</v>
      </c>
      <c r="G39">
        <f>+'q13'!$F$38</f>
        <v>204110</v>
      </c>
      <c r="H39">
        <f>+'q13'!$G$38</f>
        <v>223805</v>
      </c>
      <c r="I39">
        <f>+'q13'!$H$38</f>
        <v>241853</v>
      </c>
      <c r="J39">
        <f>+'q13'!$I$38</f>
        <v>251350</v>
      </c>
      <c r="K39">
        <f>+'q13'!$J$38</f>
        <v>214079</v>
      </c>
      <c r="L39">
        <f>+'q13'!$K$38</f>
        <v>220649</v>
      </c>
      <c r="M39">
        <f>+'q13'!$L$38</f>
        <v>259660</v>
      </c>
      <c r="N39">
        <f>+'q13'!$M$38</f>
        <v>286812</v>
      </c>
      <c r="Q39" s="758"/>
      <c r="R39" s="456"/>
    </row>
    <row r="40" spans="1:50">
      <c r="A40" s="456"/>
      <c r="B40" t="str">
        <f>+'q13'!$A$39</f>
        <v>J</v>
      </c>
      <c r="C40" t="str">
        <f>+'q13'!$B$39</f>
        <v xml:space="preserve">Ativ. Inform. e de comunicação </v>
      </c>
      <c r="D40">
        <f>+'q13'!$C$39</f>
        <v>64630</v>
      </c>
      <c r="E40">
        <f>+'q13'!$D$39</f>
        <v>67783</v>
      </c>
      <c r="F40">
        <f>+'q13'!$E$39</f>
        <v>68812</v>
      </c>
      <c r="G40">
        <f>+'q13'!$F$39</f>
        <v>72936</v>
      </c>
      <c r="H40">
        <f>+'q13'!$G$39</f>
        <v>79205</v>
      </c>
      <c r="I40">
        <f>+'q13'!$H$39</f>
        <v>86973</v>
      </c>
      <c r="J40">
        <f>+'q13'!$I$39</f>
        <v>94794</v>
      </c>
      <c r="K40">
        <f>+'q13'!$J$39</f>
        <v>102655</v>
      </c>
      <c r="L40">
        <f>+'q13'!$K$39</f>
        <v>109224</v>
      </c>
      <c r="M40">
        <f>+'q13'!$L$39</f>
        <v>127560</v>
      </c>
      <c r="N40">
        <f>+'q13'!$M$39</f>
        <v>130681</v>
      </c>
      <c r="Q40" s="758"/>
      <c r="R40" s="456"/>
    </row>
    <row r="41" spans="1:50">
      <c r="A41" s="456"/>
      <c r="B41" t="str">
        <f>+'q13'!$A$40</f>
        <v>K</v>
      </c>
      <c r="C41" t="str">
        <f>+'q13'!$B$40</f>
        <v>Ativ. financeiras e de seguros</v>
      </c>
      <c r="D41">
        <f>+'q13'!$C$40</f>
        <v>80489</v>
      </c>
      <c r="E41">
        <f>+'q13'!$D$40</f>
        <v>79315</v>
      </c>
      <c r="F41">
        <f>+'q13'!$E$40</f>
        <v>77783</v>
      </c>
      <c r="G41">
        <f>+'q13'!$F$40</f>
        <v>76080</v>
      </c>
      <c r="H41">
        <f>+'q13'!$G$40</f>
        <v>74708</v>
      </c>
      <c r="I41">
        <f>+'q13'!$H$40</f>
        <v>75395</v>
      </c>
      <c r="J41">
        <f>+'q13'!$I$40</f>
        <v>69033</v>
      </c>
      <c r="K41">
        <f>+'q13'!$J$40</f>
        <v>75376</v>
      </c>
      <c r="L41">
        <f>+'q13'!$K$40</f>
        <v>74155</v>
      </c>
      <c r="M41">
        <f>+'q13'!$L$40</f>
        <v>76725</v>
      </c>
      <c r="N41">
        <f>+'q13'!$M$40</f>
        <v>79929</v>
      </c>
      <c r="R41" s="457" t="s">
        <v>437</v>
      </c>
    </row>
    <row r="42" spans="1:50">
      <c r="A42" s="456"/>
      <c r="B42" t="str">
        <f>+'q13'!$A$41</f>
        <v>L</v>
      </c>
      <c r="C42" t="str">
        <f>+'q13'!$B$41</f>
        <v>Atividades imobiliárias</v>
      </c>
      <c r="D42">
        <f>+'q13'!$C$41</f>
        <v>15074</v>
      </c>
      <c r="E42">
        <f>+'q13'!$D$41</f>
        <v>16356</v>
      </c>
      <c r="F42">
        <f>+'q13'!$E$41</f>
        <v>17668</v>
      </c>
      <c r="G42">
        <f>+'q13'!$F$41</f>
        <v>18643</v>
      </c>
      <c r="H42">
        <f>+'q13'!$G$41</f>
        <v>20754</v>
      </c>
      <c r="I42">
        <f>+'q13'!$H$41</f>
        <v>23132</v>
      </c>
      <c r="J42">
        <f>+'q13'!$I$41</f>
        <v>24348</v>
      </c>
      <c r="K42">
        <f>+'q13'!$J$41</f>
        <v>24974</v>
      </c>
      <c r="L42">
        <f>+'q13'!$K$41</f>
        <v>26345</v>
      </c>
      <c r="M42">
        <f>+'q13'!$L$41</f>
        <v>28809</v>
      </c>
      <c r="N42">
        <f>+'q13'!$M$41</f>
        <v>31375</v>
      </c>
      <c r="R42" s="457" t="s">
        <v>210</v>
      </c>
      <c r="V42" s="577"/>
    </row>
    <row r="43" spans="1:50">
      <c r="A43" s="456"/>
      <c r="B43" t="str">
        <f>+'q13'!$A$42</f>
        <v>M</v>
      </c>
      <c r="C43" t="str">
        <f>+'q13'!$B$42</f>
        <v>Ativ. consultoria, cient.,téc. e sim.</v>
      </c>
      <c r="D43">
        <f>+'q13'!$C$42</f>
        <v>97511</v>
      </c>
      <c r="E43">
        <f>+'q13'!$D$42</f>
        <v>105085</v>
      </c>
      <c r="F43">
        <f>+'q13'!$E$42</f>
        <v>109770</v>
      </c>
      <c r="G43">
        <f>+'q13'!$F$42</f>
        <v>111974</v>
      </c>
      <c r="H43">
        <f>+'q13'!$G$42</f>
        <v>113617</v>
      </c>
      <c r="I43">
        <f>+'q13'!$H$42</f>
        <v>123636</v>
      </c>
      <c r="J43">
        <f>+'q13'!$I$42</f>
        <v>132611</v>
      </c>
      <c r="K43">
        <f>+'q13'!$J$42</f>
        <v>134408</v>
      </c>
      <c r="L43">
        <f>+'q13'!$K$42</f>
        <v>139839</v>
      </c>
      <c r="M43">
        <f>+'q13'!$L$42</f>
        <v>159252</v>
      </c>
      <c r="N43">
        <f>+'q13'!$M$42</f>
        <v>173417</v>
      </c>
      <c r="R43" s="457" t="s">
        <v>212</v>
      </c>
      <c r="U43" s="457" t="s">
        <v>185</v>
      </c>
      <c r="V43" s="578"/>
    </row>
    <row r="44" spans="1:50">
      <c r="A44" s="456"/>
      <c r="B44" t="str">
        <f>+'q13'!$A$43</f>
        <v>N</v>
      </c>
      <c r="C44" t="str">
        <f>+'q13'!$B$43</f>
        <v>Ativ. Adm. e serviços de apoio</v>
      </c>
      <c r="D44">
        <f>+'q13'!$C$43</f>
        <v>225603</v>
      </c>
      <c r="E44">
        <f>+'q13'!$D$43</f>
        <v>238916</v>
      </c>
      <c r="F44">
        <f>+'q13'!$E$43</f>
        <v>246451</v>
      </c>
      <c r="G44">
        <f>+'q13'!$F$43</f>
        <v>268226</v>
      </c>
      <c r="H44">
        <f>+'q13'!$G$43</f>
        <v>294174</v>
      </c>
      <c r="I44">
        <f>+'q13'!$H$43</f>
        <v>293550</v>
      </c>
      <c r="J44">
        <f>+'q13'!$I$43</f>
        <v>293948</v>
      </c>
      <c r="K44">
        <f>+'q13'!$J$43</f>
        <v>285919</v>
      </c>
      <c r="L44">
        <f>+'q13'!$K$43</f>
        <v>275843</v>
      </c>
      <c r="M44">
        <f>+'q13'!$L$43</f>
        <v>307876</v>
      </c>
      <c r="N44">
        <f>+'q13'!$M$43</f>
        <v>323487</v>
      </c>
      <c r="Q44" s="457" t="s">
        <v>482</v>
      </c>
      <c r="R44" s="594">
        <f>+$V$69</f>
        <v>2023</v>
      </c>
      <c r="S44" s="457" t="str">
        <f>R44&amp;" % do total"</f>
        <v>2023 % do total</v>
      </c>
      <c r="T44" s="457"/>
      <c r="U44" s="594">
        <f>+$V$69</f>
        <v>2023</v>
      </c>
      <c r="W44" s="457" t="str">
        <f>U44&amp;" % do total"</f>
        <v>2023 % do total</v>
      </c>
      <c r="X44" s="457"/>
    </row>
    <row r="45" spans="1:50">
      <c r="A45" s="456"/>
      <c r="B45" t="str">
        <f>+'q13'!$A$44</f>
        <v>O</v>
      </c>
      <c r="C45" t="str">
        <f>+'q13'!$B$44</f>
        <v xml:space="preserve">Adm. Púb. e defesa; seg. social </v>
      </c>
      <c r="D45">
        <f>+'q13'!$C$44</f>
        <v>10222</v>
      </c>
      <c r="E45">
        <f>+'q13'!$D$44</f>
        <v>10787</v>
      </c>
      <c r="F45">
        <f>+'q13'!$E$44</f>
        <v>10612</v>
      </c>
      <c r="G45">
        <f>+'q13'!$F$44</f>
        <v>10688</v>
      </c>
      <c r="H45">
        <f>+'q13'!$G$44</f>
        <v>11236</v>
      </c>
      <c r="I45">
        <f>+'q13'!$H$44</f>
        <v>11602</v>
      </c>
      <c r="J45">
        <f>+'q13'!$I$44</f>
        <v>11794</v>
      </c>
      <c r="K45">
        <f>+'q13'!$J$44</f>
        <v>12327</v>
      </c>
      <c r="L45">
        <f>+'q13'!$K$44</f>
        <v>11997</v>
      </c>
      <c r="M45">
        <f>+'q13'!$L$44</f>
        <v>13111</v>
      </c>
      <c r="N45">
        <f>+'q13'!$M$44</f>
        <v>14202</v>
      </c>
      <c r="Q45" t="str">
        <f>+$U$70</f>
        <v>C</v>
      </c>
      <c r="R45" s="532" t="str">
        <f>+VLOOKUP($Q45,Aux!$B$14:$D$33,3)</f>
        <v>Ind. transf.</v>
      </c>
      <c r="S45" s="565" t="str">
        <f>+TEXT($X$70,"##.###,0%")</f>
        <v>19,4%</v>
      </c>
      <c r="U45" s="532" t="str">
        <f>+$U$79</f>
        <v>C</v>
      </c>
      <c r="V45" s="532" t="str">
        <f>+VLOOKUP($U45,Aux!$B$14:$D$33,3)</f>
        <v>Ind. transf.</v>
      </c>
      <c r="W45" s="565" t="str">
        <f>+TEXT($X$79,"##.###,0%")</f>
        <v>19,7%</v>
      </c>
    </row>
    <row r="46" spans="1:50">
      <c r="A46" s="456"/>
      <c r="B46" t="str">
        <f>+'q13'!$A$45</f>
        <v>P</v>
      </c>
      <c r="C46" t="str">
        <f>+'q13'!$B$45</f>
        <v>Educação</v>
      </c>
      <c r="D46">
        <f>+'q13'!$C$45</f>
        <v>50566</v>
      </c>
      <c r="E46">
        <f>+'q13'!$D$45</f>
        <v>50957</v>
      </c>
      <c r="F46">
        <f>+'q13'!$E$45</f>
        <v>53876</v>
      </c>
      <c r="G46">
        <f>+'q13'!$F$45</f>
        <v>53906</v>
      </c>
      <c r="H46">
        <f>+'q13'!$G$45</f>
        <v>53502</v>
      </c>
      <c r="I46">
        <f>+'q13'!$H$45</f>
        <v>57690</v>
      </c>
      <c r="J46">
        <f>+'q13'!$I$45</f>
        <v>58269</v>
      </c>
      <c r="K46">
        <f>+'q13'!$J$45</f>
        <v>59807</v>
      </c>
      <c r="L46">
        <f>+'q13'!$K$45</f>
        <v>58921</v>
      </c>
      <c r="M46">
        <f>+'q13'!$L$45</f>
        <v>62076</v>
      </c>
      <c r="N46">
        <f>+'q13'!$M$45</f>
        <v>66613</v>
      </c>
      <c r="Q46" t="str">
        <f>+$U$71</f>
        <v>G</v>
      </c>
      <c r="R46" s="532" t="str">
        <f>+VLOOKUP($Q46,Aux!$B$14:$D$33,3)</f>
        <v>Com. por grosso e ret. (…)</v>
      </c>
      <c r="S46" s="565" t="str">
        <f>+TEXT($X$71,"##.###,0%")</f>
        <v>17,9%</v>
      </c>
      <c r="T46" s="565"/>
      <c r="U46" s="532" t="str">
        <f>+$U$80</f>
        <v>G</v>
      </c>
      <c r="V46" s="532" t="str">
        <f>+VLOOKUP($U46,Aux!$B$14:$D$33,3)</f>
        <v>Com. por grosso e ret. (…)</v>
      </c>
      <c r="W46" s="565" t="str">
        <f>+TEXT($X$80,"##.###,0%")</f>
        <v>17,5%</v>
      </c>
    </row>
    <row r="47" spans="1:50">
      <c r="A47" s="456"/>
      <c r="B47" t="str">
        <f>+'q13'!$A$46</f>
        <v>Q</v>
      </c>
      <c r="C47" t="str">
        <f>+'q13'!$B$46</f>
        <v>Ativ. saúde humana e apoio social</v>
      </c>
      <c r="D47">
        <f>+'q13'!$C$46</f>
        <v>215109</v>
      </c>
      <c r="E47">
        <f>+'q13'!$D$46</f>
        <v>221126</v>
      </c>
      <c r="F47">
        <f>+'q13'!$E$46</f>
        <v>232717</v>
      </c>
      <c r="G47">
        <f>+'q13'!$F$46</f>
        <v>246800</v>
      </c>
      <c r="H47">
        <f>+'q13'!$G$46</f>
        <v>257306</v>
      </c>
      <c r="I47">
        <f>+'q13'!$H$46</f>
        <v>263021</v>
      </c>
      <c r="J47">
        <f>+'q13'!$I$46</f>
        <v>269760</v>
      </c>
      <c r="K47">
        <f>+'q13'!$J$46</f>
        <v>280115</v>
      </c>
      <c r="L47">
        <f>+'q13'!$K$46</f>
        <v>286750</v>
      </c>
      <c r="M47">
        <f>+'q13'!$L$46</f>
        <v>299622</v>
      </c>
      <c r="N47">
        <f>+'q13'!$M$46</f>
        <v>309289</v>
      </c>
      <c r="Q47" t="str">
        <f>+$U$72</f>
        <v>N</v>
      </c>
      <c r="R47" s="532" t="str">
        <f>+VLOOKUP($Q47,Aux!$B$14:$D$33,3)</f>
        <v>Ativ. Admin. e dos serv. apoio</v>
      </c>
      <c r="S47" s="565" t="str">
        <f>+TEXT($X$72,"##.###,0%")</f>
        <v>9,4%</v>
      </c>
      <c r="T47" s="565"/>
      <c r="U47" s="532" t="str">
        <f>+$U$81</f>
        <v>N</v>
      </c>
      <c r="V47" s="532" t="str">
        <f>+VLOOKUP($U47,Aux!$B$14:$D$33,3)</f>
        <v>Ativ. Admin. e dos serv. apoio</v>
      </c>
      <c r="W47" s="565" t="str">
        <f>+TEXT($X$81,"##.###,0%")</f>
        <v>9,8%</v>
      </c>
      <c r="X47" s="565"/>
      <c r="AX47" s="492"/>
    </row>
    <row r="48" spans="1:50">
      <c r="A48" s="456"/>
      <c r="B48" t="str">
        <f>+'q13'!$A$47</f>
        <v>R</v>
      </c>
      <c r="C48" t="str">
        <f>+'q13'!$B$47</f>
        <v>Ativ. artíst., espet., desp. e recr.</v>
      </c>
      <c r="D48">
        <f>+'q13'!$C$47</f>
        <v>19836</v>
      </c>
      <c r="E48">
        <f>+'q13'!$D$47</f>
        <v>18760</v>
      </c>
      <c r="F48">
        <f>+'q13'!$E$47</f>
        <v>21039</v>
      </c>
      <c r="G48">
        <f>+'q13'!$F$47</f>
        <v>22077</v>
      </c>
      <c r="H48">
        <f>+'q13'!$G$47</f>
        <v>24123</v>
      </c>
      <c r="I48">
        <f>+'q13'!$H$47</f>
        <v>26529</v>
      </c>
      <c r="J48">
        <f>+'q13'!$I$47</f>
        <v>28069</v>
      </c>
      <c r="K48">
        <f>+'q13'!$J$47</f>
        <v>26263</v>
      </c>
      <c r="L48">
        <f>+'q13'!$K$47</f>
        <v>28680</v>
      </c>
      <c r="M48">
        <f>+'q13'!$L$47</f>
        <v>30827</v>
      </c>
      <c r="N48">
        <f>+'q13'!$M$47</f>
        <v>34107</v>
      </c>
    </row>
    <row r="49" spans="1:56">
      <c r="A49" s="456"/>
      <c r="B49" t="str">
        <f>+'q13'!$A$48</f>
        <v>S</v>
      </c>
      <c r="C49" t="str">
        <f>+'q13'!$B$48</f>
        <v>Outras atividades de serviços</v>
      </c>
      <c r="D49">
        <f>+'q13'!$C$48</f>
        <v>61973</v>
      </c>
      <c r="E49">
        <f>+'q13'!$D$48</f>
        <v>62532</v>
      </c>
      <c r="F49">
        <f>+'q13'!$E$48</f>
        <v>60404</v>
      </c>
      <c r="G49">
        <f>+'q13'!$F$48</f>
        <v>61086</v>
      </c>
      <c r="H49">
        <f>+'q13'!$G$48</f>
        <v>58964</v>
      </c>
      <c r="I49">
        <f>+'q13'!$H$48</f>
        <v>61792</v>
      </c>
      <c r="J49">
        <f>+'q13'!$I$48</f>
        <v>59107</v>
      </c>
      <c r="K49">
        <f>+'q13'!$J$48</f>
        <v>57266</v>
      </c>
      <c r="L49">
        <f>+'q13'!$K$48</f>
        <v>56071</v>
      </c>
      <c r="M49">
        <f>+'q13'!$L$48</f>
        <v>59443</v>
      </c>
      <c r="N49">
        <f>+'q13'!$M$48</f>
        <v>59326</v>
      </c>
      <c r="Q49" s="457" t="s">
        <v>482</v>
      </c>
      <c r="R49" s="594">
        <f>+$B$69</f>
        <v>2013</v>
      </c>
      <c r="S49" s="457" t="str">
        <f>R49&amp;" % do total"</f>
        <v>2013 % do total</v>
      </c>
      <c r="T49" s="457"/>
      <c r="U49" s="594">
        <f>+$B$69</f>
        <v>2013</v>
      </c>
      <c r="V49" s="577"/>
      <c r="W49" s="457" t="str">
        <f>U49&amp;" % do total"</f>
        <v>2013 % do total</v>
      </c>
      <c r="X49" s="457"/>
    </row>
    <row r="50" spans="1:56">
      <c r="A50" s="456"/>
      <c r="B50" t="str">
        <f>+'q13'!$A$49</f>
        <v>U</v>
      </c>
      <c r="C50" t="str">
        <f>+'q13'!$B$49</f>
        <v>Ativ. org. int. e o. inst. extra-territ.</v>
      </c>
      <c r="D50">
        <f>+'q13'!$C$49</f>
        <v>81</v>
      </c>
      <c r="E50">
        <f>+'q13'!$D$49</f>
        <v>91</v>
      </c>
      <c r="F50">
        <f>+'q13'!$E$49</f>
        <v>89</v>
      </c>
      <c r="G50">
        <f>+'q13'!$F$49</f>
        <v>104</v>
      </c>
      <c r="H50">
        <f>+'q13'!$G$49</f>
        <v>92</v>
      </c>
      <c r="I50">
        <f>+'q13'!$H$49</f>
        <v>94</v>
      </c>
      <c r="J50">
        <f>+'q13'!$I$49</f>
        <v>100</v>
      </c>
      <c r="K50">
        <f>+'q13'!$J$49</f>
        <v>117</v>
      </c>
      <c r="L50">
        <f>+'q13'!$K$49</f>
        <v>107</v>
      </c>
      <c r="M50">
        <f>+'q13'!$L$49</f>
        <v>125</v>
      </c>
      <c r="N50">
        <f>+'q13'!$M$49</f>
        <v>145</v>
      </c>
      <c r="Q50" t="str">
        <f>+$A$70</f>
        <v>C</v>
      </c>
      <c r="R50" s="532" t="str">
        <f>+VLOOKUP($Q50,Aux!$B$14:$D$33,3)</f>
        <v>Ind. transf.</v>
      </c>
      <c r="S50" s="565" t="str">
        <f>+TEXT($Y$70,"##.###,0%")</f>
        <v>22,2%</v>
      </c>
      <c r="U50" s="532" t="str">
        <f>+$A$79</f>
        <v>C</v>
      </c>
      <c r="V50" s="532" t="str">
        <f>+VLOOKUP($U50,Aux!$B$14:$D$33,3)</f>
        <v>Ind. transf.</v>
      </c>
      <c r="W50" s="565" t="str">
        <f>+TEXT($Y$79,"##.###,0%")</f>
        <v>22,7%</v>
      </c>
    </row>
    <row r="51" spans="1:56">
      <c r="A51" s="456"/>
      <c r="B51" s="456" t="s">
        <v>229</v>
      </c>
      <c r="C51" s="456"/>
      <c r="D51">
        <f>+'q14'!$C$8+'q14'!$C$11</f>
        <v>666913</v>
      </c>
      <c r="E51">
        <f>+'q14'!$D$8+'q14'!$D$11</f>
        <v>674602</v>
      </c>
      <c r="F51">
        <f>+'q14'!$E$8+'q14'!$E$11</f>
        <v>686838</v>
      </c>
      <c r="G51">
        <f>+'q14'!$F$8+'q14'!$F$11</f>
        <v>698455</v>
      </c>
      <c r="H51">
        <f>+'q14'!$G$8+'q14'!$G$11</f>
        <v>707551</v>
      </c>
      <c r="I51">
        <f>+'q14'!$H$8+'q14'!$H$11</f>
        <v>717867</v>
      </c>
      <c r="J51">
        <f>+'q14'!$I$8+'q14'!$I$11</f>
        <v>705572</v>
      </c>
      <c r="K51">
        <f>+'q14'!$J$8+'q14'!$J$11</f>
        <v>709290</v>
      </c>
      <c r="L51">
        <f>+'q14'!$K$8+'q14'!$K$11</f>
        <v>697277</v>
      </c>
      <c r="M51">
        <f>+'q14'!$L$8+'q14'!$L$11</f>
        <v>727177</v>
      </c>
      <c r="N51">
        <f>+'q14'!$M$8+'q14'!$M$11</f>
        <v>744311</v>
      </c>
      <c r="Q51" t="str">
        <f>+$A$71</f>
        <v>G</v>
      </c>
      <c r="R51" s="532" t="str">
        <f>+VLOOKUP($Q51,Aux!$B$14:$D$33,3)</f>
        <v>Com. por grosso e ret. (…)</v>
      </c>
      <c r="S51" s="565" t="str">
        <f>+TEXT($Y$71,"##.###,0%")</f>
        <v>19,6%</v>
      </c>
      <c r="T51" s="565"/>
      <c r="U51" s="532" t="str">
        <f>+$A$80</f>
        <v>G</v>
      </c>
      <c r="V51" s="532" t="str">
        <f>+VLOOKUP($U51,Aux!$B$14:$D$33,3)</f>
        <v>Com. por grosso e ret. (…)</v>
      </c>
      <c r="W51" s="565" t="str">
        <f>+TEXT($Y$80,"##.###,0%")</f>
        <v>19,0%</v>
      </c>
    </row>
    <row r="52" spans="1:56">
      <c r="A52" s="456"/>
      <c r="B52" s="456" t="s">
        <v>479</v>
      </c>
      <c r="C52" s="456"/>
      <c r="D52">
        <f>+'q14'!$C$14+'q14'!$C$17</f>
        <v>727923</v>
      </c>
      <c r="E52">
        <f>+'q14'!$D$14+'q14'!$D$17</f>
        <v>752242</v>
      </c>
      <c r="F52">
        <f>+'q14'!$E$14+'q14'!$E$17</f>
        <v>779942</v>
      </c>
      <c r="G52">
        <f>+'q14'!$F$14+'q14'!$F$17</f>
        <v>808880</v>
      </c>
      <c r="H52">
        <f>+'q14'!$G$14+'q14'!$G$17</f>
        <v>849173</v>
      </c>
      <c r="I52">
        <f>+'q14'!$H$14+'q14'!$H$17</f>
        <v>884241</v>
      </c>
      <c r="J52">
        <f>+'q14'!$I$14+'q14'!$I$17</f>
        <v>903699</v>
      </c>
      <c r="K52">
        <f>+'q14'!$J$14+'q14'!$J$17</f>
        <v>890723</v>
      </c>
      <c r="L52">
        <f>+'q14'!$K$14+'q14'!$K$17</f>
        <v>899808</v>
      </c>
      <c r="M52">
        <f>+'q14'!$L$14+'q14'!$L$17</f>
        <v>969158</v>
      </c>
      <c r="N52">
        <f>+'q14'!$M$14+'q14'!$M$17</f>
        <v>1019716</v>
      </c>
      <c r="Q52" t="str">
        <f>+$A$72</f>
        <v>N</v>
      </c>
      <c r="R52" s="532" t="str">
        <f>+VLOOKUP($Q52,Aux!$B$14:$D$33,3)</f>
        <v>Ativ. Admin. e dos serv. apoio</v>
      </c>
      <c r="S52" s="565" t="str">
        <f>+TEXT($Y$72,"##.###,0%")</f>
        <v>9,0%</v>
      </c>
      <c r="T52" s="565"/>
      <c r="U52" s="532" t="str">
        <f>+$A$81</f>
        <v>N</v>
      </c>
      <c r="V52" s="532" t="str">
        <f>+VLOOKUP($U52,Aux!$B$14:$D$33,3)</f>
        <v>Ativ. Admin. e dos serv. apoio</v>
      </c>
      <c r="W52" s="565" t="str">
        <f>+TEXT($Y$81,"##.###,0%")</f>
        <v>9,5%</v>
      </c>
      <c r="X52" s="565"/>
    </row>
    <row r="53" spans="1:56">
      <c r="A53" s="456"/>
      <c r="B53" s="456" t="s">
        <v>480</v>
      </c>
      <c r="C53" s="456"/>
      <c r="D53">
        <f>+'q14'!$C$20+'q14'!$C$23+'q14'!$C$26+'q14'!$C$29</f>
        <v>563970</v>
      </c>
      <c r="E53">
        <f>+'q14'!$D$20+'q14'!$D$23+'q14'!$D$26+'q14'!$D$29</f>
        <v>581774</v>
      </c>
      <c r="F53">
        <f>+'q14'!$E$20+'q14'!$E$23+'q14'!$E$26+'q14'!$E$29</f>
        <v>601283</v>
      </c>
      <c r="G53">
        <f>+'q14'!$F$20+'q14'!$F$23+'q14'!$F$26+'q14'!$F$29</f>
        <v>628036</v>
      </c>
      <c r="H53">
        <f>+'q14'!$G$20+'q14'!$G$23+'q14'!$G$26+'q14'!$G$29</f>
        <v>659773</v>
      </c>
      <c r="I53">
        <f>+'q14'!$H$20+'q14'!$H$23+'q14'!$H$26+'q14'!$H$29</f>
        <v>694825</v>
      </c>
      <c r="J53">
        <f>+'q14'!$I$20+'q14'!$I$23+'q14'!$I$26+'q14'!$I$29</f>
        <v>711328</v>
      </c>
      <c r="K53">
        <f>+'q14'!$J$20+'q14'!$J$23+'q14'!$J$26+'q14'!$J$29</f>
        <v>700769</v>
      </c>
      <c r="L53">
        <f>+'q14'!$K$20+'q14'!$K$23+'q14'!$K$26+'q14'!$K$29</f>
        <v>719552</v>
      </c>
      <c r="M53">
        <f>+'q14'!$L$20+'q14'!$L$23+'q14'!$L$26+'q14'!$L$29</f>
        <v>788139</v>
      </c>
      <c r="N53">
        <f>+'q14'!$M$20+'q14'!$M$23+'q14'!$M$26+'q14'!$M$29</f>
        <v>826979</v>
      </c>
    </row>
    <row r="54" spans="1:56">
      <c r="A54" s="456"/>
      <c r="B54" s="456" t="s">
        <v>238</v>
      </c>
      <c r="C54" s="456"/>
      <c r="D54">
        <f>+'q14'!$C$32+'q14'!$C$35+'q14'!$C$38</f>
        <v>423096</v>
      </c>
      <c r="E54">
        <f>+'q14'!$D$32+'q14'!$D$35+'q14'!$D$38</f>
        <v>447153</v>
      </c>
      <c r="F54">
        <f>+'q14'!$E$32+'q14'!$E$35+'q14'!$E$38</f>
        <v>467633</v>
      </c>
      <c r="G54">
        <f>+'q14'!$F$32+'q14'!$F$35+'q14'!$F$38</f>
        <v>504554</v>
      </c>
      <c r="H54">
        <f>+'q14'!$G$32+'q14'!$G$35+'q14'!$G$38</f>
        <v>549108</v>
      </c>
      <c r="I54">
        <f>+'q14'!$H$32+'q14'!$H$35+'q14'!$H$38</f>
        <v>579145</v>
      </c>
      <c r="J54">
        <f>+'q14'!$I$32+'q14'!$I$35+'q14'!$I$38</f>
        <v>607584</v>
      </c>
      <c r="K54">
        <f>+'q14'!$J$32+'q14'!$J$35+'q14'!$J$38</f>
        <v>598470</v>
      </c>
      <c r="L54">
        <f>+'q14'!$K$32+'q14'!$K$35+'q14'!$K$38</f>
        <v>603335</v>
      </c>
      <c r="M54">
        <f>+'q14'!$L$32+'q14'!$L$35+'q14'!$L$38</f>
        <v>661415</v>
      </c>
      <c r="N54">
        <f>+'q14'!$M$32+'q14'!$M$35+'q14'!$M$38</f>
        <v>702754</v>
      </c>
    </row>
    <row r="55" spans="1:56">
      <c r="R55" s="501" t="s">
        <v>212</v>
      </c>
    </row>
    <row r="56" spans="1:56">
      <c r="R56" s="588" t="str">
        <f>"3 CAE com mais pessoas:"&amp;CHAR(10)&amp;$R$49&amp;": "&amp;$Q$50&amp;" - "&amp;$R$50&amp;" ("&amp;$S$50&amp;"); "&amp;$Q$51&amp;" - "&amp;$R$51&amp;" ("&amp;$S$51&amp;"); "&amp;$Q$52&amp;" - "&amp;$R$52&amp;" ("&amp;$S$52&amp;")."&amp;CHAR(10)&amp;$R$44&amp;": "&amp;$Q$45&amp;" - "&amp;$R$45&amp;" ("&amp;$S$45&amp;"); "&amp;$Q$46&amp;" - "&amp;$R$46&amp;" ("&amp;$S$46&amp;"); "&amp;$Q$47&amp;" - "&amp;$R$47&amp;" ("&amp;$S$47&amp;")."</f>
        <v>3 CAE com mais pessoas:
2013: C - Ind. transf. (22,2%); G - Com. por grosso e ret. (…) (19,6%); N - Ativ. Admin. e dos serv. apoio (9,0%).
2023: C - Ind. transf. (19,4%); G - Com. por grosso e ret. (…) (17,9%); N - Ativ. Admin. e dos serv. apoio (9,4%).</v>
      </c>
    </row>
    <row r="58" spans="1:56">
      <c r="R58" s="457" t="s">
        <v>185</v>
      </c>
    </row>
    <row r="59" spans="1:56">
      <c r="R59" s="588" t="str">
        <f>"3 CAE com mais TCO:"&amp;CHAR(10)&amp;$U$49&amp;": "&amp;$U$50&amp;" - "&amp;$V$50&amp;" ("&amp;$W$50&amp;"); "&amp;$U$51&amp;" - "&amp;$V$51&amp;" ("&amp;$W$51&amp;"); "&amp;$U$52&amp;" - "&amp;$V$52&amp;" ("&amp;$W$52&amp;")."&amp;CHAR(10)&amp;$U$44&amp;": "&amp;$U$45&amp;" - "&amp;$V$45&amp;" ("&amp;$W$45&amp;"); "&amp;$U$46&amp;" - "&amp;$V$46&amp;" ("&amp;$W$46&amp;"); "&amp;$U$47&amp;" - "&amp;$V$47&amp;" ("&amp;$W$47&amp;")."</f>
        <v>3 CAE com mais TCO:
2013: C - Ind. transf. (22,7%); G - Com. por grosso e ret. (…) (19,0%); N - Ativ. Admin. e dos serv. apoio (9,5%).
2023: C - Ind. transf. (19,7%); G - Com. por grosso e ret. (…) (17,5%); N - Ativ. Admin. e dos serv. apoio (9,8%).</v>
      </c>
    </row>
    <row r="62" spans="1:56">
      <c r="R62" t="str">
        <f>IF($Q$3=1,$R$56,$R$59)</f>
        <v>3 CAE com mais pessoas:
2013: C - Ind. transf. (22,2%); G - Com. por grosso e ret. (…) (19,6%); N - Ativ. Admin. e dos serv. apoio (9,0%).
2023: C - Ind. transf. (19,4%); G - Com. por grosso e ret. (…) (17,9%); N - Ativ. Admin. e dos serv. apoio (9,4%).</v>
      </c>
    </row>
    <row r="63" spans="1:56">
      <c r="I63" s="603" t="s">
        <v>485</v>
      </c>
      <c r="AW63" s="457"/>
    </row>
    <row r="64" spans="1:56">
      <c r="I64" s="603" t="s">
        <v>486</v>
      </c>
      <c r="AW64" s="457"/>
      <c r="BA64" s="577"/>
      <c r="BD64" s="457"/>
    </row>
    <row r="65" spans="1:56">
      <c r="I65" s="603" t="s">
        <v>487</v>
      </c>
      <c r="AW65" s="457"/>
      <c r="AZ65" s="457"/>
      <c r="BA65" s="578"/>
      <c r="BD65" s="457"/>
    </row>
    <row r="66" spans="1:56">
      <c r="A66" s="464" t="s">
        <v>270</v>
      </c>
      <c r="AP66" s="456"/>
      <c r="AW66" s="579"/>
      <c r="AZ66" s="579"/>
      <c r="BD66" s="456"/>
    </row>
    <row r="67" spans="1:56">
      <c r="AW67" s="532"/>
      <c r="AZ67" s="532"/>
    </row>
    <row r="68" spans="1:56" ht="13.5" thickBot="1">
      <c r="A68" s="456" t="s">
        <v>212</v>
      </c>
      <c r="AW68" s="532"/>
      <c r="AZ68" s="532"/>
      <c r="BD68" s="457"/>
    </row>
    <row r="69" spans="1:56">
      <c r="A69" s="459"/>
      <c r="B69" s="464">
        <f>+D6</f>
        <v>2013</v>
      </c>
      <c r="C69" s="459"/>
      <c r="D69" s="464">
        <f>+E6</f>
        <v>2014</v>
      </c>
      <c r="E69" s="459"/>
      <c r="F69" s="464">
        <f>+F6</f>
        <v>2015</v>
      </c>
      <c r="G69" s="459"/>
      <c r="H69" s="464">
        <f>+G6</f>
        <v>2016</v>
      </c>
      <c r="I69" s="459"/>
      <c r="J69" s="464">
        <f>+H6</f>
        <v>2017</v>
      </c>
      <c r="K69" s="459"/>
      <c r="L69" s="464">
        <f>+I6</f>
        <v>2018</v>
      </c>
      <c r="M69" s="459"/>
      <c r="N69" s="464">
        <f>+J6</f>
        <v>2019</v>
      </c>
      <c r="O69" s="459"/>
      <c r="P69" s="464">
        <f>+K6</f>
        <v>2020</v>
      </c>
      <c r="Q69" s="459"/>
      <c r="R69" s="464">
        <f>+L6</f>
        <v>2021</v>
      </c>
      <c r="S69" s="459"/>
      <c r="T69" s="464">
        <f>+M6</f>
        <v>2022</v>
      </c>
      <c r="U69" s="459"/>
      <c r="V69" s="464">
        <f>+N6</f>
        <v>2023</v>
      </c>
      <c r="X69" s="457" t="str">
        <f>+V69&amp;" - % do total"</f>
        <v>2023 - % do total</v>
      </c>
      <c r="Y69" s="756" t="str">
        <f>+"em "&amp;B69</f>
        <v>em 2013</v>
      </c>
      <c r="Z69" s="757"/>
      <c r="AW69" s="532"/>
      <c r="AZ69" s="532"/>
      <c r="BD69" s="456"/>
    </row>
    <row r="70" spans="1:56">
      <c r="A70" s="465" t="str">
        <f>+INDEX($B$7:$B$26,MATCH(B70,$D$7:$D$26,0),1)</f>
        <v>C</v>
      </c>
      <c r="B70" s="466">
        <f>+LARGE($D$7:$D$26,1)</f>
        <v>566564</v>
      </c>
      <c r="C70" s="465" t="str">
        <f>+INDEX($B$7:$B$26,MATCH(D70,$E$7:$E$26,0),1)</f>
        <v>C</v>
      </c>
      <c r="D70" s="466">
        <f>+LARGE($E$7:$E$26,1)</f>
        <v>583685</v>
      </c>
      <c r="E70" s="465" t="str">
        <f>+INDEX($B$7:$B$26,MATCH(F70,$F$7:$F$26,0),1)</f>
        <v>C</v>
      </c>
      <c r="F70" s="466">
        <f>+LARGE($F$7:$F$26,1)</f>
        <v>598482</v>
      </c>
      <c r="G70" s="465" t="str">
        <f>+INDEX($B$7:$B$26,MATCH(H70,$G$7:$G$26,0),1)</f>
        <v>C</v>
      </c>
      <c r="H70" s="466">
        <f>+LARGE($G$7:$G$26,1)</f>
        <v>615556</v>
      </c>
      <c r="I70" s="465" t="str">
        <f>+INDEX($B$7:$B$26,MATCH(J70,$H$7:$H$26,0),1)</f>
        <v>C</v>
      </c>
      <c r="J70" s="466">
        <f>+LARGE($H$7:$H$26,1)</f>
        <v>639429</v>
      </c>
      <c r="K70" s="465" t="str">
        <f>+INDEX($B$7:$B$26,MATCH(L70,$I$7:$I$26,0),1)</f>
        <v>C</v>
      </c>
      <c r="L70" s="466">
        <f>+LARGE($I$7:$I$26,1)</f>
        <v>659459</v>
      </c>
      <c r="M70" s="465" t="str">
        <f>+INDEX($B$7:$B$26,MATCH(N70,$J$7:$J$26,0),1)</f>
        <v>C</v>
      </c>
      <c r="N70" s="466">
        <f>+LARGE($J$7:$J$26,1)</f>
        <v>650638</v>
      </c>
      <c r="O70" s="465" t="str">
        <f>+INDEX($B$7:$B$26,MATCH(P70,$K$7:$K$26,0),1)</f>
        <v>C</v>
      </c>
      <c r="P70" s="466">
        <f>+LARGE($K$7:$K$26,1)</f>
        <v>639517</v>
      </c>
      <c r="Q70" s="465" t="str">
        <f>+INDEX($B$7:$B$26,MATCH(R70,$L$7:$L$26,0),1)</f>
        <v>C</v>
      </c>
      <c r="R70" s="466">
        <f>+LARGE($L$7:$L$26,1)</f>
        <v>636329</v>
      </c>
      <c r="S70" s="465" t="str">
        <f>+INDEX($B$7:$B$26,MATCH(T70,$M$7:$M$26,0),1)</f>
        <v>C</v>
      </c>
      <c r="T70" s="466">
        <f>+LARGE($M$7:$M$26,1)</f>
        <v>667361</v>
      </c>
      <c r="U70" s="592" t="str">
        <f>+INDEX($B$7:$B$26,MATCH(V70,$N$7:$N$26,0),1)</f>
        <v>C</v>
      </c>
      <c r="V70" s="466">
        <f>+LARGE($N$7:$N$26,1)</f>
        <v>675754</v>
      </c>
      <c r="X70" s="586">
        <f>+V70/$BD$4</f>
        <v>0.19364892596049443</v>
      </c>
      <c r="Y70" s="596">
        <f>+B70/$AT$4</f>
        <v>0.2216885082459592</v>
      </c>
      <c r="Z70" s="597" t="str">
        <f>+A70</f>
        <v>C</v>
      </c>
      <c r="AA70" s="493"/>
      <c r="AB70" s="493"/>
      <c r="AD70" s="470"/>
      <c r="AE70" s="470"/>
      <c r="AF70" s="470"/>
      <c r="AG70" s="470"/>
      <c r="AH70" s="470"/>
      <c r="AI70" s="470"/>
      <c r="AJ70" s="470"/>
      <c r="AK70" s="470"/>
      <c r="AL70" s="470"/>
      <c r="AM70" s="470"/>
      <c r="AN70" s="470"/>
      <c r="AO70" s="494"/>
    </row>
    <row r="71" spans="1:56">
      <c r="A71" s="465" t="str">
        <f>+INDEX($B$7:$B$26,MATCH(B71,$D$7:$D$26,0),1)</f>
        <v>G</v>
      </c>
      <c r="B71" s="466">
        <f>+LARGE($D$7:$D$26,2)</f>
        <v>501601</v>
      </c>
      <c r="C71" s="465" t="str">
        <f>+INDEX($B$7:$B$26,MATCH(D71,$E$7:$E$26,0),1)</f>
        <v>G</v>
      </c>
      <c r="D71" s="466">
        <f>+LARGE($E$7:$E$26,2)</f>
        <v>513639</v>
      </c>
      <c r="E71" s="465" t="str">
        <f>+INDEX($B$7:$B$26,MATCH(F71,$F$7:$F$26,0),1)</f>
        <v>G</v>
      </c>
      <c r="F71" s="466">
        <f>+LARGE($F$7:$F$26,2)</f>
        <v>528110</v>
      </c>
      <c r="G71" s="465" t="str">
        <f>+INDEX($B$7:$B$26,MATCH(H71,$G$7:$G$26,0),1)</f>
        <v>G</v>
      </c>
      <c r="H71" s="466">
        <f>+LARGE($G$7:$G$26,2)</f>
        <v>541723</v>
      </c>
      <c r="I71" s="465" t="str">
        <f>+INDEX($B$7:$B$26,MATCH(J71,$H$7:$H$26,0),1)</f>
        <v>G</v>
      </c>
      <c r="J71" s="466">
        <f>+LARGE($H$7:$H$26,2)</f>
        <v>556229</v>
      </c>
      <c r="K71" s="465" t="str">
        <f>+INDEX($B$7:$B$26,MATCH(L71,$I$7:$I$26,0),1)</f>
        <v>G</v>
      </c>
      <c r="L71" s="466">
        <f>+LARGE($I$7:$I$26,2)</f>
        <v>571387</v>
      </c>
      <c r="M71" s="465" t="str">
        <f>+INDEX($B$7:$B$26,MATCH(N71,$J$7:$J$26,0),1)</f>
        <v>G</v>
      </c>
      <c r="N71" s="466">
        <f>+LARGE($J$7:$J$26,2)</f>
        <v>585267</v>
      </c>
      <c r="O71" s="465" t="str">
        <f>+INDEX($B$7:$B$26,MATCH(P71,$K$7:$K$26,0),1)</f>
        <v>G</v>
      </c>
      <c r="P71" s="466">
        <f>+LARGE($K$7:$K$26,2)</f>
        <v>572866</v>
      </c>
      <c r="Q71" s="465" t="str">
        <f>+INDEX($B$7:$B$26,MATCH(R71,$L$7:$L$26,0),1)</f>
        <v>G</v>
      </c>
      <c r="R71" s="466">
        <f>+LARGE($L$7:$L$26,2)</f>
        <v>579715</v>
      </c>
      <c r="S71" s="465" t="str">
        <f>+INDEX($B$7:$B$26,MATCH(T71,$M$7:$M$26,0),1)</f>
        <v>G</v>
      </c>
      <c r="T71" s="466">
        <f>+LARGE($M$7:$M$26,2)</f>
        <v>606424</v>
      </c>
      <c r="U71" s="592" t="str">
        <f>+INDEX($B$7:$B$26,MATCH(V71,$N$7:$N$26,0),1)</f>
        <v>G</v>
      </c>
      <c r="V71" s="466">
        <f>+LARGE($N$7:$N$26,2)</f>
        <v>624971</v>
      </c>
      <c r="X71" s="586">
        <f>+V71/$BD$4</f>
        <v>0.17909618427187432</v>
      </c>
      <c r="Y71" s="596">
        <f t="shared" ref="Y71:Y74" si="8">+B71/$AT$4</f>
        <v>0.19626940191166642</v>
      </c>
      <c r="Z71" s="597" t="str">
        <f t="shared" ref="Z71:Z74" si="9">+A71</f>
        <v>G</v>
      </c>
      <c r="AA71" s="493"/>
      <c r="AB71" s="493"/>
      <c r="AD71" s="470"/>
      <c r="AE71" s="470"/>
      <c r="AF71" s="470"/>
      <c r="AG71" s="470"/>
      <c r="AH71" s="470"/>
      <c r="AI71" s="470"/>
      <c r="AJ71" s="470"/>
      <c r="AK71" s="470"/>
      <c r="AL71" s="470"/>
      <c r="AM71" s="470"/>
      <c r="AN71" s="470"/>
      <c r="AW71" s="579"/>
      <c r="AZ71" s="579"/>
      <c r="BA71" s="577"/>
    </row>
    <row r="72" spans="1:56">
      <c r="A72" s="465" t="str">
        <f>+INDEX($B$7:$B$26,MATCH(B72,$D$7:$D$26,0),1)</f>
        <v>N</v>
      </c>
      <c r="B72" s="466">
        <f>+LARGE($D$7:$D$26,3)</f>
        <v>230370</v>
      </c>
      <c r="C72" s="465" t="str">
        <f>+INDEX($B$7:$B$26,MATCH(D72,$E$7:$E$26,0),1)</f>
        <v>N</v>
      </c>
      <c r="D72" s="466">
        <f>+LARGE($E$7:$E$26,3)</f>
        <v>243964</v>
      </c>
      <c r="E72" s="465" t="str">
        <f>+INDEX($B$7:$B$26,MATCH(F72,$F$7:$F$26,0),1)</f>
        <v>N</v>
      </c>
      <c r="F72" s="466">
        <f>+LARGE($F$7:$F$26,3)</f>
        <v>251590</v>
      </c>
      <c r="G72" s="465" t="str">
        <f>+INDEX($B$7:$B$26,MATCH(H72,$G$7:$G$26,0),1)</f>
        <v>N</v>
      </c>
      <c r="H72" s="466">
        <f>+LARGE($G$7:$G$26,3)</f>
        <v>273459</v>
      </c>
      <c r="I72" s="465" t="str">
        <f>+INDEX($B$7:$B$26,MATCH(J72,$H$7:$H$26,0),1)</f>
        <v>N</v>
      </c>
      <c r="J72" s="466">
        <f>+LARGE($H$7:$H$26,3)</f>
        <v>299479</v>
      </c>
      <c r="K72" s="465" t="str">
        <f>+INDEX($B$7:$B$26,MATCH(L72,$I$7:$I$26,0),1)</f>
        <v>N</v>
      </c>
      <c r="L72" s="466">
        <f>+LARGE($I$7:$I$26,3)</f>
        <v>298771</v>
      </c>
      <c r="M72" s="465" t="str">
        <f>+INDEX($B$7:$B$26,MATCH(N72,$J$7:$J$26,0),1)</f>
        <v>N</v>
      </c>
      <c r="N72" s="466">
        <f>+LARGE($J$7:$J$26,3)</f>
        <v>299376</v>
      </c>
      <c r="O72" s="465" t="str">
        <f>+INDEX($B$7:$B$26,MATCH(P72,$K$7:$K$26,0),1)</f>
        <v>N</v>
      </c>
      <c r="P72" s="466">
        <f>+LARGE($K$7:$K$26,3)</f>
        <v>291316</v>
      </c>
      <c r="Q72" s="465" t="str">
        <f>+INDEX($B$7:$B$26,MATCH(R72,$L$7:$L$26,0),1)</f>
        <v>Q</v>
      </c>
      <c r="R72" s="466">
        <f>+LARGE($L$7:$L$26,3)</f>
        <v>295748</v>
      </c>
      <c r="S72" s="465" t="str">
        <f>+INDEX($B$7:$B$26,MATCH(T72,$M$7:$M$26,0),1)</f>
        <v>N</v>
      </c>
      <c r="T72" s="466">
        <f>+LARGE($M$7:$M$26,3)</f>
        <v>313802</v>
      </c>
      <c r="U72" s="592" t="str">
        <f>+INDEX($B$7:$B$26,MATCH(V72,$N$7:$N$26,0),1)</f>
        <v>N</v>
      </c>
      <c r="V72" s="466">
        <f>+LARGE($N$7:$N$26,3)</f>
        <v>329658</v>
      </c>
      <c r="X72" s="586">
        <f>+V72/$BD$4</f>
        <v>9.446916723287567E-2</v>
      </c>
      <c r="Y72" s="596">
        <f t="shared" si="8"/>
        <v>9.0140534246125101E-2</v>
      </c>
      <c r="Z72" s="597" t="str">
        <f t="shared" si="9"/>
        <v>N</v>
      </c>
      <c r="AA72" s="493"/>
      <c r="AW72" s="532"/>
      <c r="AZ72" s="532"/>
      <c r="BA72" s="578"/>
    </row>
    <row r="73" spans="1:56">
      <c r="A73" s="465" t="str">
        <f>+INDEX($B$7:$B$26,MATCH(B73,$D$7:$D$26,0),1)</f>
        <v>Q</v>
      </c>
      <c r="B73" s="466">
        <f>+LARGE($D$7:$D$26,4)</f>
        <v>222574</v>
      </c>
      <c r="C73" s="465" t="str">
        <f>+INDEX($B$7:$B$26,MATCH(D73,$E$7:$E$26,0),1)</f>
        <v>Q</v>
      </c>
      <c r="D73" s="466">
        <f>+LARGE($E$7:$E$26,4)</f>
        <v>229330</v>
      </c>
      <c r="E73" s="465" t="str">
        <f>+INDEX($B$7:$B$26,MATCH(F73,$F$7:$F$26,0),1)</f>
        <v>Q</v>
      </c>
      <c r="F73" s="466">
        <f>+LARGE($F$7:$F$26,4)</f>
        <v>241051</v>
      </c>
      <c r="G73" s="465" t="str">
        <f>+INDEX($B$7:$B$26,MATCH(H73,$G$7:$G$26,0),1)</f>
        <v>Q</v>
      </c>
      <c r="H73" s="466">
        <f>+LARGE($G$7:$G$26,4)</f>
        <v>254988</v>
      </c>
      <c r="I73" s="465" t="str">
        <f>+INDEX($B$7:$B$26,MATCH(J73,$H$7:$H$26,0),1)</f>
        <v>Q</v>
      </c>
      <c r="J73" s="466">
        <f>+LARGE($H$7:$H$26,4)</f>
        <v>265423</v>
      </c>
      <c r="K73" s="465" t="str">
        <f>+INDEX($B$7:$B$26,MATCH(L73,$I$7:$I$26,0),1)</f>
        <v>Q</v>
      </c>
      <c r="L73" s="466">
        <f>+LARGE($I$7:$I$26,4)</f>
        <v>271575</v>
      </c>
      <c r="M73" s="465" t="str">
        <f>+INDEX($B$7:$B$26,MATCH(N73,$J$7:$J$26,0),1)</f>
        <v>Q</v>
      </c>
      <c r="N73" s="466">
        <f>+LARGE($J$7:$J$26,4)</f>
        <v>278424</v>
      </c>
      <c r="O73" s="465" t="str">
        <f>+INDEX($B$7:$B$26,MATCH(P73,$K$7:$K$26,0),1)</f>
        <v>Q</v>
      </c>
      <c r="P73" s="466">
        <f>+LARGE($K$7:$K$26,4)</f>
        <v>289188</v>
      </c>
      <c r="Q73" s="465" t="str">
        <f>+INDEX($B$7:$B$26,MATCH(R73,$L$7:$L$26,0),1)</f>
        <v>N</v>
      </c>
      <c r="R73" s="466">
        <f>+LARGE($L$7:$L$26,4)</f>
        <v>280916</v>
      </c>
      <c r="S73" s="465" t="str">
        <f>+INDEX($B$7:$B$26,MATCH(T73,$M$7:$M$26,0),1)</f>
        <v>Q</v>
      </c>
      <c r="T73" s="466">
        <f>+LARGE($M$7:$M$26,4)</f>
        <v>309107</v>
      </c>
      <c r="U73" s="465" t="str">
        <f>+INDEX($B$7:$B$26,MATCH(V73,$N$7:$N$26,0),1)</f>
        <v>Q</v>
      </c>
      <c r="V73" s="466">
        <f>+LARGE($N$7:$N$26,4)</f>
        <v>319140</v>
      </c>
      <c r="X73" s="470">
        <f>+V73/$BD$4</f>
        <v>9.1455053512124518E-2</v>
      </c>
      <c r="Y73" s="673">
        <f t="shared" si="8"/>
        <v>8.7090069320211169E-2</v>
      </c>
      <c r="Z73" s="599" t="str">
        <f t="shared" si="9"/>
        <v>Q</v>
      </c>
      <c r="AA73" s="493"/>
      <c r="AD73" s="494"/>
      <c r="AE73" s="494"/>
      <c r="AF73" s="494"/>
      <c r="AG73" s="494"/>
      <c r="AH73" s="494"/>
      <c r="AI73" s="494"/>
      <c r="AJ73" s="494"/>
      <c r="AK73" s="494"/>
      <c r="AL73" s="494"/>
      <c r="AM73" s="494"/>
      <c r="AN73" s="494"/>
      <c r="AW73" s="532"/>
      <c r="AZ73" s="532"/>
    </row>
    <row r="74" spans="1:56" ht="13.5" thickBot="1">
      <c r="A74" s="465" t="str">
        <f>+INDEX($B$7:$B$26,MATCH(B74,$D$7:$D$26,0),1)</f>
        <v>F</v>
      </c>
      <c r="B74" s="466">
        <f>+LARGE($D$7:$D$26,5)</f>
        <v>197944</v>
      </c>
      <c r="C74" s="465" t="str">
        <f>+INDEX($B$7:$B$26,MATCH(D74,$E$7:$E$26,0),1)</f>
        <v>F</v>
      </c>
      <c r="D74" s="466">
        <f>+LARGE($E$7:$E$26,5)</f>
        <v>197951</v>
      </c>
      <c r="E74" s="465" t="str">
        <f>+INDEX($B$7:$B$26,MATCH(F74,$F$7:$F$26,0),1)</f>
        <v>I</v>
      </c>
      <c r="F74" s="466">
        <f>+LARGE($F$7:$F$26,5)</f>
        <v>207980</v>
      </c>
      <c r="G74" s="465" t="str">
        <f>+INDEX($B$7:$B$26,MATCH(H74,$G$7:$G$26,0),1)</f>
        <v>I</v>
      </c>
      <c r="H74" s="466">
        <f>+LARGE($G$7:$G$26,5)</f>
        <v>223137</v>
      </c>
      <c r="I74" s="465" t="str">
        <f>+INDEX($B$7:$B$26,MATCH(J74,$H$7:$H$26,0),1)</f>
        <v>I</v>
      </c>
      <c r="J74" s="466">
        <f>+LARGE($H$7:$H$26,5)</f>
        <v>243205</v>
      </c>
      <c r="K74" s="465" t="str">
        <f>+INDEX($B$7:$B$26,MATCH(L74,$I$7:$I$26,0),1)</f>
        <v>I</v>
      </c>
      <c r="L74" s="466">
        <f>+LARGE($I$7:$I$26,5)</f>
        <v>261730</v>
      </c>
      <c r="M74" s="465" t="str">
        <f>+INDEX($B$7:$B$26,MATCH(N74,$J$7:$J$26,0),1)</f>
        <v>I</v>
      </c>
      <c r="N74" s="466">
        <f>+LARGE($J$7:$J$26,5)</f>
        <v>270796</v>
      </c>
      <c r="O74" s="465" t="str">
        <f>+INDEX($B$7:$B$26,MATCH(P74,$K$7:$K$26,0),1)</f>
        <v>F</v>
      </c>
      <c r="P74" s="466">
        <f>+LARGE($K$7:$K$26,5)</f>
        <v>254572</v>
      </c>
      <c r="Q74" s="465" t="str">
        <f>+INDEX($B$7:$B$26,MATCH(R74,$L$7:$L$26,0),1)</f>
        <v>F</v>
      </c>
      <c r="R74" s="466">
        <f>+LARGE($L$7:$L$26,5)</f>
        <v>256768</v>
      </c>
      <c r="S74" s="465" t="str">
        <f>+INDEX($B$7:$B$26,MATCH(T74,$M$7:$M$26,0),1)</f>
        <v>I</v>
      </c>
      <c r="T74" s="466">
        <f>+LARGE($M$7:$M$26,5)</f>
        <v>279781</v>
      </c>
      <c r="U74" s="465" t="str">
        <f>+INDEX($B$7:$B$26,MATCH(V74,$N$7:$N$26,0),1)</f>
        <v>I</v>
      </c>
      <c r="V74" s="466">
        <f>+LARGE($N$7:$N$26,5)</f>
        <v>307448</v>
      </c>
      <c r="X74" s="470">
        <f>+V74/$BD$4</f>
        <v>8.8104509908490503E-2</v>
      </c>
      <c r="Y74" s="600">
        <f t="shared" si="8"/>
        <v>7.745269744678121E-2</v>
      </c>
      <c r="Z74" s="601" t="str">
        <f t="shared" si="9"/>
        <v>F</v>
      </c>
      <c r="AA74" s="493"/>
      <c r="AN74" s="494"/>
      <c r="AW74" s="532"/>
      <c r="AZ74" s="532"/>
    </row>
    <row r="75" spans="1:56">
      <c r="B75" s="470">
        <f>+B74/AT4</f>
        <v>7.745269744678121E-2</v>
      </c>
    </row>
    <row r="76" spans="1:56">
      <c r="B76" s="180">
        <f>+B70+B71+B72</f>
        <v>1298535</v>
      </c>
      <c r="D76" s="180">
        <f>+D70+D71+D72</f>
        <v>1341288</v>
      </c>
      <c r="F76" s="180">
        <f>+F70+F71+F72</f>
        <v>1378182</v>
      </c>
      <c r="H76" s="180">
        <f>+H70+H71+H72</f>
        <v>1430738</v>
      </c>
      <c r="J76" s="180">
        <f>+J70+J71+J72</f>
        <v>1495137</v>
      </c>
      <c r="L76" s="180">
        <f>+L70+L71+L72</f>
        <v>1529617</v>
      </c>
      <c r="N76" s="180">
        <f>+N70+N71+N72</f>
        <v>1535281</v>
      </c>
      <c r="P76" s="180">
        <f>+P70+P71+P72</f>
        <v>1503699</v>
      </c>
      <c r="R76" s="180">
        <f>+R70+R71+R72</f>
        <v>1511792</v>
      </c>
      <c r="T76" s="180">
        <f>+T70+T71+T72</f>
        <v>1587587</v>
      </c>
      <c r="V76" s="180">
        <f>+V70+V71+V72</f>
        <v>1630383</v>
      </c>
    </row>
    <row r="77" spans="1:56" ht="13.5" thickBot="1">
      <c r="A77" s="456" t="s">
        <v>185</v>
      </c>
      <c r="B77" s="483">
        <f>+B76/AT4</f>
        <v>0.50809844440375074</v>
      </c>
      <c r="D77" s="483">
        <f>+D76/AU4</f>
        <v>0.50866459275181553</v>
      </c>
      <c r="F77" s="483">
        <f>+F76/AV$4</f>
        <v>0.50742872543594264</v>
      </c>
      <c r="H77" s="483">
        <f>+H76/AW$4</f>
        <v>0.50735785882017514</v>
      </c>
      <c r="J77" s="483">
        <f>+J76/AX$4</f>
        <v>0.50735874238140855</v>
      </c>
      <c r="L77" s="483">
        <f>+L76/AY$4</f>
        <v>0.49979496740553553</v>
      </c>
      <c r="N77" s="483">
        <f>+N76/AZ$4</f>
        <v>0.4935088939098648</v>
      </c>
      <c r="P77" s="483">
        <f>+P76/BA$4</f>
        <v>0.487333280182631</v>
      </c>
      <c r="R77" s="483">
        <f>+R76/BB$4</f>
        <v>0.48730621513725908</v>
      </c>
      <c r="T77" s="483">
        <f>+T76/BC$4</f>
        <v>0.4757410815796555</v>
      </c>
      <c r="V77" s="483">
        <f>+V76/BD$4</f>
        <v>0.46721427746524441</v>
      </c>
      <c r="AW77" s="532"/>
    </row>
    <row r="78" spans="1:56">
      <c r="A78" s="459"/>
      <c r="B78" s="464">
        <f>+B69</f>
        <v>2013</v>
      </c>
      <c r="C78" s="459"/>
      <c r="D78" s="464">
        <f t="shared" ref="D78:V78" si="10">+D69</f>
        <v>2014</v>
      </c>
      <c r="E78" s="459"/>
      <c r="F78" s="464">
        <f t="shared" si="10"/>
        <v>2015</v>
      </c>
      <c r="G78" s="459"/>
      <c r="H78" s="464">
        <f t="shared" si="10"/>
        <v>2016</v>
      </c>
      <c r="I78" s="459"/>
      <c r="J78" s="464">
        <f t="shared" si="10"/>
        <v>2017</v>
      </c>
      <c r="K78" s="459"/>
      <c r="L78" s="464">
        <f t="shared" si="10"/>
        <v>2018</v>
      </c>
      <c r="M78" s="459"/>
      <c r="N78" s="464">
        <f t="shared" si="10"/>
        <v>2019</v>
      </c>
      <c r="O78" s="459"/>
      <c r="P78" s="464">
        <f t="shared" si="10"/>
        <v>2020</v>
      </c>
      <c r="Q78" s="459"/>
      <c r="R78" s="464">
        <f t="shared" si="10"/>
        <v>2021</v>
      </c>
      <c r="S78" s="459"/>
      <c r="T78" s="464">
        <f t="shared" si="10"/>
        <v>2022</v>
      </c>
      <c r="U78" s="459"/>
      <c r="V78" s="464">
        <f t="shared" si="10"/>
        <v>2023</v>
      </c>
      <c r="X78" s="457" t="str">
        <f>+V78&amp;" - % do total"</f>
        <v>2023 - % do total</v>
      </c>
      <c r="Y78" s="756" t="str">
        <f>+"em "&amp;B78</f>
        <v>em 2013</v>
      </c>
      <c r="Z78" s="757"/>
      <c r="AW78" s="577"/>
    </row>
    <row r="79" spans="1:56">
      <c r="A79" s="465" t="str">
        <f>+INDEX($B$31:$B$50,MATCH(B79,$D$31:$D$50,0),1)</f>
        <v>C</v>
      </c>
      <c r="B79" s="466">
        <f>+LARGE($D$31:$D$50,1)</f>
        <v>541161</v>
      </c>
      <c r="C79" s="465" t="str">
        <f>+INDEX($B$31:$B$50,MATCH(D79,$E$31:$E$50,0),1)</f>
        <v>C</v>
      </c>
      <c r="D79" s="466">
        <f>+LARGE($E$31:$E$50,1)</f>
        <v>557477</v>
      </c>
      <c r="E79" s="465" t="str">
        <f>+INDEX($B$31:$B$50,MATCH(F79,$F$31:$F$50,0),1)</f>
        <v>C</v>
      </c>
      <c r="F79" s="466">
        <f>+LARGE($F$31:$F$50,1)</f>
        <v>572207</v>
      </c>
      <c r="G79" s="465" t="str">
        <f>+INDEX($B$31:$B$50,MATCH(H79,$G$31:$G$50,0),1)</f>
        <v>C</v>
      </c>
      <c r="H79" s="466">
        <f>+LARGE($G$31:$G$50,1)</f>
        <v>589603</v>
      </c>
      <c r="I79" s="465" t="str">
        <f>+INDEX($B$31:$B$50,MATCH(J79,$H$31:$H$50,0),1)</f>
        <v>C</v>
      </c>
      <c r="J79" s="466">
        <f>+LARGE($H$31:$H$50,1)</f>
        <v>613379</v>
      </c>
      <c r="K79" s="465" t="str">
        <f>+INDEX($B$31:$B$50,MATCH(L79,$I$31:$I$50,0),1)</f>
        <v>C</v>
      </c>
      <c r="L79" s="466">
        <f>+LARGE($I$31:$I$50,1)</f>
        <v>633595</v>
      </c>
      <c r="M79" s="465" t="str">
        <f>+INDEX($B$31:$B$50,MATCH(N79,$J$31:$J$50,0),1)</f>
        <v>C</v>
      </c>
      <c r="N79" s="466">
        <f>+LARGE($J$31:$J$50,1)</f>
        <v>625633</v>
      </c>
      <c r="O79" s="465" t="str">
        <f>+INDEX($B$31:$B$50,MATCH(P79,$K$31:$K$50,0),1)</f>
        <v>C</v>
      </c>
      <c r="P79" s="466">
        <f>+LARGE($K$31:$K$50,1)</f>
        <v>614674</v>
      </c>
      <c r="Q79" s="465" t="str">
        <f>+INDEX($B$31:$B$50,MATCH(R79,$L$31:$L$50,0),1)</f>
        <v>C</v>
      </c>
      <c r="R79" s="466">
        <f>+LARGE($L$31:$L$50,1)</f>
        <v>612054</v>
      </c>
      <c r="S79" s="465" t="str">
        <f>+INDEX($B$31:$B$50,MATCH(T79,$M$31:$M$50,0),1)</f>
        <v>C</v>
      </c>
      <c r="T79" s="466">
        <f>+LARGE($M$31:$M$50,1)</f>
        <v>642354</v>
      </c>
      <c r="U79" s="592" t="str">
        <f>+INDEX($B$31:$B$50,MATCH(V79,$N$31:$N$50,0),1)</f>
        <v>C</v>
      </c>
      <c r="V79" s="466">
        <f>+LARGE($N$31:$N$50,1)</f>
        <v>650876</v>
      </c>
      <c r="X79" s="586">
        <f>+V79/$BD$5</f>
        <v>0.19746648649599804</v>
      </c>
      <c r="Y79" s="596">
        <f>+B79/$AT$5</f>
        <v>0.22698554309953228</v>
      </c>
      <c r="Z79" s="597" t="str">
        <f>+A79</f>
        <v>C</v>
      </c>
      <c r="AA79" s="493"/>
      <c r="AB79" s="493"/>
      <c r="AD79" s="470"/>
      <c r="AE79" s="470"/>
      <c r="AF79" s="470"/>
      <c r="AG79" s="470"/>
      <c r="AH79" s="470"/>
      <c r="AI79" s="470"/>
      <c r="AJ79" s="470"/>
      <c r="AK79" s="470"/>
      <c r="AL79" s="470"/>
      <c r="AM79" s="470"/>
      <c r="AN79" s="470"/>
      <c r="AO79" s="494"/>
    </row>
    <row r="80" spans="1:56">
      <c r="A80" s="465" t="str">
        <f>+INDEX($B$31:$B$50,MATCH(B80,$D$31:$D$50,0),1)</f>
        <v>G</v>
      </c>
      <c r="B80" s="466">
        <f>+LARGE($D$31:$D$50,2)</f>
        <v>452371</v>
      </c>
      <c r="C80" s="465" t="str">
        <f>+INDEX($B$31:$B$50,MATCH(D80,$E$31:$E$50,0),1)</f>
        <v>G</v>
      </c>
      <c r="D80" s="466">
        <f>+LARGE($E$31:$E$50,2)</f>
        <v>463519</v>
      </c>
      <c r="E80" s="465" t="str">
        <f>+INDEX($B$31:$B$50,MATCH(F80,$F$31:$F$50,0),1)</f>
        <v>G</v>
      </c>
      <c r="F80" s="466">
        <f>+LARGE($F$31:$F$50,2)</f>
        <v>478256</v>
      </c>
      <c r="G80" s="465" t="str">
        <f>+INDEX($B$31:$B$50,MATCH(H80,$G$31:$G$50,0),1)</f>
        <v>G</v>
      </c>
      <c r="H80" s="466">
        <f>+LARGE($G$31:$G$50,2)</f>
        <v>492250</v>
      </c>
      <c r="I80" s="465" t="str">
        <f>+INDEX($B$31:$B$50,MATCH(J80,$H$31:$H$50,0),1)</f>
        <v>G</v>
      </c>
      <c r="J80" s="466">
        <f>+LARGE($H$31:$H$50,2)</f>
        <v>507360</v>
      </c>
      <c r="K80" s="465" t="str">
        <f>+INDEX($B$31:$B$50,MATCH(L80,$I$31:$I$50,0),1)</f>
        <v>G</v>
      </c>
      <c r="L80" s="466">
        <f>+LARGE($I$31:$I$50,2)</f>
        <v>522673</v>
      </c>
      <c r="M80" s="465" t="str">
        <f>+INDEX($B$31:$B$50,MATCH(N80,$J$31:$J$50,0),1)</f>
        <v>G</v>
      </c>
      <c r="N80" s="466">
        <f>+LARGE($J$31:$J$50,2)</f>
        <v>538367</v>
      </c>
      <c r="O80" s="465" t="str">
        <f>+INDEX($B$31:$B$50,MATCH(P80,$K$31:$K$50,0),1)</f>
        <v>G</v>
      </c>
      <c r="P80" s="466">
        <f>+LARGE($K$31:$K$50,2)</f>
        <v>525816</v>
      </c>
      <c r="Q80" s="465" t="str">
        <f>+INDEX($B$31:$B$50,MATCH(R80,$L$31:$L$50,0),1)</f>
        <v>G</v>
      </c>
      <c r="R80" s="466">
        <f>+LARGE($L$31:$L$50,2)</f>
        <v>533620</v>
      </c>
      <c r="S80" s="465" t="str">
        <f>+INDEX($B$31:$B$50,MATCH(T80,$M$31:$M$50,0),1)</f>
        <v>G</v>
      </c>
      <c r="T80" s="466">
        <f>+LARGE($M$31:$M$50,2)</f>
        <v>559353</v>
      </c>
      <c r="U80" s="592" t="str">
        <f>+INDEX($B$31:$B$50,MATCH(V80,$N$31:$N$50,0),1)</f>
        <v>G</v>
      </c>
      <c r="V80" s="466">
        <f>+LARGE($N$31:$N$50,2)</f>
        <v>577407</v>
      </c>
      <c r="X80" s="586">
        <f>+V80/$BD$5</f>
        <v>0.17517704073924178</v>
      </c>
      <c r="Y80" s="596">
        <f t="shared" ref="Y80:Y83" si="11">+B80/$AT$5</f>
        <v>0.18974330581375692</v>
      </c>
      <c r="Z80" s="597" t="str">
        <f t="shared" ref="Z80:Z83" si="12">+A80</f>
        <v>G</v>
      </c>
      <c r="AA80" s="493"/>
      <c r="AB80" s="493"/>
      <c r="AD80" s="470"/>
      <c r="AE80" s="470"/>
      <c r="AF80" s="470"/>
      <c r="AG80" s="470"/>
      <c r="AH80" s="470"/>
      <c r="AI80" s="470"/>
      <c r="AJ80" s="470"/>
      <c r="AK80" s="470"/>
      <c r="AL80" s="470"/>
      <c r="AM80" s="470"/>
      <c r="AN80" s="470"/>
      <c r="AW80" s="456"/>
    </row>
    <row r="81" spans="1:49">
      <c r="A81" s="465" t="str">
        <f>+INDEX($B$31:$B$50,MATCH(B81,$D$31:$D$50,0),1)</f>
        <v>N</v>
      </c>
      <c r="B81" s="466">
        <f>+LARGE($D$31:$D$50,3)</f>
        <v>225603</v>
      </c>
      <c r="C81" s="465" t="str">
        <f>+INDEX($B$31:$B$50,MATCH(D81,$E$31:$E$50,0),1)</f>
        <v>N</v>
      </c>
      <c r="D81" s="466">
        <f>+LARGE($E$31:$E$50,3)</f>
        <v>238916</v>
      </c>
      <c r="E81" s="465" t="str">
        <f>+INDEX($B$31:$B$50,MATCH(F81,$F$31:$F$50,0),1)</f>
        <v>N</v>
      </c>
      <c r="F81" s="466">
        <f>+LARGE($F$31:$F$50,3)</f>
        <v>246451</v>
      </c>
      <c r="G81" s="465" t="str">
        <f>+INDEX($B$31:$B$50,MATCH(H81,$G$31:$G$50,0),1)</f>
        <v>N</v>
      </c>
      <c r="H81" s="466">
        <f>+LARGE($G$31:$G$50,3)</f>
        <v>268226</v>
      </c>
      <c r="I81" s="465" t="str">
        <f>+INDEX($B$31:$B$50,MATCH(J81,$H$31:$H$50,0),1)</f>
        <v>N</v>
      </c>
      <c r="J81" s="466">
        <f>+LARGE($H$31:$H$50,3)</f>
        <v>294174</v>
      </c>
      <c r="K81" s="465" t="str">
        <f>+INDEX($B$31:$B$50,MATCH(L81,$I$31:$I$50,0),1)</f>
        <v>N</v>
      </c>
      <c r="L81" s="466">
        <f>+LARGE($I$31:$I$50,3)</f>
        <v>293550</v>
      </c>
      <c r="M81" s="465" t="str">
        <f>+INDEX($B$31:$B$50,MATCH(N81,$J$31:$J$50,0),1)</f>
        <v>N</v>
      </c>
      <c r="N81" s="466">
        <f>+LARGE($J$31:$J$50,3)</f>
        <v>293948</v>
      </c>
      <c r="O81" s="465" t="str">
        <f>+INDEX($B$31:$B$50,MATCH(P81,$K$31:$K$50,0),1)</f>
        <v>N</v>
      </c>
      <c r="P81" s="466">
        <f>+LARGE($K$31:$K$50,3)</f>
        <v>285919</v>
      </c>
      <c r="Q81" s="465" t="str">
        <f>+INDEX($B$31:$B$50,MATCH(R81,$L$31:$L$50,0),1)</f>
        <v>Q</v>
      </c>
      <c r="R81" s="466">
        <f>+LARGE($L$31:$L$50,3)</f>
        <v>286750</v>
      </c>
      <c r="S81" s="465" t="str">
        <f>+INDEX($B$31:$B$50,MATCH(T81,$M$31:$M$50,0),1)</f>
        <v>N</v>
      </c>
      <c r="T81" s="466">
        <f>+LARGE($M$31:$M$50,3)</f>
        <v>307876</v>
      </c>
      <c r="U81" s="592" t="str">
        <f>+INDEX($B$31:$B$50,MATCH(V81,$N$31:$N$50,0),1)</f>
        <v>N</v>
      </c>
      <c r="V81" s="466">
        <f>+LARGE($N$31:$N$50,3)</f>
        <v>323487</v>
      </c>
      <c r="X81" s="586">
        <f>+V81/$BD$5</f>
        <v>9.8141337700469705E-2</v>
      </c>
      <c r="Y81" s="596">
        <f t="shared" si="11"/>
        <v>9.4627328059272153E-2</v>
      </c>
      <c r="Z81" s="597" t="str">
        <f t="shared" si="12"/>
        <v>N</v>
      </c>
      <c r="AW81" s="577"/>
    </row>
    <row r="82" spans="1:49">
      <c r="A82" s="465" t="str">
        <f>+INDEX($B$31:$B$50,MATCH(B82,$D$31:$D$50,0),1)</f>
        <v>Q</v>
      </c>
      <c r="B82" s="466">
        <f>+LARGE($D$31:$D$50,4)</f>
        <v>215109</v>
      </c>
      <c r="C82" s="465" t="str">
        <f>+INDEX($B$31:$B$50,MATCH(D82,$E$31:$E$50,0),1)</f>
        <v>Q</v>
      </c>
      <c r="D82" s="466">
        <f>+LARGE($E$31:$E$50,4)</f>
        <v>221126</v>
      </c>
      <c r="E82" s="465" t="str">
        <f>+INDEX($B$31:$B$50,MATCH(F82,$F$31:$F$50,0),1)</f>
        <v>Q</v>
      </c>
      <c r="F82" s="466">
        <f>+LARGE($F$31:$F$50,4)</f>
        <v>232717</v>
      </c>
      <c r="G82" s="465" t="str">
        <f>+INDEX($B$31:$B$50,MATCH(H82,$G$31:$G$50,0),1)</f>
        <v>Q</v>
      </c>
      <c r="H82" s="466">
        <f>+LARGE($G$31:$G$50,4)</f>
        <v>246800</v>
      </c>
      <c r="I82" s="465" t="str">
        <f>+INDEX($B$31:$B$50,MATCH(J82,$H$31:$H$50,0),1)</f>
        <v>Q</v>
      </c>
      <c r="J82" s="466">
        <f>+LARGE($H$31:$H$50,4)</f>
        <v>257306</v>
      </c>
      <c r="K82" s="465" t="str">
        <f>+INDEX($B$31:$B$50,MATCH(L82,$I$31:$I$50,0),1)</f>
        <v>Q</v>
      </c>
      <c r="L82" s="466">
        <f>+LARGE($I$31:$I$50,4)</f>
        <v>263021</v>
      </c>
      <c r="M82" s="465" t="str">
        <f>+INDEX($B$31:$B$50,MATCH(N82,$J$31:$J$50,0),1)</f>
        <v>Q</v>
      </c>
      <c r="N82" s="466">
        <f>+LARGE($J$31:$J$50,4)</f>
        <v>269760</v>
      </c>
      <c r="O82" s="465" t="str">
        <f>+INDEX($B$31:$B$50,MATCH(P82,$K$31:$K$50,0),1)</f>
        <v>Q</v>
      </c>
      <c r="P82" s="466">
        <f>+LARGE($K$31:$K$50,4)</f>
        <v>280115</v>
      </c>
      <c r="Q82" s="465" t="str">
        <f>+INDEX($B$31:$B$50,MATCH(R82,$L$31:$L$50,0),1)</f>
        <v>N</v>
      </c>
      <c r="R82" s="466">
        <f>+LARGE($L$31:$L$50,4)</f>
        <v>275843</v>
      </c>
      <c r="S82" s="465" t="str">
        <f>+INDEX($B$31:$B$50,MATCH(T82,$M$31:$M$50,0),1)</f>
        <v>Q</v>
      </c>
      <c r="T82" s="466">
        <f>+LARGE($M$31:$M$50,4)</f>
        <v>299622</v>
      </c>
      <c r="U82" s="465" t="str">
        <f>+INDEX($B$31:$B$50,MATCH(V82,$N$31:$N$50,0),1)</f>
        <v>Q</v>
      </c>
      <c r="V82" s="466">
        <f>+LARGE($N$31:$N$50,4)</f>
        <v>309289</v>
      </c>
      <c r="X82" s="470">
        <f>+V82/$BD$5</f>
        <v>9.3833867191079001E-2</v>
      </c>
      <c r="Y82" s="598">
        <f t="shared" si="11"/>
        <v>9.0225705826172412E-2</v>
      </c>
      <c r="Z82" s="599" t="str">
        <f t="shared" si="12"/>
        <v>Q</v>
      </c>
      <c r="AD82" s="494"/>
      <c r="AE82" s="494"/>
      <c r="AF82" s="494"/>
      <c r="AG82" s="494"/>
      <c r="AH82" s="494"/>
      <c r="AI82" s="494"/>
      <c r="AJ82" s="494"/>
      <c r="AK82" s="494"/>
      <c r="AL82" s="494"/>
      <c r="AM82" s="494"/>
      <c r="AN82" s="494"/>
    </row>
    <row r="83" spans="1:49" ht="13.5" thickBot="1">
      <c r="A83" s="465" t="str">
        <f>+INDEX($B$31:$B$50,MATCH(B83,$D$31:$D$50,0),1)</f>
        <v>F</v>
      </c>
      <c r="B83" s="466">
        <f>+LARGE($D$31:$D$50,5)</f>
        <v>178328</v>
      </c>
      <c r="C83" s="465" t="str">
        <f>+INDEX($B$31:$B$50,MATCH(D83,$E$31:$E$50,0),1)</f>
        <v>F</v>
      </c>
      <c r="D83" s="466">
        <f>+LARGE($E$31:$E$50,5)</f>
        <v>178366</v>
      </c>
      <c r="E83" s="465" t="str">
        <f>+INDEX($B$31:$B$50,MATCH(F83,$F$31:$F$50,0),1)</f>
        <v>I</v>
      </c>
      <c r="F83" s="466">
        <f>+LARGE($F$31:$F$50,5)</f>
        <v>189219</v>
      </c>
      <c r="G83" s="465" t="str">
        <f>+INDEX($B$31:$B$50,MATCH(H83,$G$31:$G$50,0),1)</f>
        <v>I</v>
      </c>
      <c r="H83" s="466">
        <f>+LARGE($G$31:$G$50,5)</f>
        <v>204110</v>
      </c>
      <c r="I83" s="465" t="str">
        <f>+INDEX($B$31:$B$50,MATCH(J83,$H$31:$H$50,0),1)</f>
        <v>I</v>
      </c>
      <c r="J83" s="466">
        <f>+LARGE($H$31:$H$50,5)</f>
        <v>223805</v>
      </c>
      <c r="K83" s="465" t="str">
        <f>+INDEX($B$31:$B$50,MATCH(L83,$I$31:$I$50,0),1)</f>
        <v>I</v>
      </c>
      <c r="L83" s="466">
        <f>+LARGE($I$31:$I$50,5)</f>
        <v>241853</v>
      </c>
      <c r="M83" s="465" t="str">
        <f>+INDEX($B$31:$B$50,MATCH(N83,$J$31:$J$50,0),1)</f>
        <v>I</v>
      </c>
      <c r="N83" s="466">
        <f>+LARGE($J$31:$J$50,5)</f>
        <v>251350</v>
      </c>
      <c r="O83" s="465" t="str">
        <f>+INDEX($B$31:$B$50,MATCH(P83,$K$31:$K$50,0),1)</f>
        <v>F</v>
      </c>
      <c r="P83" s="466">
        <f>+LARGE($K$31:$K$50,5)</f>
        <v>232381</v>
      </c>
      <c r="Q83" s="465" t="str">
        <f>+INDEX($B$31:$B$50,MATCH(R83,$L$31:$L$50,0),1)</f>
        <v>F</v>
      </c>
      <c r="R83" s="466">
        <f>+LARGE($L$31:$L$50,5)</f>
        <v>234450</v>
      </c>
      <c r="S83" s="465" t="str">
        <f>+INDEX($B$31:$B$50,MATCH(T83,$M$31:$M$50,0),1)</f>
        <v>I</v>
      </c>
      <c r="T83" s="466">
        <f>+LARGE($M$31:$M$50,5)</f>
        <v>259660</v>
      </c>
      <c r="U83" s="465" t="str">
        <f>+INDEX($B$31:$B$50,MATCH(V83,$N$31:$N$50,0),1)</f>
        <v>I</v>
      </c>
      <c r="V83" s="466">
        <f>+LARGE($N$31:$N$50,5)</f>
        <v>286812</v>
      </c>
      <c r="X83" s="470">
        <f>+V83/$BD$5</f>
        <v>8.7014666272669738E-2</v>
      </c>
      <c r="Y83" s="600">
        <f t="shared" si="11"/>
        <v>7.4798217036803089E-2</v>
      </c>
      <c r="Z83" s="601" t="str">
        <f t="shared" si="12"/>
        <v>F</v>
      </c>
      <c r="AN83" s="494"/>
    </row>
    <row r="85" spans="1:49">
      <c r="B85" s="180">
        <f>+B79+B80+B81</f>
        <v>1219135</v>
      </c>
      <c r="D85" s="180">
        <f>+D79+D80+D81</f>
        <v>1259912</v>
      </c>
      <c r="F85" s="180">
        <f>+F79+F80+F81</f>
        <v>1296914</v>
      </c>
      <c r="H85" s="180">
        <f>+H79+H80+H81</f>
        <v>1350079</v>
      </c>
      <c r="J85" s="180">
        <f>+J79+J80+J81</f>
        <v>1414913</v>
      </c>
      <c r="L85" s="180">
        <f>+L79+L80+L81</f>
        <v>1449818</v>
      </c>
      <c r="N85" s="180">
        <f>+N79+N80+N81</f>
        <v>1457948</v>
      </c>
      <c r="P85" s="180">
        <f>+P79+P80+P81</f>
        <v>1426409</v>
      </c>
      <c r="R85" s="180">
        <f>+R79+R80+R81</f>
        <v>1432424</v>
      </c>
      <c r="T85" s="180">
        <f>+T79+T80+T81</f>
        <v>1509583</v>
      </c>
      <c r="V85" s="180">
        <f>+V79+V80+V81</f>
        <v>1551770</v>
      </c>
    </row>
    <row r="86" spans="1:49">
      <c r="B86" s="483">
        <f>+B85/AT5</f>
        <v>0.51135617697256142</v>
      </c>
      <c r="D86" s="483">
        <f>+D85/AU5</f>
        <v>0.51254208935697099</v>
      </c>
      <c r="F86" s="483">
        <f>+F85/AV5</f>
        <v>0.51106829814793431</v>
      </c>
      <c r="H86" s="483">
        <f>+H85/AW5</f>
        <v>0.51102210173741136</v>
      </c>
      <c r="J86" s="483">
        <f>+J85/AX5</f>
        <v>0.51125646381725742</v>
      </c>
      <c r="L86" s="483">
        <f>+L85/AY5</f>
        <v>0.50377321383027596</v>
      </c>
      <c r="N86" s="483">
        <f>+N85/AZ5</f>
        <v>0.49751133090051397</v>
      </c>
      <c r="P86" s="483">
        <f>+P85/BA5</f>
        <v>0.49138649419100361</v>
      </c>
      <c r="R86" s="483">
        <f>+R85/BB5</f>
        <v>0.49016285904837315</v>
      </c>
      <c r="T86" s="483">
        <f>+T85/BC5</f>
        <v>0.47951477488185906</v>
      </c>
      <c r="V86" s="483">
        <f>+V85/BD5</f>
        <v>0.47078486493570953</v>
      </c>
    </row>
    <row r="87" spans="1:49">
      <c r="A87" s="456" t="s">
        <v>212</v>
      </c>
      <c r="D87" s="457">
        <f>+D6</f>
        <v>2013</v>
      </c>
      <c r="E87" s="457">
        <f t="shared" ref="E87:N87" si="13">+E6</f>
        <v>2014</v>
      </c>
      <c r="F87" s="457">
        <f t="shared" si="13"/>
        <v>2015</v>
      </c>
      <c r="G87" s="457">
        <f t="shared" si="13"/>
        <v>2016</v>
      </c>
      <c r="H87" s="457">
        <f t="shared" si="13"/>
        <v>2017</v>
      </c>
      <c r="I87" s="457">
        <f t="shared" si="13"/>
        <v>2018</v>
      </c>
      <c r="J87" s="457">
        <f t="shared" si="13"/>
        <v>2019</v>
      </c>
      <c r="K87" s="457">
        <f t="shared" si="13"/>
        <v>2020</v>
      </c>
      <c r="L87" s="457">
        <f t="shared" si="13"/>
        <v>2021</v>
      </c>
      <c r="M87" s="457">
        <f t="shared" si="13"/>
        <v>2022</v>
      </c>
      <c r="N87" s="457">
        <f t="shared" si="13"/>
        <v>2023</v>
      </c>
      <c r="AW87" s="580"/>
    </row>
    <row r="88" spans="1:49">
      <c r="B88" s="456" t="s">
        <v>229</v>
      </c>
      <c r="C88" s="456"/>
      <c r="D88">
        <f>+'q10'!$B$6+'q10'!$B$7</f>
        <v>807035</v>
      </c>
      <c r="E88">
        <f>+'q10'!$C$6+'q10'!$C$7</f>
        <v>817718</v>
      </c>
      <c r="F88">
        <f>+'q10'!$D$6+'q10'!$D$7</f>
        <v>828965</v>
      </c>
      <c r="G88">
        <f>+'q10'!$E$6+'q10'!$E$7</f>
        <v>840792</v>
      </c>
      <c r="H88">
        <f>+'q10'!$F$6+'q10'!$F$7</f>
        <v>849655</v>
      </c>
      <c r="I88">
        <f>+'q10'!$G$6+'q10'!$G$7</f>
        <v>861111</v>
      </c>
      <c r="J88">
        <f>+'q10'!$H$6+'q10'!$H$7</f>
        <v>845876</v>
      </c>
      <c r="K88">
        <f>+'q10'!$I$6+'q10'!$I$7</f>
        <v>853076</v>
      </c>
      <c r="L88">
        <f>+'q10'!$J$6+'q10'!$J$7</f>
        <v>837669</v>
      </c>
      <c r="M88">
        <f>+'q10'!$K$6+'q10'!$K$7</f>
        <v>873069</v>
      </c>
      <c r="N88">
        <f>+'q10'!$L$6+'q10'!$L$7</f>
        <v>893226</v>
      </c>
      <c r="R88" s="457" t="s">
        <v>437</v>
      </c>
    </row>
    <row r="89" spans="1:49">
      <c r="B89" s="456" t="s">
        <v>479</v>
      </c>
      <c r="C89" s="456"/>
      <c r="D89">
        <f>+'q10'!$B$8+'q10'!$B$9</f>
        <v>754503</v>
      </c>
      <c r="E89">
        <f>+'q10'!$C$8+'q10'!$C$9</f>
        <v>781002</v>
      </c>
      <c r="F89">
        <f>+'q10'!$D$8+'q10'!$D$9</f>
        <v>809264</v>
      </c>
      <c r="G89">
        <f>+'q10'!$E$8+'q10'!$E$9</f>
        <v>838406</v>
      </c>
      <c r="H89">
        <f>+'q10'!$F$8+'q10'!$F$9</f>
        <v>880167</v>
      </c>
      <c r="I89">
        <f>+'q10'!$G$8+'q10'!$G$9</f>
        <v>916605</v>
      </c>
      <c r="J89">
        <f>+'q10'!$H$8+'q10'!$H$9</f>
        <v>936633</v>
      </c>
      <c r="K89">
        <f>+'q10'!$I$8+'q10'!$I$9</f>
        <v>923119</v>
      </c>
      <c r="L89">
        <f>+'q10'!$J$8+'q10'!$J$9</f>
        <v>932577</v>
      </c>
      <c r="M89">
        <f>+'q10'!$K$8+'q10'!$K$9</f>
        <v>1004253</v>
      </c>
      <c r="N89">
        <f>+'q10'!$L$8+'q10'!$L$9</f>
        <v>1056104</v>
      </c>
      <c r="R89" s="457" t="s">
        <v>271</v>
      </c>
    </row>
    <row r="90" spans="1:49">
      <c r="B90" s="456" t="s">
        <v>480</v>
      </c>
      <c r="C90" s="456"/>
      <c r="D90">
        <f>+'q10'!$B$10+'q10'!$B$11+'q10'!$B$12+'q10'!$B$13</f>
        <v>567809</v>
      </c>
      <c r="E90">
        <f>+'q10'!$C$10+'q10'!$C$11+'q10'!$C$12+'q10'!$C$13</f>
        <v>586678</v>
      </c>
      <c r="F90">
        <f>+'q10'!$D$10+'q10'!$D$11+'q10'!$D$12+'q10'!$D$13</f>
        <v>606103</v>
      </c>
      <c r="G90">
        <f>+'q10'!$E$10+'q10'!$E$11+'q10'!$E$12+'q10'!$E$13</f>
        <v>632612</v>
      </c>
      <c r="H90">
        <f>+'q10'!$F$10+'q10'!$F$11+'q10'!$F$12+'q10'!$F$13</f>
        <v>664431</v>
      </c>
      <c r="I90">
        <f>+'q10'!$G$10+'q10'!$G$11+'q10'!$G$12+'q10'!$G$13</f>
        <v>700099</v>
      </c>
      <c r="J90">
        <f>+'q10'!$H$10+'q10'!$H$11+'q10'!$H$12+'q10'!$H$13</f>
        <v>716788</v>
      </c>
      <c r="K90">
        <f>+'q10'!$I$10+'q10'!$I$11+'q10'!$I$12+'q10'!$I$13</f>
        <v>705873</v>
      </c>
      <c r="L90">
        <f>+'q10'!$J$10+'q10'!$J$11+'q10'!$J$12+'q10'!$J$13</f>
        <v>724835</v>
      </c>
      <c r="M90">
        <f>+'q10'!$K$10+'q10'!$K$11+'q10'!$K$12+'q10'!$K$13</f>
        <v>794196</v>
      </c>
      <c r="N90">
        <f>+'q10'!$L$10+'q10'!$L$11+'q10'!$L$12+'q10'!$L$13</f>
        <v>832992</v>
      </c>
      <c r="R90" s="457" t="s">
        <v>224</v>
      </c>
      <c r="Y90" s="457" t="s">
        <v>185</v>
      </c>
    </row>
    <row r="91" spans="1:49">
      <c r="B91" s="456" t="s">
        <v>238</v>
      </c>
      <c r="C91" s="456"/>
      <c r="D91">
        <f>+'q10'!$B$14+'q10'!$B$15+'q10'!$B$16</f>
        <v>424110</v>
      </c>
      <c r="E91">
        <f>+'q10'!$C$14+'q10'!$C$15+'q10'!$C$16</f>
        <v>449091</v>
      </c>
      <c r="F91">
        <f>+'q10'!$D$14+'q10'!$D$15+'q10'!$D$16</f>
        <v>469722</v>
      </c>
      <c r="G91">
        <f>+'q10'!$E$14+'q10'!$E$15+'q10'!$E$16</f>
        <v>506174</v>
      </c>
      <c r="H91">
        <f>+'q10'!$F$14+'q10'!$F$15+'q10'!$F$16</f>
        <v>550734</v>
      </c>
      <c r="I91">
        <f>+'q10'!$G$14+'q10'!$G$15+'q10'!$G$16</f>
        <v>580834</v>
      </c>
      <c r="J91">
        <f>+'q10'!$H$14+'q10'!$H$15+'q10'!$H$16</f>
        <v>609353</v>
      </c>
      <c r="K91">
        <f>+'q10'!$I$14+'q10'!$I$15+'q10'!$I$16</f>
        <v>599925</v>
      </c>
      <c r="L91">
        <f>+'q10'!$J$14+'q10'!$J$15+'q10'!$J$16</f>
        <v>604893</v>
      </c>
      <c r="M91">
        <f>+'q10'!$K$14+'q10'!$K$15+'q10'!$K$16</f>
        <v>663306</v>
      </c>
      <c r="N91">
        <f>+'q10'!$L$14+'q10'!$L$15+'q10'!$L$16</f>
        <v>704887</v>
      </c>
      <c r="R91" t="str">
        <f>+"Entre "&amp;$D$6&amp;" e "&amp;$N$6&amp;":"</f>
        <v>Entre 2013 e 2023:</v>
      </c>
      <c r="Y91" t="str">
        <f>+"Entre "&amp;$D$6&amp;" e "&amp;$N$6&amp;":"</f>
        <v>Entre 2013 e 2023:</v>
      </c>
    </row>
    <row r="92" spans="1:49">
      <c r="Q92" t="str">
        <f>+LEFT($B$88,FIND(" ",$B$88,1))</f>
        <v xml:space="preserve">Micro </v>
      </c>
      <c r="R92" t="str">
        <f>+Q92&amp;"e "&amp;Q93&amp;"estabelecimentos têm ao serviço mais de "</f>
        <v xml:space="preserve">Micro e Pequenos estabelecimentos têm ao serviço mais de </v>
      </c>
      <c r="X92" t="str">
        <f>+LEFT($B$101,FIND(" ",$B$101,1))</f>
        <v xml:space="preserve">Micro </v>
      </c>
      <c r="Y92" t="str">
        <f>+X92&amp;"e "&amp;X93&amp;"estabelecimentos têm ao serviço mais de "</f>
        <v xml:space="preserve">Micro e Pequenos estabelecimentos têm ao serviço mais de </v>
      </c>
    </row>
    <row r="93" spans="1:49">
      <c r="D93" s="470">
        <f>+D88/$AT$4</f>
        <v>0.31578142143213772</v>
      </c>
      <c r="E93" s="470">
        <f>+E88/$AU$4</f>
        <v>0.31010804052211682</v>
      </c>
      <c r="F93" s="470">
        <f>+F88/$AV$4</f>
        <v>0.30521415414002373</v>
      </c>
      <c r="G93" s="470">
        <f>+G88/$AW$4</f>
        <v>0.29815551752531405</v>
      </c>
      <c r="H93" s="470">
        <f>+H88/$AX$4</f>
        <v>0.28832133259900311</v>
      </c>
      <c r="I93" s="470">
        <f>+I88/$AY$4</f>
        <v>0.28136386048111922</v>
      </c>
      <c r="J93" s="470">
        <f>+J88/$AZ$4</f>
        <v>0.2719028823680491</v>
      </c>
      <c r="K93" s="470">
        <f>+K88/$BA$4</f>
        <v>0.27647310088327393</v>
      </c>
      <c r="L93" s="470">
        <f>+L88/$BB$4</f>
        <v>0.27001155577474462</v>
      </c>
      <c r="M93" s="470">
        <f>+M88/$BC$4</f>
        <v>0.26162647486636531</v>
      </c>
      <c r="N93" s="470">
        <f>+N88/$BD$4</f>
        <v>0.25596926624184035</v>
      </c>
      <c r="Q93" t="str">
        <f>+LEFT($B$89,FIND(" ",$B$89,1))</f>
        <v xml:space="preserve">Pequenos </v>
      </c>
      <c r="R93" t="str">
        <f>+TEXT($O$98,"##.###%")</f>
        <v>55%</v>
      </c>
      <c r="S93" s="456" t="s">
        <v>495</v>
      </c>
      <c r="T93" t="str">
        <f>+TEXT(SMALL($D$98:$N$98,1),"##.###,0%")</f>
        <v>55,9%</v>
      </c>
      <c r="U93" s="456" t="s">
        <v>842</v>
      </c>
      <c r="V93" t="str">
        <f>+TEXT(LARGE($D$98:$N$98,1),"##.###,0%")</f>
        <v>61,1%</v>
      </c>
      <c r="X93" t="str">
        <f>+LEFT($B$102,FIND(" ",$B$102,1))</f>
        <v xml:space="preserve">Pequenos </v>
      </c>
      <c r="Y93" t="str">
        <f>+TEXT(O111,"##.###%")</f>
        <v>53%</v>
      </c>
      <c r="Z93" t="s">
        <v>496</v>
      </c>
      <c r="AB93" t="str">
        <f>+TEXT(SMALL($D$111:$N$111,1),"##.###,0%")</f>
        <v>53,5%</v>
      </c>
      <c r="AC93" s="456" t="s">
        <v>840</v>
      </c>
      <c r="AD93" t="str">
        <f>+TEXT(LARGE($D$111:$N$111,1),"##.###,0%")</f>
        <v>58,5%</v>
      </c>
    </row>
    <row r="94" spans="1:49">
      <c r="D94" s="470">
        <f>+D89/$AT$4</f>
        <v>0.29522639019969665</v>
      </c>
      <c r="E94" s="470">
        <f>+E89/$AU$4</f>
        <v>0.29618401437152453</v>
      </c>
      <c r="F94" s="470">
        <f>+F89/$AV$4</f>
        <v>0.29796050163272536</v>
      </c>
      <c r="G94" s="470">
        <f>+G89/$AW$4</f>
        <v>0.29730941163370778</v>
      </c>
      <c r="H94" s="470">
        <f>+H89/$AX$4</f>
        <v>0.29867525330830369</v>
      </c>
      <c r="I94" s="470">
        <f>+I89/$AY$4</f>
        <v>0.29949625697069976</v>
      </c>
      <c r="J94" s="470">
        <f>+J89/$AZ$4</f>
        <v>0.30107629536839081</v>
      </c>
      <c r="K94" s="470">
        <f>+K89/$BA$4</f>
        <v>0.29917331212490672</v>
      </c>
      <c r="L94" s="470">
        <f>+L89/$BB$4</f>
        <v>0.30060389801907911</v>
      </c>
      <c r="M94" s="470">
        <f>+M89/$BC$4</f>
        <v>0.30093746572604452</v>
      </c>
      <c r="N94" s="470">
        <f>+N89/$BD$4</f>
        <v>0.30264475726755891</v>
      </c>
      <c r="R94" t="str">
        <f>+$Q$92&amp;"estabelecimentos: entre "</f>
        <v xml:space="preserve">Micro estabelecimentos: entre </v>
      </c>
      <c r="Y94" t="str">
        <f>+$X$92&amp;"estabelecimentos: entre "</f>
        <v xml:space="preserve">Micro estabelecimentos: entre </v>
      </c>
    </row>
    <row r="95" spans="1:49">
      <c r="D95" s="470">
        <f>+D90/$AT$4</f>
        <v>0.22217565919936644</v>
      </c>
      <c r="E95" s="470">
        <f>+E90/$AU$4</f>
        <v>0.22248937286134643</v>
      </c>
      <c r="F95" s="470">
        <f>+F90/$AV$4</f>
        <v>0.22315925819151688</v>
      </c>
      <c r="G95" s="470">
        <f>+G90/$AW$4</f>
        <v>0.22433224656362569</v>
      </c>
      <c r="H95" s="470">
        <f>+H90/$AX$4</f>
        <v>0.2254675501704671</v>
      </c>
      <c r="I95" s="470">
        <f>+I90/$AY$4</f>
        <v>0.22875396709480086</v>
      </c>
      <c r="J95" s="470">
        <f>+J90/$AZ$4</f>
        <v>0.23040814876746613</v>
      </c>
      <c r="K95" s="470">
        <f>+K90/$BA$4</f>
        <v>0.22876613237247234</v>
      </c>
      <c r="L95" s="470">
        <f>+L90/$BB$4</f>
        <v>0.23364100382130293</v>
      </c>
      <c r="M95" s="470">
        <f>+M90/$BC$4</f>
        <v>0.23799115514692176</v>
      </c>
      <c r="N95" s="470">
        <f>+N90/$BD$4</f>
        <v>0.23870817802585581</v>
      </c>
      <c r="Q95" t="str">
        <f>+RIGHT($B$88,13)</f>
        <v>(1-9 pessoas)</v>
      </c>
      <c r="R95" t="str">
        <f>+TEXT(SMALL($D$93:$N$93,1),"##.###,0%")</f>
        <v>25,6%</v>
      </c>
      <c r="S95">
        <f>+SMALL($D$93:$N$93,1)</f>
        <v>0.25596926624184035</v>
      </c>
      <c r="T95">
        <f>+HLOOKUP(S95,$D$93:$N$100,8,0)</f>
        <v>2023</v>
      </c>
      <c r="U95" s="456" t="s">
        <v>840</v>
      </c>
      <c r="V95" t="str">
        <f>+RIGHT($B$105,13)</f>
        <v/>
      </c>
      <c r="X95">
        <f>+SMALL($D$106:$N$106,1)</f>
        <v>0.2258133316181927</v>
      </c>
      <c r="Y95" t="str">
        <f>+TEXT(SMALL($D$106:$N$106,1),"##.###,0%")</f>
        <v>22,6%</v>
      </c>
      <c r="Z95">
        <f>+HLOOKUP(X95,$D$106:$N$113,8,0)</f>
        <v>2023</v>
      </c>
      <c r="AA95" t="s">
        <v>490</v>
      </c>
    </row>
    <row r="96" spans="1:49">
      <c r="D96" s="470">
        <f>+D91/$AT$4</f>
        <v>0.16594826574260588</v>
      </c>
      <c r="E96" s="470">
        <f>+E91/$AU$4</f>
        <v>0.17031143991708386</v>
      </c>
      <c r="F96" s="470">
        <f>+F91/$AV$4</f>
        <v>0.17294554403498366</v>
      </c>
      <c r="G96" s="470">
        <f>+G91/$AW$4</f>
        <v>0.17949572656240581</v>
      </c>
      <c r="H96" s="470">
        <f>+H91/$AX$4</f>
        <v>0.18688568982419848</v>
      </c>
      <c r="I96" s="470">
        <f>+I91/$AY$4</f>
        <v>0.18978470433973132</v>
      </c>
      <c r="J96" s="470">
        <f>+J91/$AZ$4</f>
        <v>0.19587367070305556</v>
      </c>
      <c r="K96" s="470">
        <f>+K91/$BA$4</f>
        <v>0.19442948230567747</v>
      </c>
      <c r="L96" s="470">
        <f>+L91/$BB$4</f>
        <v>0.19497928180134705</v>
      </c>
      <c r="M96" s="470">
        <f>+M91/$BC$4</f>
        <v>0.19876826520894603</v>
      </c>
      <c r="N96" s="470">
        <f>+N91/$BD$4</f>
        <v>0.20199748795199884</v>
      </c>
      <c r="Q96" t="str">
        <f>+RIGHT($B$89,17)</f>
        <v>(10 - 49 pessoas)</v>
      </c>
      <c r="R96" t="str">
        <f>+TEXT(LARGE($D$93:$N$93,1),"##.###,0%")</f>
        <v>31,6%</v>
      </c>
      <c r="S96">
        <f>+LARGE($D$93:$N$93,1)</f>
        <v>0.31578142143213772</v>
      </c>
      <c r="T96">
        <f>+HLOOKUP(S96,$D$93:$N$100,8,0)</f>
        <v>2013</v>
      </c>
      <c r="U96" t="s">
        <v>488</v>
      </c>
      <c r="V96" t="str">
        <f>+RIGHT($B$106,17)</f>
        <v/>
      </c>
      <c r="X96">
        <f>+LARGE($D$106:$N$106,1)</f>
        <v>0.27973118814019926</v>
      </c>
      <c r="Y96" t="str">
        <f>+TEXT(LARGE($D$106:$N$106,1),"##.###,0%")</f>
        <v>28,0%</v>
      </c>
      <c r="Z96">
        <f>+HLOOKUP(X96,$D$106:$N$113,8,0)</f>
        <v>2013</v>
      </c>
      <c r="AA96" t="s">
        <v>488</v>
      </c>
    </row>
    <row r="97" spans="1:27">
      <c r="P97" s="494">
        <f>+AVERAGE(D98:N98)</f>
        <v>0.58401956031423863</v>
      </c>
      <c r="R97" t="str">
        <f>+$Q$93&amp;"estabelecimentos: entre "</f>
        <v xml:space="preserve">Pequenos estabelecimentos: entre </v>
      </c>
      <c r="Y97" t="str">
        <f>+$X$93&amp;"estabelecimentos: entre "</f>
        <v xml:space="preserve">Pequenos estabelecimentos: entre </v>
      </c>
    </row>
    <row r="98" spans="1:27">
      <c r="D98" s="470">
        <f>+D93+D94</f>
        <v>0.61100781163183437</v>
      </c>
      <c r="E98" s="470">
        <f t="shared" ref="E98:M98" si="14">+E93+E94</f>
        <v>0.60629205489364135</v>
      </c>
      <c r="F98" s="470">
        <f t="shared" si="14"/>
        <v>0.60317465577274909</v>
      </c>
      <c r="G98" s="470">
        <f t="shared" si="14"/>
        <v>0.59546492915902183</v>
      </c>
      <c r="H98" s="470">
        <f t="shared" si="14"/>
        <v>0.58699658590730674</v>
      </c>
      <c r="I98" s="470">
        <f t="shared" si="14"/>
        <v>0.58086011745181898</v>
      </c>
      <c r="J98" s="470">
        <f t="shared" si="14"/>
        <v>0.57297917773643992</v>
      </c>
      <c r="K98" s="470">
        <f t="shared" si="14"/>
        <v>0.57564641300818065</v>
      </c>
      <c r="L98" s="470">
        <f t="shared" si="14"/>
        <v>0.57061545379382372</v>
      </c>
      <c r="M98" s="470">
        <f t="shared" si="14"/>
        <v>0.56256394059240988</v>
      </c>
      <c r="N98" s="470">
        <f>+N93+N94</f>
        <v>0.55861402350939926</v>
      </c>
      <c r="O98" s="491">
        <f>+TRUNC(P98,2)</f>
        <v>0.55000000000000004</v>
      </c>
      <c r="P98" s="645">
        <f>+SMALL($D$98:$N$98,1)</f>
        <v>0.55861402350939926</v>
      </c>
      <c r="Q98">
        <f>+HLOOKUP(P98,$D$98:$N$100,3,0)</f>
        <v>2023</v>
      </c>
      <c r="R98" t="str">
        <f>+TEXT(SMALL($D$94:$N$94,1),"##.###,0%")</f>
        <v>29,5%</v>
      </c>
      <c r="S98">
        <f>+SMALL($D$94:$N$94,1)</f>
        <v>0.29522639019969665</v>
      </c>
      <c r="T98">
        <f>+HLOOKUP(S98,$D$94:$N$100,7,0)</f>
        <v>2013</v>
      </c>
      <c r="U98" s="456" t="s">
        <v>840</v>
      </c>
      <c r="X98">
        <f>+SMALL($D$107:$N$107,1)</f>
        <v>0.30532133226459562</v>
      </c>
      <c r="Y98" t="str">
        <f>+TEXT(SMALL($D$107:$N$107,1),"##.###,0%")</f>
        <v>30,5%</v>
      </c>
      <c r="Z98">
        <f>+HLOOKUP(X98,$D$107:$N$113,7,0)</f>
        <v>2013</v>
      </c>
      <c r="AA98" t="s">
        <v>490</v>
      </c>
    </row>
    <row r="99" spans="1:27">
      <c r="P99" s="645">
        <f>+LARGE($D$98:$N$98,1)</f>
        <v>0.61100781163183437</v>
      </c>
      <c r="Q99">
        <f>+HLOOKUP(P99,$D$98:$N$100,3,0)</f>
        <v>2013</v>
      </c>
      <c r="R99" t="str">
        <f>+TEXT(LARGE($D$94:$N$94,1),"##.###,0%")</f>
        <v>30,3%</v>
      </c>
      <c r="S99">
        <f>+LARGE($D$94:$N$94,1)</f>
        <v>0.30264475726755891</v>
      </c>
      <c r="T99">
        <f>+HLOOKUP(S99,$D$94:$N$100,7,0)</f>
        <v>2023</v>
      </c>
      <c r="X99">
        <f>+LARGE($D$107:$N$107,1)</f>
        <v>0.30936727693716337</v>
      </c>
      <c r="Y99" t="str">
        <f>+TEXT(LARGE($D$107:$N$107,1),"##.###,0%")</f>
        <v>30,9%</v>
      </c>
      <c r="Z99">
        <f>+HLOOKUP(X99,$D$107:$N$113,7,0)</f>
        <v>2023</v>
      </c>
    </row>
    <row r="100" spans="1:27">
      <c r="A100" s="456" t="s">
        <v>185</v>
      </c>
      <c r="D100" s="457">
        <f>+D6</f>
        <v>2013</v>
      </c>
      <c r="E100" s="457">
        <f t="shared" ref="E100:N100" si="15">+E6</f>
        <v>2014</v>
      </c>
      <c r="F100" s="457">
        <f t="shared" si="15"/>
        <v>2015</v>
      </c>
      <c r="G100" s="457">
        <f t="shared" si="15"/>
        <v>2016</v>
      </c>
      <c r="H100" s="457">
        <f t="shared" si="15"/>
        <v>2017</v>
      </c>
      <c r="I100" s="457">
        <f t="shared" si="15"/>
        <v>2018</v>
      </c>
      <c r="J100" s="457">
        <f t="shared" si="15"/>
        <v>2019</v>
      </c>
      <c r="K100" s="457">
        <f t="shared" si="15"/>
        <v>2020</v>
      </c>
      <c r="L100" s="457">
        <f t="shared" si="15"/>
        <v>2021</v>
      </c>
      <c r="M100" s="457">
        <f t="shared" si="15"/>
        <v>2022</v>
      </c>
      <c r="N100" s="457">
        <f t="shared" si="15"/>
        <v>2023</v>
      </c>
    </row>
    <row r="101" spans="1:27">
      <c r="B101" s="456" t="s">
        <v>229</v>
      </c>
      <c r="C101" s="456"/>
      <c r="D101">
        <f>+'q14'!$C$8+'q14'!$C$11</f>
        <v>666913</v>
      </c>
      <c r="E101">
        <f>+'q14'!$D$8+'q14'!$D$11</f>
        <v>674602</v>
      </c>
      <c r="F101">
        <f>+'q14'!$E$8+'q14'!$E$11</f>
        <v>686838</v>
      </c>
      <c r="G101">
        <f>+'q14'!$F$8+'q14'!$F$11</f>
        <v>698455</v>
      </c>
      <c r="H101">
        <f>+'q14'!$G$8+'q14'!$G$11</f>
        <v>707551</v>
      </c>
      <c r="I101">
        <f>+'q14'!$H$8+'q14'!$H$11</f>
        <v>717867</v>
      </c>
      <c r="J101">
        <f>+'q14'!$I$8+'q14'!$I$11</f>
        <v>705572</v>
      </c>
      <c r="K101">
        <f>+'q14'!$J$8+'q14'!$J$11</f>
        <v>709290</v>
      </c>
      <c r="L101">
        <f>+'q14'!$K$8+'q14'!$K$11</f>
        <v>697277</v>
      </c>
      <c r="M101">
        <f>+'q14'!$L$8+'q14'!$L$11</f>
        <v>727177</v>
      </c>
      <c r="N101">
        <f>+'q14'!$M$8+'q14'!$M$11</f>
        <v>744311</v>
      </c>
    </row>
    <row r="102" spans="1:27">
      <c r="B102" s="456" t="s">
        <v>479</v>
      </c>
      <c r="C102" s="456"/>
      <c r="D102">
        <f>+'q14'!$C$14+'q14'!$C$17</f>
        <v>727923</v>
      </c>
      <c r="E102">
        <f>+'q14'!$D$14+'q14'!$D$17</f>
        <v>752242</v>
      </c>
      <c r="F102">
        <f>+'q14'!$E$14+'q14'!$E$17</f>
        <v>779942</v>
      </c>
      <c r="G102">
        <f>+'q14'!$F$14+'q14'!$F$17</f>
        <v>808880</v>
      </c>
      <c r="H102">
        <f>+'q14'!$G$14+'q14'!$G$17</f>
        <v>849173</v>
      </c>
      <c r="I102">
        <f>+'q14'!$H$14+'q14'!$H$17</f>
        <v>884241</v>
      </c>
      <c r="J102">
        <f>+'q14'!$I$14+'q14'!$I$17</f>
        <v>903699</v>
      </c>
      <c r="K102">
        <f>+'q14'!$J$14+'q14'!$J$17</f>
        <v>890723</v>
      </c>
      <c r="L102">
        <f>+'q14'!$K$14+'q14'!$K$17</f>
        <v>899808</v>
      </c>
      <c r="M102">
        <f>+'q14'!$L$14+'q14'!$L$17</f>
        <v>969158</v>
      </c>
      <c r="N102">
        <f>+'q14'!$M$14+'q14'!$M$17</f>
        <v>1019716</v>
      </c>
    </row>
    <row r="103" spans="1:27">
      <c r="B103" s="456" t="s">
        <v>480</v>
      </c>
      <c r="C103" s="456"/>
      <c r="D103">
        <f>+'q14'!$C$20+'q14'!$C$23+'q14'!$C$26+'q14'!$C$29</f>
        <v>563970</v>
      </c>
      <c r="E103">
        <f>+'q14'!$D$20+'q14'!$D$23+'q14'!$D$26+'q14'!$D$29</f>
        <v>581774</v>
      </c>
      <c r="F103">
        <f>+'q14'!$E$20+'q14'!$E$23+'q14'!$E$26+'q14'!$E$29</f>
        <v>601283</v>
      </c>
      <c r="G103">
        <f>+'q14'!$F$20+'q14'!$F$23+'q14'!$F$26+'q14'!$F$29</f>
        <v>628036</v>
      </c>
      <c r="H103">
        <f>+'q14'!$G$20+'q14'!$G$23+'q14'!$G$26+'q14'!$G$29</f>
        <v>659773</v>
      </c>
      <c r="I103">
        <f>+'q14'!$H$20+'q14'!$H$23+'q14'!$H$26+'q14'!$H$29</f>
        <v>694825</v>
      </c>
      <c r="J103">
        <f>+'q14'!$I$20+'q14'!$I$23+'q14'!$I$26+'q14'!$I$29</f>
        <v>711328</v>
      </c>
      <c r="K103">
        <f>+'q14'!$J$20+'q14'!$J$23+'q14'!$J$26+'q14'!$J$29</f>
        <v>700769</v>
      </c>
      <c r="L103">
        <f>+'q14'!$K$20+'q14'!$K$23+'q14'!$K$26+'q14'!$K$29</f>
        <v>719552</v>
      </c>
      <c r="M103">
        <f>+'q14'!$L$20+'q14'!$L$23+'q14'!$L$26+'q14'!$L$29</f>
        <v>788139</v>
      </c>
      <c r="N103">
        <f>+'q14'!$M$20+'q14'!$M$23+'q14'!$M$26+'q14'!$M$29</f>
        <v>826979</v>
      </c>
      <c r="R103" s="456" t="s">
        <v>212</v>
      </c>
    </row>
    <row r="104" spans="1:27">
      <c r="B104" s="456" t="s">
        <v>238</v>
      </c>
      <c r="C104" s="456"/>
      <c r="D104">
        <f>+'q14'!$C$32+'q14'!$C$35+'q14'!$C$38</f>
        <v>423096</v>
      </c>
      <c r="E104">
        <f>+'q14'!$D$32+'q14'!$D$35+'q14'!$D$38</f>
        <v>447153</v>
      </c>
      <c r="F104">
        <f>+'q14'!$E$32+'q14'!$E$35+'q14'!$E$38</f>
        <v>467633</v>
      </c>
      <c r="G104">
        <f>+'q14'!$F$32+'q14'!$F$35+'q14'!$F$38</f>
        <v>504554</v>
      </c>
      <c r="H104">
        <f>+'q14'!$G$32+'q14'!$G$35+'q14'!$G$38</f>
        <v>549108</v>
      </c>
      <c r="I104">
        <f>+'q14'!$H$32+'q14'!$H$35+'q14'!$H$38</f>
        <v>579145</v>
      </c>
      <c r="J104">
        <f>+'q14'!$I$32+'q14'!$I$35+'q14'!$I$38</f>
        <v>607584</v>
      </c>
      <c r="K104">
        <f>+'q14'!$J$32+'q14'!$J$35+'q14'!$J$38</f>
        <v>598470</v>
      </c>
      <c r="L104">
        <f>+'q14'!$K$32+'q14'!$K$35+'q14'!$K$38</f>
        <v>603335</v>
      </c>
      <c r="M104">
        <f>+'q14'!$L$32+'q14'!$L$35+'q14'!$L$38</f>
        <v>661415</v>
      </c>
      <c r="N104">
        <f>+'q14'!$M$32+'q14'!$M$35+'q14'!$M$38</f>
        <v>702754</v>
      </c>
      <c r="R104" t="str">
        <f>+R91&amp;CHAR(10)&amp;R92&amp;R93&amp;S93&amp;T93&amp;" em "&amp;Q98&amp;U93&amp;V93&amp;" em "&amp;Q99&amp;")"&amp;CHAR(10)&amp;R94&amp;R95&amp;" ("&amp;T95&amp;") "&amp;U95&amp;R96&amp;" ("&amp;T96&amp;")."&amp;CHAR(10)&amp;R97&amp;R98&amp;" ("&amp;T98&amp;") "&amp;U98&amp;R99&amp;" ("&amp;T99&amp;")."</f>
        <v>Entre 2013 e 2023:
Micro e Pequenos estabelecimentos têm ao serviço mais de 55% das pessoas (entre 55,9% em 2023, e 61,1% em 2013)
Micro estabelecimentos: entre 25,6% (2023) e 31,6% (2013).
Pequenos estabelecimentos: entre 29,5% (2013) e 30,3% (2023).</v>
      </c>
    </row>
    <row r="106" spans="1:27">
      <c r="D106" s="470">
        <f>+D101/$AT$5</f>
        <v>0.27973118814019926</v>
      </c>
      <c r="E106" s="470">
        <f>+E101/$AU$5</f>
        <v>0.27443338785914523</v>
      </c>
      <c r="F106" s="470">
        <f>+F101/$AV$5</f>
        <v>0.27065875436870213</v>
      </c>
      <c r="G106" s="470">
        <f>+G101/$AW$5</f>
        <v>0.26437411593618126</v>
      </c>
      <c r="H106" s="470">
        <f>+H101/$AX$5</f>
        <v>0.25566237799098906</v>
      </c>
      <c r="I106" s="470">
        <f>+I101/$AY$5</f>
        <v>0.24943969911581915</v>
      </c>
      <c r="J106" s="470">
        <f>+J101/$AZ$5</f>
        <v>0.24076994842486663</v>
      </c>
      <c r="K106" s="470">
        <f>+K101/$BA$5</f>
        <v>0.2443447331478818</v>
      </c>
      <c r="L106" s="470">
        <f>+L101/$BB$5</f>
        <v>0.23860203952787198</v>
      </c>
      <c r="M106" s="470">
        <f>+M101/$BC$5</f>
        <v>0.2309857195359683</v>
      </c>
      <c r="N106" s="470">
        <f>+N101/$BD$5</f>
        <v>0.2258133316181927</v>
      </c>
      <c r="R106" s="456" t="s">
        <v>185</v>
      </c>
    </row>
    <row r="107" spans="1:27">
      <c r="D107" s="470">
        <f>+D102/$AT$5</f>
        <v>0.30532133226459562</v>
      </c>
      <c r="E107" s="470">
        <f>+E102/$AU$5</f>
        <v>0.30601794917586833</v>
      </c>
      <c r="F107" s="470">
        <f>+F102/$AV$5</f>
        <v>0.30734777371059008</v>
      </c>
      <c r="G107" s="470">
        <f>+G102/$AW$5</f>
        <v>0.30617138526957111</v>
      </c>
      <c r="H107" s="470">
        <f>+H102/$AX$5</f>
        <v>0.30683525075329149</v>
      </c>
      <c r="I107" s="470">
        <f>+I102/$AY$5</f>
        <v>0.30725024132028778</v>
      </c>
      <c r="J107" s="470">
        <f>+J102/$AZ$5</f>
        <v>0.30837896291463318</v>
      </c>
      <c r="K107" s="470">
        <f>+K102/$BA$5</f>
        <v>0.30684695081515423</v>
      </c>
      <c r="L107" s="470">
        <f>+L102/$BB$5</f>
        <v>0.30790636143669653</v>
      </c>
      <c r="M107" s="470">
        <f>+M102/$BC$5</f>
        <v>0.30785030051010959</v>
      </c>
      <c r="N107" s="470">
        <f>+N102/$BD$5</f>
        <v>0.30936727693716337</v>
      </c>
      <c r="R107" t="str">
        <f>+$Y$91&amp;CHAR(10)&amp;$Y$92&amp;$Y$93&amp;$Z$93&amp;$AA$93&amp;$AB$93&amp;" em "&amp;Q111&amp;", "&amp;$AC$93&amp;$AD$93&amp;" em "&amp;Q112&amp;");"&amp;CHAR(10)&amp;$Y$94&amp;Y95&amp;" ("&amp;Z95&amp;") "&amp;$AA$95&amp;$Y$96&amp;" ("&amp;Z96&amp;")"&amp;$AA$96&amp;CHAR(10)&amp;$Y$97&amp;$Y$98&amp;" ("&amp;Z98&amp;") "&amp;$AA$98&amp;$Y$99&amp;" ("&amp;Z99&amp;")."</f>
        <v>Entre 2013 e 2023:
Micro e Pequenos estabelecimentos têm ao serviço mais de 53% dos TCO (entre 53,5% em 2023, e 58,5% em 2013);
Micro estabelecimentos: entre 22,6% (2023)  e 28,0% (2013);
Pequenos estabelecimentos: entre 30,5% (2013)  e 30,9% (2023).</v>
      </c>
    </row>
    <row r="108" spans="1:27">
      <c r="D108" s="470">
        <f>+D103/$AT$5</f>
        <v>0.23655259108073792</v>
      </c>
      <c r="E108" s="470">
        <f>+E103/$AU$5</f>
        <v>0.23667022894738876</v>
      </c>
      <c r="F108" s="470">
        <f>+F103/$AV$5</f>
        <v>0.23694453102926208</v>
      </c>
      <c r="G108" s="470">
        <f>+G103/$AW$5</f>
        <v>0.23771962728607501</v>
      </c>
      <c r="H108" s="470">
        <f>+H103/$AX$5</f>
        <v>0.23839855235064161</v>
      </c>
      <c r="I108" s="470">
        <f>+I103/$AY$5</f>
        <v>0.24143321665176007</v>
      </c>
      <c r="J108" s="470">
        <f>+J103/$AZ$5</f>
        <v>0.24273413042632577</v>
      </c>
      <c r="K108" s="470">
        <f>+K103/$BA$5</f>
        <v>0.24140931678623409</v>
      </c>
      <c r="L108" s="470">
        <f>+L103/$BB$5</f>
        <v>0.24622434806591834</v>
      </c>
      <c r="M108" s="470">
        <f>+M103/$BC$5</f>
        <v>0.25035012659828149</v>
      </c>
      <c r="N108" s="470">
        <f>+N103/$BD$5</f>
        <v>0.25089362265005005</v>
      </c>
    </row>
    <row r="109" spans="1:27">
      <c r="D109" s="470">
        <f>+D104/$AT$5</f>
        <v>0.17746414716367165</v>
      </c>
      <c r="E109" s="470">
        <f>+E104/$AU$5</f>
        <v>0.18190534964524321</v>
      </c>
      <c r="F109" s="470">
        <f>+F104/$AV$5</f>
        <v>0.18427775586339032</v>
      </c>
      <c r="G109" s="470">
        <f>+G104/$AW$5</f>
        <v>0.19098011710427154</v>
      </c>
      <c r="H109" s="470">
        <f>+H104/$AX$5</f>
        <v>0.1984115025685442</v>
      </c>
      <c r="I109" s="470">
        <f>+I104/$AY$5</f>
        <v>0.20123749182568787</v>
      </c>
      <c r="J109" s="470">
        <f>+J104/$AZ$5</f>
        <v>0.20733244565228517</v>
      </c>
      <c r="K109" s="470">
        <f>+K104/$BA$5</f>
        <v>0.20616812932229811</v>
      </c>
      <c r="L109" s="470">
        <f>+L104/$BB$5</f>
        <v>0.20645591568135568</v>
      </c>
      <c r="M109" s="470">
        <f>+M104/$BC$5</f>
        <v>0.21009660603523278</v>
      </c>
      <c r="N109" s="470">
        <f>+N104/$BD$5</f>
        <v>0.21320553108581144</v>
      </c>
    </row>
    <row r="110" spans="1:27">
      <c r="P110" s="494">
        <f>+AVERAGE(D111:N111)</f>
        <v>0.55946446188852528</v>
      </c>
      <c r="R110" t="str">
        <f>+IF($Q$3=1,$R$104,$R$107)</f>
        <v>Entre 2013 e 2023:
Micro e Pequenos estabelecimentos têm ao serviço mais de 55% das pessoas (entre 55,9% em 2023, e 61,1% em 2013)
Micro estabelecimentos: entre 25,6% (2023) e 31,6% (2013).
Pequenos estabelecimentos: entre 29,5% (2013) e 30,3% (2023).</v>
      </c>
    </row>
    <row r="111" spans="1:27">
      <c r="D111" s="470">
        <f>+D106+D107</f>
        <v>0.58505252040479494</v>
      </c>
      <c r="E111" s="470">
        <f t="shared" ref="E111:N111" si="16">+E106+E107</f>
        <v>0.5804513370350135</v>
      </c>
      <c r="F111" s="470">
        <f t="shared" si="16"/>
        <v>0.5780065280792922</v>
      </c>
      <c r="G111" s="470">
        <f t="shared" si="16"/>
        <v>0.57054550120575231</v>
      </c>
      <c r="H111" s="470">
        <f t="shared" si="16"/>
        <v>0.56249762874428055</v>
      </c>
      <c r="I111" s="470">
        <f t="shared" si="16"/>
        <v>0.55668994043610698</v>
      </c>
      <c r="J111" s="470">
        <f t="shared" si="16"/>
        <v>0.54914891133949983</v>
      </c>
      <c r="K111" s="470">
        <f t="shared" si="16"/>
        <v>0.55119168396303597</v>
      </c>
      <c r="L111" s="470">
        <f t="shared" si="16"/>
        <v>0.54650840096456854</v>
      </c>
      <c r="M111" s="470">
        <f t="shared" si="16"/>
        <v>0.53883602004607789</v>
      </c>
      <c r="N111" s="470">
        <f t="shared" si="16"/>
        <v>0.5351806085553561</v>
      </c>
      <c r="O111" s="491">
        <f>+TRUNC(P111,2)</f>
        <v>0.53</v>
      </c>
      <c r="P111" s="645">
        <f>+SMALL($D$111:$N$111,1)</f>
        <v>0.5351806085553561</v>
      </c>
      <c r="Q111">
        <f>+HLOOKUP(P111,$D$111:$N$113,3,0)</f>
        <v>2023</v>
      </c>
    </row>
    <row r="112" spans="1:27">
      <c r="P112" s="645">
        <f>+LARGE($D$111:$N$111,1)</f>
        <v>0.58505252040479494</v>
      </c>
      <c r="Q112">
        <f>+HLOOKUP(P112,$D$111:$N$113,3,0)</f>
        <v>2013</v>
      </c>
    </row>
    <row r="113" spans="2:24">
      <c r="D113" s="457">
        <f>+D100</f>
        <v>2013</v>
      </c>
      <c r="E113" s="457">
        <f t="shared" ref="E113:N113" si="17">+E100</f>
        <v>2014</v>
      </c>
      <c r="F113" s="457">
        <f t="shared" si="17"/>
        <v>2015</v>
      </c>
      <c r="G113" s="457">
        <f t="shared" si="17"/>
        <v>2016</v>
      </c>
      <c r="H113" s="457">
        <f t="shared" si="17"/>
        <v>2017</v>
      </c>
      <c r="I113" s="457">
        <f t="shared" si="17"/>
        <v>2018</v>
      </c>
      <c r="J113" s="457">
        <f t="shared" si="17"/>
        <v>2019</v>
      </c>
      <c r="K113" s="457">
        <f t="shared" si="17"/>
        <v>2020</v>
      </c>
      <c r="L113" s="457">
        <f t="shared" si="17"/>
        <v>2021</v>
      </c>
      <c r="M113" s="457">
        <f t="shared" si="17"/>
        <v>2022</v>
      </c>
      <c r="N113" s="457">
        <f t="shared" si="17"/>
        <v>2023</v>
      </c>
      <c r="X113" s="603" t="s">
        <v>484</v>
      </c>
    </row>
    <row r="114" spans="2:24">
      <c r="X114" s="603" t="s">
        <v>491</v>
      </c>
    </row>
    <row r="115" spans="2:24">
      <c r="B115" s="496"/>
      <c r="D115" s="605"/>
      <c r="E115" s="605"/>
      <c r="F115" s="605"/>
      <c r="G115" s="605"/>
      <c r="H115" s="605"/>
      <c r="I115" s="605"/>
      <c r="J115" s="605"/>
      <c r="K115" s="605"/>
    </row>
    <row r="116" spans="2:24">
      <c r="D116" s="605"/>
      <c r="E116" s="605"/>
      <c r="F116" s="605"/>
      <c r="G116" s="605"/>
      <c r="H116" s="605"/>
      <c r="I116" s="605"/>
      <c r="J116" s="605"/>
      <c r="K116" s="605"/>
    </row>
    <row r="117" spans="2:24">
      <c r="D117" s="605"/>
      <c r="E117" s="605"/>
      <c r="F117" s="605"/>
      <c r="G117" s="605"/>
      <c r="H117" s="605"/>
      <c r="I117" s="605"/>
      <c r="J117" s="605"/>
      <c r="K117" s="605"/>
    </row>
    <row r="118" spans="2:24">
      <c r="D118" s="605"/>
      <c r="E118" s="605"/>
      <c r="F118" s="605"/>
      <c r="G118" s="605"/>
      <c r="H118" s="605"/>
      <c r="I118" s="605"/>
      <c r="J118" s="605"/>
      <c r="K118" s="605"/>
    </row>
  </sheetData>
  <mergeCells count="7">
    <mergeCell ref="BW4:BX4"/>
    <mergeCell ref="Q39:Q40"/>
    <mergeCell ref="Y69:Z69"/>
    <mergeCell ref="Y78:Z78"/>
    <mergeCell ref="BQ4:BR4"/>
    <mergeCell ref="BS4:BT4"/>
    <mergeCell ref="BU4:BV4"/>
  </mergeCells>
  <conditionalFormatting sqref="BC3 BC5">
    <cfRule type="cellIs" dxfId="1261" priority="56" operator="equal">
      <formula>0</formula>
    </cfRule>
  </conditionalFormatting>
  <conditionalFormatting sqref="BD3:BE3 BD5:BE5">
    <cfRule type="cellIs" dxfId="1260" priority="55" operator="equal">
      <formula>0</formula>
    </cfRule>
  </conditionalFormatting>
  <conditionalFormatting sqref="AT3:BE3">
    <cfRule type="cellIs" dxfId="1259" priority="54" operator="equal">
      <formula>0</formula>
    </cfRule>
  </conditionalFormatting>
  <conditionalFormatting sqref="AT4:BE4">
    <cfRule type="cellIs" dxfId="1258" priority="53" operator="equal">
      <formula>0</formula>
    </cfRule>
  </conditionalFormatting>
  <conditionalFormatting sqref="B69:B74">
    <cfRule type="cellIs" dxfId="1257" priority="52" operator="equal">
      <formula>0</formula>
    </cfRule>
  </conditionalFormatting>
  <conditionalFormatting sqref="D70:D74">
    <cfRule type="cellIs" dxfId="1256" priority="41" operator="equal">
      <formula>0</formula>
    </cfRule>
  </conditionalFormatting>
  <conditionalFormatting sqref="F70:F74">
    <cfRule type="cellIs" dxfId="1255" priority="40" operator="equal">
      <formula>0</formula>
    </cfRule>
  </conditionalFormatting>
  <conditionalFormatting sqref="H70:H74">
    <cfRule type="cellIs" dxfId="1254" priority="39" operator="equal">
      <formula>0</formula>
    </cfRule>
  </conditionalFormatting>
  <conditionalFormatting sqref="J70:J74">
    <cfRule type="cellIs" dxfId="1253" priority="38" operator="equal">
      <formula>0</formula>
    </cfRule>
  </conditionalFormatting>
  <conditionalFormatting sqref="L70:L74">
    <cfRule type="cellIs" dxfId="1252" priority="37" operator="equal">
      <formula>0</formula>
    </cfRule>
  </conditionalFormatting>
  <conditionalFormatting sqref="N70:N74">
    <cfRule type="cellIs" dxfId="1251" priority="36" operator="equal">
      <formula>0</formula>
    </cfRule>
  </conditionalFormatting>
  <conditionalFormatting sqref="P70:P74">
    <cfRule type="cellIs" dxfId="1250" priority="35" operator="equal">
      <formula>0</formula>
    </cfRule>
  </conditionalFormatting>
  <conditionalFormatting sqref="R70:R74">
    <cfRule type="cellIs" dxfId="1249" priority="34" operator="equal">
      <formula>0</formula>
    </cfRule>
  </conditionalFormatting>
  <conditionalFormatting sqref="T70:T74">
    <cfRule type="cellIs" dxfId="1248" priority="33" operator="equal">
      <formula>0</formula>
    </cfRule>
  </conditionalFormatting>
  <conditionalFormatting sqref="V70:V74">
    <cfRule type="cellIs" dxfId="1247" priority="32" operator="equal">
      <formula>0</formula>
    </cfRule>
  </conditionalFormatting>
  <conditionalFormatting sqref="B78:B83">
    <cfRule type="cellIs" dxfId="1246" priority="31" operator="equal">
      <formula>0</formula>
    </cfRule>
  </conditionalFormatting>
  <conditionalFormatting sqref="D78">
    <cfRule type="cellIs" dxfId="1245" priority="30" operator="equal">
      <formula>0</formula>
    </cfRule>
  </conditionalFormatting>
  <conditionalFormatting sqref="F78">
    <cfRule type="cellIs" dxfId="1244" priority="29" operator="equal">
      <formula>0</formula>
    </cfRule>
  </conditionalFormatting>
  <conditionalFormatting sqref="H78">
    <cfRule type="cellIs" dxfId="1243" priority="28" operator="equal">
      <formula>0</formula>
    </cfRule>
  </conditionalFormatting>
  <conditionalFormatting sqref="J78">
    <cfRule type="cellIs" dxfId="1242" priority="27" operator="equal">
      <formula>0</formula>
    </cfRule>
  </conditionalFormatting>
  <conditionalFormatting sqref="L78">
    <cfRule type="cellIs" dxfId="1241" priority="26" operator="equal">
      <formula>0</formula>
    </cfRule>
  </conditionalFormatting>
  <conditionalFormatting sqref="N78">
    <cfRule type="cellIs" dxfId="1240" priority="25" operator="equal">
      <formula>0</formula>
    </cfRule>
  </conditionalFormatting>
  <conditionalFormatting sqref="P78">
    <cfRule type="cellIs" dxfId="1239" priority="24" operator="equal">
      <formula>0</formula>
    </cfRule>
  </conditionalFormatting>
  <conditionalFormatting sqref="R78">
    <cfRule type="cellIs" dxfId="1238" priority="23" operator="equal">
      <formula>0</formula>
    </cfRule>
  </conditionalFormatting>
  <conditionalFormatting sqref="T78">
    <cfRule type="cellIs" dxfId="1237" priority="22" operator="equal">
      <formula>0</formula>
    </cfRule>
  </conditionalFormatting>
  <conditionalFormatting sqref="V78">
    <cfRule type="cellIs" dxfId="1236" priority="21" operator="equal">
      <formula>0</formula>
    </cfRule>
  </conditionalFormatting>
  <conditionalFormatting sqref="D79:D83">
    <cfRule type="cellIs" dxfId="1235" priority="20" operator="equal">
      <formula>0</formula>
    </cfRule>
  </conditionalFormatting>
  <conditionalFormatting sqref="F79:F83">
    <cfRule type="cellIs" dxfId="1234" priority="19" operator="equal">
      <formula>0</formula>
    </cfRule>
  </conditionalFormatting>
  <conditionalFormatting sqref="H79:H83">
    <cfRule type="cellIs" dxfId="1233" priority="18" operator="equal">
      <formula>0</formula>
    </cfRule>
  </conditionalFormatting>
  <conditionalFormatting sqref="J79:J83">
    <cfRule type="cellIs" dxfId="1232" priority="17" operator="equal">
      <formula>0</formula>
    </cfRule>
  </conditionalFormatting>
  <conditionalFormatting sqref="L79:L83">
    <cfRule type="cellIs" dxfId="1231" priority="16" operator="equal">
      <formula>0</formula>
    </cfRule>
  </conditionalFormatting>
  <conditionalFormatting sqref="N79:N83">
    <cfRule type="cellIs" dxfId="1230" priority="15" operator="equal">
      <formula>0</formula>
    </cfRule>
  </conditionalFormatting>
  <conditionalFormatting sqref="P79:P83">
    <cfRule type="cellIs" dxfId="1229" priority="14" operator="equal">
      <formula>0</formula>
    </cfRule>
  </conditionalFormatting>
  <conditionalFormatting sqref="R79:R83">
    <cfRule type="cellIs" dxfId="1228" priority="13" operator="equal">
      <formula>0</formula>
    </cfRule>
  </conditionalFormatting>
  <conditionalFormatting sqref="T79:T83">
    <cfRule type="cellIs" dxfId="1227" priority="12" operator="equal">
      <formula>0</formula>
    </cfRule>
  </conditionalFormatting>
  <conditionalFormatting sqref="V79:V83">
    <cfRule type="cellIs" dxfId="1226" priority="11" operator="equal">
      <formula>0</formula>
    </cfRule>
  </conditionalFormatting>
  <conditionalFormatting sqref="D69">
    <cfRule type="cellIs" dxfId="1225" priority="10" operator="equal">
      <formula>0</formula>
    </cfRule>
  </conditionalFormatting>
  <conditionalFormatting sqref="F69">
    <cfRule type="cellIs" dxfId="1224" priority="9" operator="equal">
      <formula>0</formula>
    </cfRule>
  </conditionalFormatting>
  <conditionalFormatting sqref="H69">
    <cfRule type="cellIs" dxfId="1223" priority="8" operator="equal">
      <formula>0</formula>
    </cfRule>
  </conditionalFormatting>
  <conditionalFormatting sqref="J69">
    <cfRule type="cellIs" dxfId="1222" priority="7" operator="equal">
      <formula>0</formula>
    </cfRule>
  </conditionalFormatting>
  <conditionalFormatting sqref="L69">
    <cfRule type="cellIs" dxfId="1221" priority="6" operator="equal">
      <formula>0</formula>
    </cfRule>
  </conditionalFormatting>
  <conditionalFormatting sqref="N69">
    <cfRule type="cellIs" dxfId="1220" priority="5" operator="equal">
      <formula>0</formula>
    </cfRule>
  </conditionalFormatting>
  <conditionalFormatting sqref="P69">
    <cfRule type="cellIs" dxfId="1219" priority="4" operator="equal">
      <formula>0</formula>
    </cfRule>
  </conditionalFormatting>
  <conditionalFormatting sqref="R69">
    <cfRule type="cellIs" dxfId="1218" priority="3" operator="equal">
      <formula>0</formula>
    </cfRule>
  </conditionalFormatting>
  <conditionalFormatting sqref="T69">
    <cfRule type="cellIs" dxfId="1217" priority="2" operator="equal">
      <formula>0</formula>
    </cfRule>
  </conditionalFormatting>
  <conditionalFormatting sqref="V69">
    <cfRule type="cellIs" dxfId="1216" priority="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 Down 1">
              <controlPr defaultSize="0" autoLine="0" autoPict="0">
                <anchor moveWithCells="1">
                  <from>
                    <xdr:col>17</xdr:col>
                    <xdr:colOff>219075</xdr:colOff>
                    <xdr:row>2</xdr:row>
                    <xdr:rowOff>0</xdr:rowOff>
                  </from>
                  <to>
                    <xdr:col>17</xdr:col>
                    <xdr:colOff>1466850</xdr:colOff>
                    <xdr:row>3</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8EA99-AD1A-4DC2-AA41-97726AB91717}">
  <sheetPr codeName="Folha9">
    <tabColor indexed="24"/>
  </sheetPr>
  <dimension ref="A1:CF119"/>
  <sheetViews>
    <sheetView topLeftCell="AR1" zoomScale="104" zoomScaleNormal="104" workbookViewId="0">
      <selection activeCell="R62" sqref="R62"/>
    </sheetView>
  </sheetViews>
  <sheetFormatPr defaultRowHeight="12.75"/>
  <cols>
    <col min="1" max="1" width="18.5703125" customWidth="1"/>
    <col min="2" max="2" width="15.140625" customWidth="1"/>
    <col min="3" max="9" width="11.5703125" bestFit="1" customWidth="1"/>
    <col min="10" max="14" width="10.5703125" bestFit="1" customWidth="1"/>
    <col min="18" max="18" width="25" bestFit="1" customWidth="1"/>
    <col min="46" max="52" width="10.85546875" bestFit="1" customWidth="1"/>
    <col min="53" max="53" width="8.140625" customWidth="1"/>
    <col min="54" max="54" width="16.140625" bestFit="1" customWidth="1"/>
    <col min="55" max="56" width="11" bestFit="1" customWidth="1"/>
    <col min="59" max="60" width="18.28515625" bestFit="1" customWidth="1"/>
    <col min="70" max="71" width="23.140625" customWidth="1"/>
  </cols>
  <sheetData>
    <row r="1" spans="1:84">
      <c r="A1" s="456"/>
      <c r="BL1" t="s">
        <v>209</v>
      </c>
    </row>
    <row r="2" spans="1:84">
      <c r="A2" s="456" t="s">
        <v>284</v>
      </c>
      <c r="B2">
        <v>1</v>
      </c>
      <c r="BL2">
        <f>+AT3</f>
        <v>2013</v>
      </c>
      <c r="BM2">
        <v>1</v>
      </c>
    </row>
    <row r="3" spans="1:84" ht="13.5" thickBot="1">
      <c r="A3" s="456" t="s">
        <v>285</v>
      </c>
      <c r="AS3" s="118"/>
      <c r="AT3" s="6">
        <f>+'q1'!$C$4</f>
        <v>2013</v>
      </c>
      <c r="AU3" s="6">
        <f>+'q1'!$D$4</f>
        <v>2014</v>
      </c>
      <c r="AV3" s="6">
        <f>+'q1'!$E$4</f>
        <v>2015</v>
      </c>
      <c r="AW3" s="6">
        <f>+'q1'!$F$4</f>
        <v>2016</v>
      </c>
      <c r="AX3" s="6">
        <f>+'q1'!$G$4</f>
        <v>2017</v>
      </c>
      <c r="AY3" s="6">
        <f>+'q1'!$H$4</f>
        <v>2018</v>
      </c>
      <c r="AZ3" s="6">
        <f>+'q1'!$I$4</f>
        <v>2019</v>
      </c>
      <c r="BA3" s="6">
        <f>+'q1'!$J$4</f>
        <v>2020</v>
      </c>
      <c r="BB3" s="6">
        <f>+'q1'!$K$4</f>
        <v>2021</v>
      </c>
      <c r="BC3" s="6">
        <f>+'q1'!$L$4</f>
        <v>2022</v>
      </c>
      <c r="BD3" s="6">
        <f>+'q1'!$M$4</f>
        <v>2023</v>
      </c>
      <c r="BE3" s="479"/>
      <c r="BF3" s="457" t="str">
        <f>+BD3&amp;"-"&amp;BC3</f>
        <v>2023-2022</v>
      </c>
      <c r="BG3" t="str">
        <f>+"variação "&amp;$BD$3&amp;"/"&amp;$BC$3</f>
        <v>variação 2023/2022</v>
      </c>
      <c r="BH3" t="str">
        <f>+"variação "&amp;$BD$3&amp;"/"&amp;$AT$3</f>
        <v>variação 2023/2013</v>
      </c>
      <c r="BL3">
        <f>+AU3</f>
        <v>2014</v>
      </c>
      <c r="BM3">
        <v>2</v>
      </c>
      <c r="BT3" s="574" t="s">
        <v>284</v>
      </c>
      <c r="BV3" s="457">
        <f>+'q23'!$C$4</f>
        <v>2013</v>
      </c>
      <c r="BW3" s="457">
        <f>+'q23'!$D$4</f>
        <v>2014</v>
      </c>
      <c r="BX3" s="457">
        <f>+'q23'!$E$4</f>
        <v>2015</v>
      </c>
      <c r="BY3" s="457">
        <f>+'q23'!$F$4</f>
        <v>2016</v>
      </c>
      <c r="BZ3" s="457">
        <f>+'q23'!$G$4</f>
        <v>2017</v>
      </c>
      <c r="CA3" s="457">
        <f>+'q23'!$H$4</f>
        <v>2018</v>
      </c>
      <c r="CB3" s="457">
        <f>+'q23'!$I$4</f>
        <v>2019</v>
      </c>
      <c r="CC3" s="457">
        <f>+'q23'!$J$4</f>
        <v>2020</v>
      </c>
      <c r="CD3" s="457">
        <f>+'q23'!$K$4</f>
        <v>2021</v>
      </c>
      <c r="CE3" s="457">
        <f>+'q23'!$L$4</f>
        <v>2022</v>
      </c>
      <c r="CF3" s="457">
        <f>+'q23'!$M$4</f>
        <v>2023</v>
      </c>
    </row>
    <row r="4" spans="1:84" ht="13.5" thickTop="1">
      <c r="R4" s="456"/>
      <c r="AS4" s="468" t="s">
        <v>290</v>
      </c>
      <c r="AT4" s="487">
        <f>+'q22'!$C$5</f>
        <v>912.18</v>
      </c>
      <c r="AU4" s="487">
        <f>+'q22'!$D$5</f>
        <v>909.49</v>
      </c>
      <c r="AV4" s="487">
        <f>+'q22'!$E$5</f>
        <v>913.93</v>
      </c>
      <c r="AW4" s="487">
        <f>+'q22'!$F$5</f>
        <v>924.94</v>
      </c>
      <c r="AX4" s="487">
        <f>+'q22'!$G$5</f>
        <v>943</v>
      </c>
      <c r="AY4" s="487">
        <f>+'q22'!$H$5</f>
        <v>970.42</v>
      </c>
      <c r="AZ4" s="487">
        <f>+'q22'!$I$5</f>
        <v>1005.09</v>
      </c>
      <c r="BA4" s="487">
        <f>+'q22'!$J$5</f>
        <v>1041.99</v>
      </c>
      <c r="BB4" s="487">
        <f>+'q22'!$K$5</f>
        <v>1082.77</v>
      </c>
      <c r="BC4" s="487">
        <f>+'q22'!$L$5</f>
        <v>1143.45</v>
      </c>
      <c r="BD4" s="609">
        <f>+'q22'!$M$5</f>
        <v>1219.8699999999999</v>
      </c>
      <c r="BE4" s="342"/>
      <c r="BF4" s="611">
        <f>+BD4-BC4</f>
        <v>76.419999999999845</v>
      </c>
      <c r="BG4" s="586">
        <f>+(BD4/BC4-1)</f>
        <v>6.683283046919386E-2</v>
      </c>
      <c r="BH4" s="470">
        <f>+(BD4/AT4-1)</f>
        <v>0.33731281106799083</v>
      </c>
      <c r="BL4">
        <f>+AV3</f>
        <v>2015</v>
      </c>
      <c r="BM4">
        <v>3</v>
      </c>
      <c r="BQ4" s="573"/>
      <c r="BR4" s="573"/>
      <c r="BS4" s="573"/>
      <c r="BT4" s="574" t="s">
        <v>116</v>
      </c>
      <c r="BU4" s="456" t="s">
        <v>229</v>
      </c>
      <c r="BV4" s="483">
        <f>+(q23_Aux!$R$9+q23_Aux!$R$12)/(q14a!$C$9+q14a!$C$12)</f>
        <v>782.84566083378957</v>
      </c>
      <c r="BW4" s="483">
        <f>+(q23_Aux!$S$9+q23_Aux!$S$12)/(q14a!$D$9+q14a!$D$12)</f>
        <v>781.06624080431573</v>
      </c>
      <c r="BX4" s="483">
        <f>+(q23_Aux!$T$9+q23_Aux!$T$12)/(q14a!$E$9+q14a!$E$12)</f>
        <v>778.75536984567896</v>
      </c>
      <c r="BY4" s="483">
        <f>+(q23_Aux!$U$9+q23_Aux!$U$12)/(q14a!$F$9+q14a!$F$12)</f>
        <v>790.83990329945527</v>
      </c>
      <c r="BZ4" s="483">
        <f>+(q23_Aux!$V$9+q23_Aux!$V$12)/(q14a!$G$9+q14a!$G$12)</f>
        <v>808.23394014058249</v>
      </c>
      <c r="CA4" s="483">
        <f>+(q23_Aux!$W$9+q23_Aux!$W$12)/(q14a!$H$9+q14a!$H$12)</f>
        <v>832.87900470746479</v>
      </c>
      <c r="CB4" s="483">
        <f>+(q23_Aux!$X$9+q23_Aux!$X$12)/(q14a!$I$9+q14a!$I$12)</f>
        <v>860.26137650103237</v>
      </c>
      <c r="CC4" s="483">
        <f>+(q23_Aux!$Y$9+q23_Aux!$Y$12)/(q14a!$J$9+q14a!$J$12)</f>
        <v>896.60335262035937</v>
      </c>
      <c r="CD4" s="483">
        <f>+(q23_Aux!$Z$9+q23_Aux!$Z$12)/(q14a!$K$9+q14a!$K$12)</f>
        <v>933.5346731198706</v>
      </c>
      <c r="CE4" s="483">
        <f>+(q23_Aux!$AA$9+q23_Aux!$AA$12)/(q14a!$L$9+q14a!$L$12)</f>
        <v>982.98273959844062</v>
      </c>
      <c r="CF4" s="483">
        <f>+(q23_Aux!$AB$9+q23_Aux!$AB$12)/(q14a!$M$9+q14a!$M$12)</f>
        <v>1048.4036983919893</v>
      </c>
    </row>
    <row r="5" spans="1:84">
      <c r="AS5" s="468" t="s">
        <v>291</v>
      </c>
      <c r="AT5" s="488">
        <f>+'q33'!$C$5</f>
        <v>1093.82</v>
      </c>
      <c r="AU5" s="488">
        <f>+'q33'!$D$5</f>
        <v>1093.21</v>
      </c>
      <c r="AV5" s="488">
        <f>+'q33'!$E$5</f>
        <v>1096.6600000000001</v>
      </c>
      <c r="AW5" s="488">
        <f>+'q33'!$F$5</f>
        <v>1107.8599999999999</v>
      </c>
      <c r="AX5" s="488">
        <f>+'q33'!$G$5</f>
        <v>1133.3399999999999</v>
      </c>
      <c r="AY5" s="488">
        <f>+'q33'!$H$5</f>
        <v>1170.25</v>
      </c>
      <c r="AZ5" s="488">
        <f>+'q33'!$I$5</f>
        <v>1209.94</v>
      </c>
      <c r="BA5" s="488">
        <f>+'q33'!$J$5</f>
        <v>1250.75</v>
      </c>
      <c r="BB5" s="488">
        <f>+'q33'!$K$5</f>
        <v>1294.1099999999999</v>
      </c>
      <c r="BC5" s="488">
        <f>+'q33'!$L$5</f>
        <v>1368</v>
      </c>
      <c r="BD5" s="610">
        <f>+'q33'!$M$5</f>
        <v>1466.66</v>
      </c>
      <c r="BE5" s="467"/>
      <c r="BF5" s="611">
        <f>+BD5-BC5</f>
        <v>98.660000000000082</v>
      </c>
      <c r="BG5" s="586">
        <f>+(BD5/BC5-1)</f>
        <v>7.2119883040935751E-2</v>
      </c>
      <c r="BH5" s="470">
        <f>+(BD5/AT5-1)</f>
        <v>0.34086047064416469</v>
      </c>
      <c r="BL5">
        <f>+AW3</f>
        <v>2016</v>
      </c>
      <c r="BM5">
        <v>4</v>
      </c>
      <c r="BQ5" s="456"/>
      <c r="BR5" s="456"/>
      <c r="BS5" s="456"/>
      <c r="BU5" s="456" t="s">
        <v>479</v>
      </c>
      <c r="BV5" s="483">
        <f>+(q23_Aux!$R$15+q23_Aux!$R$18)/(q14a!$C$15+q14a!$C$18)</f>
        <v>957.39129818622121</v>
      </c>
      <c r="BW5" s="483">
        <f>+(q23_Aux!$S$15+q23_Aux!$S$18)/(q14a!$D$15+q14a!$D$18)</f>
        <v>946.8485331417487</v>
      </c>
      <c r="BX5" s="483">
        <f>+(q23_Aux!$T$15+q23_Aux!$T$18)/(q14a!$E$15+q14a!$E$18)</f>
        <v>945.27596736848568</v>
      </c>
      <c r="BY5" s="483">
        <f>+(q23_Aux!$U$15+q23_Aux!$U$18)/(q14a!$F$15+q14a!$F$18)</f>
        <v>947.46773734627868</v>
      </c>
      <c r="BZ5" s="483">
        <f>+(q23_Aux!$V$15+q23_Aux!$V$18)/(q14a!$G$15+q14a!$G$18)</f>
        <v>956.63020739404874</v>
      </c>
      <c r="CA5" s="483">
        <f>+(q23_Aux!$W$15+q23_Aux!$W$18)/(q14a!$H$15+q14a!$H$18)</f>
        <v>977.1566177541888</v>
      </c>
      <c r="CB5" s="483">
        <f>+(q23_Aux!$X$15+q23_Aux!$X$18)/(q14a!$I$15+q14a!$I$18)</f>
        <v>1006.1274333117874</v>
      </c>
      <c r="CC5" s="483">
        <f>+(q23_Aux!$Y$15+q23_Aux!$Y$18)/(q14a!$J$15+q14a!$J$18)</f>
        <v>1046.9217061790769</v>
      </c>
      <c r="CD5" s="483">
        <f>+(q23_Aux!$Z$15+q23_Aux!$Z$18)/(q14a!$K$15+q14a!$K$18)</f>
        <v>1084.2817404851994</v>
      </c>
      <c r="CE5" s="483">
        <f>+(q23_Aux!$AA$15+q23_Aux!$AA$18)/(q14a!$L$15+q14a!$L$18)</f>
        <v>1130.8153608927851</v>
      </c>
      <c r="CF5" s="483">
        <f>+(q23_Aux!$AB$15+q23_Aux!$AB$18)/(q14a!$M$15+q14a!$M$18)</f>
        <v>1203.2959203772139</v>
      </c>
    </row>
    <row r="6" spans="1:84">
      <c r="B6" s="456"/>
      <c r="D6">
        <f>+'q22'!$C$4</f>
        <v>2013</v>
      </c>
      <c r="E6">
        <f>+'q22'!$D$4</f>
        <v>2014</v>
      </c>
      <c r="F6">
        <f>+'q22'!$E$4</f>
        <v>2015</v>
      </c>
      <c r="G6">
        <f>+'q22'!$F$4</f>
        <v>2016</v>
      </c>
      <c r="H6">
        <f>+'q22'!$G$4</f>
        <v>2017</v>
      </c>
      <c r="I6">
        <f>+'q22'!$H$4</f>
        <v>2018</v>
      </c>
      <c r="J6">
        <f>+'q22'!$I$4</f>
        <v>2019</v>
      </c>
      <c r="K6">
        <f>+'q22'!$J$4</f>
        <v>2020</v>
      </c>
      <c r="L6">
        <f>+'q22'!$K$4</f>
        <v>2021</v>
      </c>
      <c r="M6">
        <f>+'q22'!$L$4</f>
        <v>2022</v>
      </c>
      <c r="N6">
        <f>+'q22'!$M$4</f>
        <v>2023</v>
      </c>
      <c r="BL6">
        <f>+AX3</f>
        <v>2017</v>
      </c>
      <c r="BM6">
        <v>5</v>
      </c>
      <c r="BT6" s="573"/>
      <c r="BU6" s="456" t="s">
        <v>480</v>
      </c>
      <c r="BV6" s="483">
        <f>+(q23_Aux!$R$21+q23_Aux!$R$24+q23_Aux!$R$27+q23_Aux!$R$30)/(q14a!$C$21+q14a!$C$24+q14a!$C$27+q14a!$C$30)</f>
        <v>1159.4835947522922</v>
      </c>
      <c r="BW6" s="483">
        <f>+(q23_Aux!$S$21+q23_Aux!$S$24+q23_Aux!$S$27+q23_Aux!$S$30)/(q14a!$D$21+q14a!$D$24+q14a!$D$27+q14a!$D$30)</f>
        <v>1141.1217117321496</v>
      </c>
      <c r="BX6" s="483">
        <f>+(q23_Aux!$T$21+q23_Aux!$T$24+q23_Aux!$T$27+q23_Aux!$T$30)/(q14a!$E$21+q14a!$E$24+q14a!$E$27+q14a!$E$30)</f>
        <v>1154.9676438044253</v>
      </c>
      <c r="BY6" s="483">
        <f>+(q23_Aux!$U$21+q23_Aux!$U$24+q23_Aux!$U$27+q23_Aux!$U$30)/(q14a!$F$21+q14a!$F$24+q14a!$F$27+q14a!$F$30)</f>
        <v>1157.3486986412345</v>
      </c>
      <c r="BZ6" s="483">
        <f>+(q23_Aux!$V$21+q23_Aux!$V$24+q23_Aux!$V$27+q23_Aux!$V$30)/(q14a!$G$21+q14a!$G$24+q14a!$G$27+q14a!$G$30)</f>
        <v>1171.7499108810559</v>
      </c>
      <c r="CA6" s="483">
        <f>+(q23_Aux!$W$21+q23_Aux!$W$24+q23_Aux!$W$27+q23_Aux!$W$30)/(q14a!$H$21+q14a!$H$24+q14a!$H$27+q14a!$H$30)</f>
        <v>1194.8616514820562</v>
      </c>
      <c r="CB6" s="483">
        <f>+(q23_Aux!$X$21+q23_Aux!$X$24+q23_Aux!$X$27+q23_Aux!$X$30)/(q14a!$I$21+q14a!$I$24+q14a!$I$27+q14a!$I$30)</f>
        <v>1219.6304629488156</v>
      </c>
      <c r="CC6" s="483">
        <f>+(q23_Aux!$Y$21+q23_Aux!$Y$24+q23_Aux!$Y$27+q23_Aux!$Y$30)/(q14a!$J$21+q14a!$J$24+q14a!$J$27+q14a!$J$30)</f>
        <v>1264.0566148401913</v>
      </c>
      <c r="CD6" s="483">
        <f>+(q23_Aux!$Z$21+q23_Aux!$Z$24+q23_Aux!$Z$27+q23_Aux!$Z$30)/(q14a!$K$21+q14a!$K$24+q14a!$K$27+q14a!$K$30)</f>
        <v>1288.0049162372422</v>
      </c>
      <c r="CE6" s="483">
        <f>+(q23_Aux!$AA$21+q23_Aux!$AA$24+q23_Aux!$AA$27+q23_Aux!$AA$30)/(q14a!$L$21+q14a!$L$24+q14a!$L$27+q14a!$L$30)</f>
        <v>1344.5108911895757</v>
      </c>
      <c r="CF6" s="483">
        <f>+(q23_Aux!$AB$21+q23_Aux!$AB$24+q23_Aux!$AB$27+q23_Aux!$AB$30)/(q14a!$M$21+q14a!$M$24+q14a!$M$27+q14a!$M$30)</f>
        <v>1420.8742406930719</v>
      </c>
    </row>
    <row r="7" spans="1:84">
      <c r="A7" s="456" t="s">
        <v>277</v>
      </c>
      <c r="B7" t="str">
        <f>+'q22'!$A$6</f>
        <v>A</v>
      </c>
      <c r="C7" t="str">
        <f>+'q22'!$B$6</f>
        <v>Agr., pr. animal, caça, flor. pesca</v>
      </c>
      <c r="D7" s="483">
        <f>+'q22'!$C$6</f>
        <v>684.7</v>
      </c>
      <c r="E7" s="483">
        <f>+'q22'!$D$6</f>
        <v>687.92</v>
      </c>
      <c r="F7" s="483">
        <f>+'q22'!$E$6</f>
        <v>701.34</v>
      </c>
      <c r="G7" s="483">
        <f>+'q22'!$F$6</f>
        <v>726.49</v>
      </c>
      <c r="H7" s="483">
        <f>+'q22'!$G$6</f>
        <v>738.39</v>
      </c>
      <c r="I7" s="483">
        <f>+'q22'!$H$6</f>
        <v>773.22</v>
      </c>
      <c r="J7" s="483">
        <f>+'q22'!$I$6</f>
        <v>823.08</v>
      </c>
      <c r="K7" s="483">
        <f>+'q22'!$J$6</f>
        <v>823.12</v>
      </c>
      <c r="L7" s="483">
        <f>+'q22'!$K$6</f>
        <v>872.68</v>
      </c>
      <c r="M7" s="483">
        <f>+'q22'!$L$6</f>
        <v>916.19</v>
      </c>
      <c r="N7" s="483">
        <f>+'q22'!$M$6</f>
        <v>969.65</v>
      </c>
      <c r="P7" s="572"/>
      <c r="S7" s="483"/>
      <c r="T7" s="483"/>
      <c r="U7" s="483"/>
      <c r="V7" s="483"/>
      <c r="W7" s="483"/>
      <c r="X7" s="483"/>
      <c r="Y7" s="483"/>
      <c r="Z7" s="483"/>
      <c r="AA7" s="483"/>
      <c r="AB7" s="483"/>
      <c r="AC7" s="483"/>
      <c r="BF7" s="572">
        <v>1219.8699999999999</v>
      </c>
      <c r="BL7">
        <f>+AY3</f>
        <v>2018</v>
      </c>
      <c r="BM7">
        <v>6</v>
      </c>
      <c r="BT7" s="456"/>
      <c r="BU7" s="456" t="s">
        <v>238</v>
      </c>
      <c r="BV7" s="483">
        <f>+(q23_Aux!$R$33+q23_Aux!$R$36+q23_Aux!$R$39)/(q14a!$C$33+q14a!$C$36+q14a!$C$39)</f>
        <v>1176.2401758401518</v>
      </c>
      <c r="BW7" s="483">
        <f>+(q23_Aux!$S$33+q23_Aux!$S$36+q23_Aux!$S$39)/(q14a!$D$33+q14a!$D$36+q14a!$D$39)</f>
        <v>1165.9241076975175</v>
      </c>
      <c r="BX7" s="483">
        <f>+(q23_Aux!$T$33+q23_Aux!$T$36+q23_Aux!$T$39)/(q14a!$E$33+q14a!$E$36+q14a!$E$39)</f>
        <v>1172.1674315574362</v>
      </c>
      <c r="BY7" s="483">
        <f>+(q23_Aux!$U$33+q23_Aux!$U$36+q23_Aux!$U$39)/(q14a!$F$33+q14a!$F$36+q14a!$F$39)</f>
        <v>1183.9150492798788</v>
      </c>
      <c r="BZ7" s="483">
        <f>+(q23_Aux!$V$33+q23_Aux!$V$36+q23_Aux!$V$39)/(q14a!$G$33+q14a!$G$36+q14a!$G$39)</f>
        <v>1185.0875471240388</v>
      </c>
      <c r="CA7" s="483">
        <f>+(q23_Aux!$W$33+q23_Aux!$W$36+q23_Aux!$W$39)/(q14a!$H$33+q14a!$H$36+q14a!$H$39)</f>
        <v>1217.8283165233747</v>
      </c>
      <c r="CB7" s="483">
        <f>+(q23_Aux!$X$33+q23_Aux!$X$36+q23_Aux!$X$39)/(q14a!$I$33+q14a!$I$36+q14a!$I$39)</f>
        <v>1271.0076349265537</v>
      </c>
      <c r="CC7" s="483">
        <f>+(q23_Aux!$Y$33+q23_Aux!$Y$36+q23_Aux!$Y$39)/(q14a!$J$33+q14a!$J$36+q14a!$J$39)</f>
        <v>1285.8146903430597</v>
      </c>
      <c r="CD7" s="483">
        <f>+(q23_Aux!$Z$33+q23_Aux!$Z$36+q23_Aux!$Z$39)/(q14a!$K$33+q14a!$K$36+q14a!$K$39)</f>
        <v>1366.2802759485178</v>
      </c>
      <c r="CE7" s="483">
        <f>+(q23_Aux!$AA$33+q23_Aux!$AA$36+q23_Aux!$AA$39)/(q14a!$L$33+q14a!$L$36+q14a!$L$39)</f>
        <v>1469.7890881333553</v>
      </c>
      <c r="CF7" s="483">
        <f>+(q23_Aux!$AB$33+q23_Aux!$AB$36+q23_Aux!$AB$39)/(q14a!$M$33+q14a!$M$36+q14a!$M$39)</f>
        <v>1560.0132030190657</v>
      </c>
    </row>
    <row r="8" spans="1:84" ht="13.5" thickBot="1">
      <c r="A8" s="456"/>
      <c r="B8" t="str">
        <f>+'q22'!$A$7</f>
        <v>B</v>
      </c>
      <c r="C8" t="str">
        <f>+'q22'!$B$7</f>
        <v>Indústrias extrativas</v>
      </c>
      <c r="D8" s="483">
        <f>+'q22'!$C$7</f>
        <v>918.56</v>
      </c>
      <c r="E8" s="483">
        <f>+'q22'!$D$7</f>
        <v>934.74</v>
      </c>
      <c r="F8" s="483">
        <f>+'q22'!$E$7</f>
        <v>937.81</v>
      </c>
      <c r="G8" s="483">
        <f>+'q22'!$F$7</f>
        <v>958.1</v>
      </c>
      <c r="H8" s="483">
        <f>+'q22'!$G$7</f>
        <v>986.18</v>
      </c>
      <c r="I8" s="483">
        <f>+'q22'!$H$7</f>
        <v>1036.73</v>
      </c>
      <c r="J8" s="483">
        <f>+'q22'!$I$7</f>
        <v>1083.24</v>
      </c>
      <c r="K8" s="483">
        <f>+'q22'!$J$7</f>
        <v>1099.73</v>
      </c>
      <c r="L8" s="483">
        <f>+'q22'!$K$7</f>
        <v>1159.45</v>
      </c>
      <c r="M8" s="483">
        <f>+'q22'!$L$7</f>
        <v>1221.07</v>
      </c>
      <c r="N8" s="483">
        <f>+'q22'!$M$7</f>
        <v>1316.39</v>
      </c>
      <c r="P8" s="572"/>
      <c r="S8" s="483"/>
      <c r="T8" s="483"/>
      <c r="U8" s="483"/>
      <c r="V8" s="483"/>
      <c r="W8" s="483"/>
      <c r="X8" s="483"/>
      <c r="Y8" s="483"/>
      <c r="Z8" s="483"/>
      <c r="AA8" s="483"/>
      <c r="AB8" s="483"/>
      <c r="AC8" s="483"/>
      <c r="BF8" s="572">
        <v>1466.66</v>
      </c>
      <c r="BL8">
        <f>+AZ3</f>
        <v>2019</v>
      </c>
      <c r="BM8">
        <v>7</v>
      </c>
      <c r="BU8" s="456" t="s">
        <v>12</v>
      </c>
      <c r="BV8" s="483">
        <f>+q23_Aux!$C$6</f>
        <v>993.79</v>
      </c>
      <c r="BW8" s="483">
        <f>+q23_Aux!$D$6</f>
        <v>985.02</v>
      </c>
      <c r="BX8" s="483">
        <f>+q23_Aux!$E$6</f>
        <v>990.05</v>
      </c>
      <c r="BY8" s="483">
        <f>+q23_Aux!$F$6</f>
        <v>997.38</v>
      </c>
      <c r="BZ8" s="483">
        <f>+q23_Aux!$G$6</f>
        <v>1012.25</v>
      </c>
      <c r="CA8" s="483">
        <f>+q23_Aux!$H$6</f>
        <v>1039.08</v>
      </c>
      <c r="CB8" s="483">
        <f>+q23_Aux!$I$6</f>
        <v>1073.82</v>
      </c>
      <c r="CC8" s="483">
        <f>+q23_Aux!$J$6</f>
        <v>1109.21</v>
      </c>
      <c r="CD8" s="483">
        <f>+q23_Aux!$K$6</f>
        <v>1152.24</v>
      </c>
      <c r="CE8" s="483">
        <f>+q23_Aux!$L$6</f>
        <v>1217.33</v>
      </c>
      <c r="CF8" s="483">
        <f>+q23_Aux!$M$6</f>
        <v>1294.03</v>
      </c>
    </row>
    <row r="9" spans="1:84" ht="13.5" thickTop="1">
      <c r="A9" s="456"/>
      <c r="B9" t="str">
        <f>+'q22'!$A$8</f>
        <v>C</v>
      </c>
      <c r="C9" t="str">
        <f>+'q22'!$B$8</f>
        <v>Indústrias transformadoras</v>
      </c>
      <c r="D9" s="483">
        <f>+'q22'!$C$8</f>
        <v>839.41</v>
      </c>
      <c r="E9" s="483">
        <f>+'q22'!$D$8</f>
        <v>844.01</v>
      </c>
      <c r="F9" s="483">
        <f>+'q22'!$E$8</f>
        <v>856.12</v>
      </c>
      <c r="G9" s="483">
        <f>+'q22'!$F$8</f>
        <v>870.08</v>
      </c>
      <c r="H9" s="483">
        <f>+'q22'!$G$8</f>
        <v>895.89</v>
      </c>
      <c r="I9" s="483">
        <f>+'q22'!$H$8</f>
        <v>929.15</v>
      </c>
      <c r="J9" s="483">
        <f>+'q22'!$I$8</f>
        <v>964.71</v>
      </c>
      <c r="K9" s="483">
        <f>+'q22'!$J$8</f>
        <v>1003.21</v>
      </c>
      <c r="L9" s="483">
        <f>+'q22'!$K$8</f>
        <v>1031.03</v>
      </c>
      <c r="M9" s="483">
        <f>+'q22'!$L$8</f>
        <v>1095.17</v>
      </c>
      <c r="N9" s="483">
        <f>+'q22'!$M$8</f>
        <v>1172.58</v>
      </c>
      <c r="S9" s="483"/>
      <c r="T9" s="483"/>
      <c r="U9" s="483"/>
      <c r="V9" s="483"/>
      <c r="W9" s="483"/>
      <c r="X9" s="483"/>
      <c r="Y9" s="483"/>
      <c r="Z9" s="483"/>
      <c r="AA9" s="483"/>
      <c r="AB9" s="483"/>
      <c r="AC9" s="483"/>
      <c r="BD9" s="570"/>
      <c r="BL9">
        <f>+BA3</f>
        <v>2020</v>
      </c>
      <c r="BM9">
        <v>8</v>
      </c>
    </row>
    <row r="10" spans="1:84">
      <c r="A10" s="456"/>
      <c r="B10" t="str">
        <f>+'q22'!$A$33</f>
        <v>D</v>
      </c>
      <c r="C10" t="str">
        <f>+'q22'!$B$33</f>
        <v>Eletr., gás, ág. quente/fria e ar frio</v>
      </c>
      <c r="D10" s="483">
        <f>+'q22'!$C$33</f>
        <v>2395.92</v>
      </c>
      <c r="E10" s="483">
        <f>+'q22'!$D$33</f>
        <v>2065.0700000000002</v>
      </c>
      <c r="F10" s="483">
        <f>+'q22'!$E$33</f>
        <v>2091.5</v>
      </c>
      <c r="G10" s="483">
        <f>+'q22'!$F$33</f>
        <v>2075.64</v>
      </c>
      <c r="H10" s="483">
        <f>+'q22'!$G$33</f>
        <v>2070.14</v>
      </c>
      <c r="I10" s="483">
        <f>+'q22'!$H$33</f>
        <v>2080.65</v>
      </c>
      <c r="J10" s="483">
        <f>+'q22'!$I$33</f>
        <v>2086.9</v>
      </c>
      <c r="K10" s="483">
        <f>+'q22'!$J$33</f>
        <v>2128.4699999999998</v>
      </c>
      <c r="L10" s="483">
        <f>+'q22'!$K$33</f>
        <v>2156.69</v>
      </c>
      <c r="M10" s="483">
        <f>+'q22'!$L$33</f>
        <v>2243.09</v>
      </c>
      <c r="N10" s="483">
        <f>+'q22'!$M$33</f>
        <v>2384.1999999999998</v>
      </c>
      <c r="S10" s="483"/>
      <c r="T10" s="483"/>
      <c r="U10" s="483"/>
      <c r="V10" s="483"/>
      <c r="W10" s="483"/>
      <c r="X10" s="483"/>
      <c r="Y10" s="483"/>
      <c r="Z10" s="483"/>
      <c r="AA10" s="483"/>
      <c r="AB10" s="483"/>
      <c r="AC10" s="483"/>
      <c r="BD10" s="571"/>
      <c r="BL10">
        <f>+BB3</f>
        <v>2021</v>
      </c>
      <c r="BM10">
        <v>9</v>
      </c>
      <c r="BT10" s="575" t="s">
        <v>284</v>
      </c>
      <c r="BV10" s="457">
        <f>+'q23'!$C$4</f>
        <v>2013</v>
      </c>
      <c r="BW10" s="457">
        <f>+'q23'!$D$4</f>
        <v>2014</v>
      </c>
      <c r="BX10" s="457">
        <f>+'q23'!$E$4</f>
        <v>2015</v>
      </c>
      <c r="BY10" s="457">
        <f>+'q23'!$F$4</f>
        <v>2016</v>
      </c>
      <c r="BZ10" s="457">
        <f>+'q23'!$G$4</f>
        <v>2017</v>
      </c>
      <c r="CA10" s="457">
        <f>+'q23'!$H$4</f>
        <v>2018</v>
      </c>
      <c r="CB10" s="457">
        <f>+'q23'!$I$4</f>
        <v>2019</v>
      </c>
      <c r="CC10" s="457">
        <f>+'q23'!$J$4</f>
        <v>2020</v>
      </c>
      <c r="CD10" s="457">
        <f>+'q23'!$K$4</f>
        <v>2021</v>
      </c>
      <c r="CE10" s="457">
        <f>+'q23'!$L$4</f>
        <v>2022</v>
      </c>
      <c r="CF10" s="457">
        <f>+'q23'!$M$4</f>
        <v>2023</v>
      </c>
    </row>
    <row r="11" spans="1:84">
      <c r="A11" s="456"/>
      <c r="B11" t="str">
        <f>+'q22'!$A$34</f>
        <v>E</v>
      </c>
      <c r="C11" t="str">
        <f>+'q22'!$B$34</f>
        <v>Capt., trat. e d. água; san., resíd.</v>
      </c>
      <c r="D11" s="483">
        <f>+'q22'!$C$34</f>
        <v>880.63</v>
      </c>
      <c r="E11" s="483">
        <f>+'q22'!$D$34</f>
        <v>885.35</v>
      </c>
      <c r="F11" s="483">
        <f>+'q22'!$E$34</f>
        <v>893.71</v>
      </c>
      <c r="G11" s="483">
        <f>+'q22'!$F$34</f>
        <v>883.84</v>
      </c>
      <c r="H11" s="483">
        <f>+'q22'!$G$34</f>
        <v>891.49</v>
      </c>
      <c r="I11" s="483">
        <f>+'q22'!$H$34</f>
        <v>920.04</v>
      </c>
      <c r="J11" s="483">
        <f>+'q22'!$I$34</f>
        <v>936.67</v>
      </c>
      <c r="K11" s="483">
        <f>+'q22'!$J$34</f>
        <v>970.37</v>
      </c>
      <c r="L11" s="483">
        <f>+'q22'!$K$34</f>
        <v>989.79</v>
      </c>
      <c r="M11" s="483">
        <f>+'q22'!$L$34</f>
        <v>1034.78</v>
      </c>
      <c r="N11" s="483">
        <f>+'q22'!$M$34</f>
        <v>1116.05</v>
      </c>
      <c r="S11" s="483"/>
      <c r="T11" s="483"/>
      <c r="U11" s="483"/>
      <c r="V11" s="483"/>
      <c r="W11" s="483"/>
      <c r="X11" s="483"/>
      <c r="Y11" s="483"/>
      <c r="Z11" s="483"/>
      <c r="AA11" s="483"/>
      <c r="AB11" s="483"/>
      <c r="AC11" s="483"/>
      <c r="BL11">
        <f>+BC3</f>
        <v>2022</v>
      </c>
      <c r="BM11">
        <v>10</v>
      </c>
      <c r="BT11" s="575" t="s">
        <v>117</v>
      </c>
      <c r="BU11" s="456" t="s">
        <v>229</v>
      </c>
      <c r="BV11" s="483">
        <f>+(q23_Aux!$R$10+q23_Aux!$R$13)/(q14a!$C$10+q14a!$C$13)</f>
        <v>694.73249436697154</v>
      </c>
      <c r="BW11" s="483">
        <f>+(q23_Aux!$S$10+q23_Aux!$S$13)/(q14a!$D$10+q14a!$D$13)</f>
        <v>701.65797632904253</v>
      </c>
      <c r="BX11" s="483">
        <f>+(q23_Aux!$T$10+q23_Aux!$T$13)/(q14a!$E$10+q14a!$E$13)</f>
        <v>701.8266882496788</v>
      </c>
      <c r="BY11" s="483">
        <f>+(q23_Aux!$U$10+q23_Aux!$U$13)/(q14a!$F$10+q14a!$F$13)</f>
        <v>718.09152102410417</v>
      </c>
      <c r="BZ11" s="483">
        <f>+(q23_Aux!$V$10+q23_Aux!$V$13)/(q14a!$G$10+q14a!$G$13)</f>
        <v>738.01685646958481</v>
      </c>
      <c r="CA11" s="483">
        <f>+(q23_Aux!$W$10+q23_Aux!$W$13)/(q14a!$H$10+q14a!$H$13)</f>
        <v>760.7723046150702</v>
      </c>
      <c r="CB11" s="483">
        <f>+(q23_Aux!$X$10+q23_Aux!$X$13)/(q14a!$I$10+q14a!$I$13)</f>
        <v>787.02920159323321</v>
      </c>
      <c r="CC11" s="483">
        <f>+(q23_Aux!$Y$10+q23_Aux!$Y$13)/(q14a!$J$10+q14a!$J$13)</f>
        <v>823.22450302810216</v>
      </c>
      <c r="CD11" s="483">
        <f>+(q23_Aux!$Z$10+q23_Aux!$Z$13)/(q14a!$K$10+q14a!$K$13)</f>
        <v>857.64680238008543</v>
      </c>
      <c r="CE11" s="483">
        <f>+(q23_Aux!$AA$10+q23_Aux!$AA$13)/(q14a!$L$10+q14a!$L$13)</f>
        <v>901.44140933899337</v>
      </c>
      <c r="CF11" s="483">
        <f>+(q23_Aux!$AB$10+q23_Aux!$AB$13)/(q14a!$M$10+q14a!$M$13)</f>
        <v>967.10662709454243</v>
      </c>
    </row>
    <row r="12" spans="1:84">
      <c r="A12" s="456"/>
      <c r="B12" t="str">
        <f>+'q22'!$A$35</f>
        <v>F</v>
      </c>
      <c r="C12" t="str">
        <f>+'q22'!$B$35</f>
        <v>Construção</v>
      </c>
      <c r="D12" s="483">
        <f>+'q22'!$C$35</f>
        <v>805.13</v>
      </c>
      <c r="E12" s="483">
        <f>+'q22'!$D$35</f>
        <v>800.21</v>
      </c>
      <c r="F12" s="483">
        <f>+'q22'!$E$35</f>
        <v>796.22</v>
      </c>
      <c r="G12" s="483">
        <f>+'q22'!$F$35</f>
        <v>798.87</v>
      </c>
      <c r="H12" s="483">
        <f>+'q22'!$G$35</f>
        <v>808.62</v>
      </c>
      <c r="I12" s="483">
        <f>+'q22'!$H$35</f>
        <v>824.76</v>
      </c>
      <c r="J12" s="483">
        <f>+'q22'!$I$35</f>
        <v>853.92</v>
      </c>
      <c r="K12" s="483">
        <f>+'q22'!$J$35</f>
        <v>880.77</v>
      </c>
      <c r="L12" s="483">
        <f>+'q22'!$K$35</f>
        <v>934.51</v>
      </c>
      <c r="M12" s="483">
        <f>+'q22'!$L$35</f>
        <v>973.22</v>
      </c>
      <c r="N12" s="483">
        <f>+'q22'!$M$35</f>
        <v>1035.72</v>
      </c>
      <c r="S12" s="483"/>
      <c r="T12" s="483"/>
      <c r="U12" s="483"/>
      <c r="V12" s="483"/>
      <c r="W12" s="483"/>
      <c r="X12" s="483"/>
      <c r="Y12" s="483"/>
      <c r="Z12" s="483"/>
      <c r="AA12" s="483"/>
      <c r="AB12" s="483"/>
      <c r="AC12" s="483"/>
      <c r="BE12" s="473"/>
      <c r="BG12" s="472"/>
      <c r="BH12" s="473"/>
      <c r="BL12">
        <f>+BD3</f>
        <v>2023</v>
      </c>
      <c r="BM12">
        <v>11</v>
      </c>
      <c r="BU12" s="456" t="s">
        <v>479</v>
      </c>
      <c r="BV12" s="483">
        <f>+(q23_Aux!$R$16+q23_Aux!$R$19)/(q14a!$C$16+q14a!$C$19)</f>
        <v>789.48946547106948</v>
      </c>
      <c r="BW12" s="483">
        <f>+(q23_Aux!$S$16+q23_Aux!$S$19)/(q14a!$D$16+q14a!$D$19)</f>
        <v>790.845181274879</v>
      </c>
      <c r="BX12" s="483">
        <f>+(q23_Aux!$T$16+q23_Aux!$T$19)/(q14a!$E$16+q14a!$E$19)</f>
        <v>794.07340219027344</v>
      </c>
      <c r="BY12" s="483">
        <f>+(q23_Aux!$U$16+q23_Aux!$U$19)/(q14a!$F$16+q14a!$F$19)</f>
        <v>805.66166522011179</v>
      </c>
      <c r="BZ12" s="483">
        <f>+(q23_Aux!$V$16+q23_Aux!$V$19)/(q14a!$G$16+q14a!$G$19)</f>
        <v>823.92153159401039</v>
      </c>
      <c r="CA12" s="483">
        <f>+(q23_Aux!$W$16+q23_Aux!$W$19)/(q14a!$H$16+q14a!$H$19)</f>
        <v>849.82089866916363</v>
      </c>
      <c r="CB12" s="483">
        <f>+(q23_Aux!$X$16+q23_Aux!$X$19)/(q14a!$I$16+q14a!$I$19)</f>
        <v>876.6529490021469</v>
      </c>
      <c r="CC12" s="483">
        <f>+(q23_Aux!$Y$16+q23_Aux!$Y$19)/(q14a!$J$16+q14a!$J$19)</f>
        <v>916.08188392103921</v>
      </c>
      <c r="CD12" s="483">
        <f>+(q23_Aux!$Z$16+q23_Aux!$Z$19)/(q14a!$K$16+q14a!$K$19)</f>
        <v>948.81139346559428</v>
      </c>
      <c r="CE12" s="483">
        <f>+(q23_Aux!$AA$16+q23_Aux!$AA$19)/(q14a!$L$16+q14a!$L$19)</f>
        <v>993.84723895762261</v>
      </c>
      <c r="CF12" s="483">
        <f>+(q23_Aux!$AB$16+q23_Aux!$AB$19)/(q14a!$M$16+q14a!$M$19)</f>
        <v>1066.3572698810815</v>
      </c>
    </row>
    <row r="13" spans="1:84">
      <c r="A13" s="456"/>
      <c r="B13" t="str">
        <f>+'q22'!$A$36</f>
        <v>G</v>
      </c>
      <c r="C13" t="str">
        <f>+'q22'!$B$36</f>
        <v>Com. grosso e ret.; r.v.aut./moto.</v>
      </c>
      <c r="D13" s="483">
        <f>+'q22'!$C$36</f>
        <v>861.47</v>
      </c>
      <c r="E13" s="483">
        <f>+'q22'!$D$36</f>
        <v>862.67</v>
      </c>
      <c r="F13" s="483">
        <f>+'q22'!$E$36</f>
        <v>867.89</v>
      </c>
      <c r="G13" s="483">
        <f>+'q22'!$F$36</f>
        <v>881.9</v>
      </c>
      <c r="H13" s="483">
        <f>+'q22'!$G$36</f>
        <v>900.4</v>
      </c>
      <c r="I13" s="483">
        <f>+'q22'!$H$36</f>
        <v>924.91</v>
      </c>
      <c r="J13" s="483">
        <f>+'q22'!$I$36</f>
        <v>959.33</v>
      </c>
      <c r="K13" s="483">
        <f>+'q22'!$J$36</f>
        <v>989.91</v>
      </c>
      <c r="L13" s="483">
        <f>+'q22'!$K$36</f>
        <v>1031.8499999999999</v>
      </c>
      <c r="M13" s="483">
        <f>+'q22'!$L$36</f>
        <v>1075.5999999999999</v>
      </c>
      <c r="N13" s="483">
        <f>+'q22'!$M$36</f>
        <v>1146.8499999999999</v>
      </c>
      <c r="S13" s="483"/>
      <c r="T13" s="483"/>
      <c r="U13" s="483"/>
      <c r="V13" s="483"/>
      <c r="W13" s="483"/>
      <c r="X13" s="483"/>
      <c r="Y13" s="483"/>
      <c r="Z13" s="483"/>
      <c r="AA13" s="483"/>
      <c r="AB13" s="483"/>
      <c r="AC13" s="483"/>
      <c r="BT13" s="573"/>
      <c r="BU13" s="456" t="s">
        <v>480</v>
      </c>
      <c r="BV13" s="483">
        <f>+(q23_Aux!$R$22+q23_Aux!$R$25+q23_Aux!$R$28+q23_Aux!$R$31)/(q14a!$C$22+q14a!$C$25+q14a!$C$28+q14a!$C$31)</f>
        <v>898.71334546863284</v>
      </c>
      <c r="BW13" s="483">
        <f>+(q23_Aux!$S$22+q23_Aux!$S$25+q23_Aux!$S$28+q23_Aux!$S$31)/(q14a!$D$22+q14a!$D$25+q14a!$D$28+q14a!$D$31)</f>
        <v>900.36025338058346</v>
      </c>
      <c r="BX13" s="483">
        <f>+(q23_Aux!$T$22+q23_Aux!$T$25+q23_Aux!$T$28+q23_Aux!$T$31)/(q14a!$E$22+q14a!$E$25+q14a!$E$28+q14a!$E$31)</f>
        <v>907.41698590400847</v>
      </c>
      <c r="BY13" s="483">
        <f>+(q23_Aux!$U$22+q23_Aux!$U$25+q23_Aux!$U$28+q23_Aux!$U$31)/(q14a!$F$22+q14a!$F$25+q14a!$F$28+q14a!$F$31)</f>
        <v>916.32475973961675</v>
      </c>
      <c r="BZ13" s="483">
        <f>+(q23_Aux!$V$22+q23_Aux!$V$25+q23_Aux!$V$28+q23_Aux!$V$31)/(q14a!$G$22+q14a!$G$25+q14a!$G$28+q14a!$G$31)</f>
        <v>929.3187581955608</v>
      </c>
      <c r="CA13" s="483">
        <f>+(q23_Aux!$W$22+q23_Aux!$W$25+q23_Aux!$W$28+q23_Aux!$W$31)/(q14a!$H$22+q14a!$H$25+q14a!$H$28+q14a!$H$31)</f>
        <v>960.6173834212118</v>
      </c>
      <c r="CB13" s="483">
        <f>+(q23_Aux!$X$22+q23_Aux!$X$25+q23_Aux!$X$28+q23_Aux!$X$31)/(q14a!$I$22+q14a!$I$25+q14a!$I$28+q14a!$I$31)</f>
        <v>993.19859896200967</v>
      </c>
      <c r="CC13" s="483">
        <f>+(q23_Aux!$Y$22+q23_Aux!$Y$25+q23_Aux!$Y$28+q23_Aux!$Y$31)/(q14a!$J$22+q14a!$J$25+q14a!$J$28+q14a!$J$31)</f>
        <v>1038.9108847144305</v>
      </c>
      <c r="CD13" s="483">
        <f>+(q23_Aux!$Z$22+q23_Aux!$Z$25+q23_Aux!$Z$28+q23_Aux!$Z$31)/(q14a!$K$22+q14a!$K$25+q14a!$K$28+q14a!$K$31)</f>
        <v>1078.4418167593165</v>
      </c>
      <c r="CE13" s="483">
        <f>+(q23_Aux!$AA$22+q23_Aux!$AA$25+q23_Aux!$AA$28+q23_Aux!$AA$31)/(q14a!$L$22+q14a!$L$25+q14a!$L$28+q14a!$L$31)</f>
        <v>1136.4189378756755</v>
      </c>
      <c r="CF13" s="483">
        <f>+(q23_Aux!$AB$22+q23_Aux!$AB$25+q23_Aux!$AB$28+q23_Aux!$AB$31)/(q14a!$M$22+q14a!$M$25+q14a!$M$28+q14a!$M$31)</f>
        <v>1212.2071847863967</v>
      </c>
    </row>
    <row r="14" spans="1:84">
      <c r="A14" s="456"/>
      <c r="B14" t="str">
        <f>+'q22'!$A$37</f>
        <v>H</v>
      </c>
      <c r="C14" t="str">
        <f>+'q22'!$B$37</f>
        <v>Transportes e armazenagem</v>
      </c>
      <c r="D14" s="483">
        <f>+'q22'!$C$37</f>
        <v>990.2</v>
      </c>
      <c r="E14" s="483">
        <f>+'q22'!$D$37</f>
        <v>977.22</v>
      </c>
      <c r="F14" s="483">
        <f>+'q22'!$E$37</f>
        <v>988.25</v>
      </c>
      <c r="G14" s="483">
        <f>+'q22'!$F$37</f>
        <v>994.98</v>
      </c>
      <c r="H14" s="483">
        <f>+'q22'!$G$37</f>
        <v>1002.64</v>
      </c>
      <c r="I14" s="483">
        <f>+'q22'!$H$37</f>
        <v>1033.97</v>
      </c>
      <c r="J14" s="483">
        <f>+'q22'!$I$37</f>
        <v>1071.3699999999999</v>
      </c>
      <c r="K14" s="483">
        <f>+'q22'!$J$37</f>
        <v>1033.25</v>
      </c>
      <c r="L14" s="483">
        <f>+'q22'!$K$37</f>
        <v>1056.1199999999999</v>
      </c>
      <c r="M14" s="483">
        <f>+'q22'!$L$37</f>
        <v>1184.24</v>
      </c>
      <c r="N14" s="483">
        <f>+'q22'!$M$37</f>
        <v>1269.02</v>
      </c>
      <c r="S14" s="483"/>
      <c r="T14" s="483"/>
      <c r="U14" s="483"/>
      <c r="V14" s="483"/>
      <c r="W14" s="483"/>
      <c r="X14" s="483"/>
      <c r="Y14" s="483"/>
      <c r="Z14" s="483"/>
      <c r="AA14" s="483"/>
      <c r="AB14" s="483"/>
      <c r="AC14" s="483"/>
      <c r="BB14" s="471"/>
      <c r="BT14" s="456"/>
      <c r="BU14" s="456" t="s">
        <v>238</v>
      </c>
      <c r="BV14" s="483">
        <f>+(q23_Aux!$R$34+q23_Aux!$R$37+q23_Aux!$R$40)/(q14a!$C$34+q14a!$C$37+q14a!$C$40)</f>
        <v>977.16746763346407</v>
      </c>
      <c r="BW14" s="483">
        <f>+(q23_Aux!$S$34+q23_Aux!$S$37+q23_Aux!$S$40)/(q14a!$D$34+q14a!$D$37+q14a!$D$40)</f>
        <v>984.46298841608768</v>
      </c>
      <c r="BX14" s="483">
        <f>+(q23_Aux!$T$34+q23_Aux!$T$37+q23_Aux!$T$40)/(q14a!$E$34+q14a!$E$37+q14a!$E$40)</f>
        <v>987.79991998871367</v>
      </c>
      <c r="BY14" s="483">
        <f>+(q23_Aux!$U$34+q23_Aux!$U$37+q23_Aux!$U$40)/(q14a!$F$34+q14a!$F$37+q14a!$F$40)</f>
        <v>1007.6746967017225</v>
      </c>
      <c r="BZ14" s="483">
        <f>+(q23_Aux!$V$34+q23_Aux!$V$37+q23_Aux!$V$40)/(q14a!$G$34+q14a!$G$37+q14a!$G$40)</f>
        <v>1035.0637462454442</v>
      </c>
      <c r="CA14" s="483">
        <f>+(q23_Aux!$W$34+q23_Aux!$W$37+q23_Aux!$W$40)/(q14a!$H$34+q14a!$H$37+q14a!$H$40)</f>
        <v>1059.0625332314744</v>
      </c>
      <c r="CB14" s="483">
        <f>+(q23_Aux!$X$34+q23_Aux!$X$37+q23_Aux!$X$40)/(q14a!$I$34+q14a!$I$37+q14a!$I$40)</f>
        <v>1100.3428119685038</v>
      </c>
      <c r="CC14" s="483">
        <f>+(q23_Aux!$Y$34+q23_Aux!$Y$37+q23_Aux!$Y$40)/(q14a!$J$34+q14a!$J$37+q14a!$J$40)</f>
        <v>1115.5450241815477</v>
      </c>
      <c r="CD14" s="483">
        <f>+(q23_Aux!$Z$34+q23_Aux!$Z$37+q23_Aux!$Z$40)/(q14a!$K$34+q14a!$K$37+q14a!$K$40)</f>
        <v>1170.6142086332809</v>
      </c>
      <c r="CE14" s="483">
        <f>+(q23_Aux!$AA$34+q23_Aux!$AA$37+q23_Aux!$AA$40)/(q14a!$L$34+q14a!$L$37+q14a!$L$40)</f>
        <v>1242.1365284637748</v>
      </c>
      <c r="CF14" s="483">
        <f>+(q23_Aux!$AB$34+q23_Aux!$AB$37+q23_Aux!$AB$40)/(q14a!$M$34+q14a!$M$37+q14a!$M$40)</f>
        <v>1331.3685229934149</v>
      </c>
    </row>
    <row r="15" spans="1:84">
      <c r="A15" s="456"/>
      <c r="B15" t="str">
        <f>+'q22'!$A$38</f>
        <v>I</v>
      </c>
      <c r="C15" t="str">
        <f>+'q22'!$B$38</f>
        <v>Alojamento, restauração e sim.</v>
      </c>
      <c r="D15" s="483">
        <f>+'q22'!$C$38</f>
        <v>663.49</v>
      </c>
      <c r="E15" s="483">
        <f>+'q22'!$D$38</f>
        <v>669.99</v>
      </c>
      <c r="F15" s="483">
        <f>+'q22'!$E$38</f>
        <v>673.94</v>
      </c>
      <c r="G15" s="483">
        <f>+'q22'!$F$38</f>
        <v>690.54</v>
      </c>
      <c r="H15" s="483">
        <f>+'q22'!$G$38</f>
        <v>713.45</v>
      </c>
      <c r="I15" s="483">
        <f>+'q22'!$H$38</f>
        <v>739.37</v>
      </c>
      <c r="J15" s="483">
        <f>+'q22'!$I$38</f>
        <v>764.08</v>
      </c>
      <c r="K15" s="483">
        <f>+'q22'!$J$38</f>
        <v>780.14</v>
      </c>
      <c r="L15" s="483">
        <f>+'q22'!$K$38</f>
        <v>822.39</v>
      </c>
      <c r="M15" s="483">
        <f>+'q22'!$L$38</f>
        <v>872.72</v>
      </c>
      <c r="N15" s="483">
        <f>+'q22'!$M$38</f>
        <v>929.8</v>
      </c>
      <c r="S15" s="483"/>
      <c r="T15" s="483"/>
      <c r="U15" s="483"/>
      <c r="V15" s="483"/>
      <c r="W15" s="483"/>
      <c r="X15" s="483"/>
      <c r="Y15" s="483"/>
      <c r="Z15" s="483"/>
      <c r="AA15" s="483"/>
      <c r="AB15" s="483"/>
      <c r="AC15" s="483"/>
      <c r="BB15" s="471"/>
      <c r="BU15" s="456" t="s">
        <v>12</v>
      </c>
      <c r="BV15" s="483">
        <f>+q23_Aux!$C$7</f>
        <v>816.21</v>
      </c>
      <c r="BW15" s="483">
        <f>+q23_Aux!$D$7</f>
        <v>820.25</v>
      </c>
      <c r="BX15" s="483">
        <f>+q23_Aux!$E$7</f>
        <v>824.99</v>
      </c>
      <c r="BY15" s="483">
        <f>+q23_Aux!$F$7</f>
        <v>840.26</v>
      </c>
      <c r="BZ15" s="483">
        <f>+q23_Aux!$G$7</f>
        <v>861.17</v>
      </c>
      <c r="CA15" s="483">
        <f>+q23_Aux!$H$7</f>
        <v>888.56</v>
      </c>
      <c r="CB15" s="483">
        <f>+q23_Aux!$I$7</f>
        <v>922.63</v>
      </c>
      <c r="CC15" s="483">
        <f>+q23_Aux!$J$7</f>
        <v>960.27</v>
      </c>
      <c r="CD15" s="483">
        <f>+q23_Aux!$K$7</f>
        <v>999.33</v>
      </c>
      <c r="CE15" s="483">
        <f>+q23_Aux!$L$7</f>
        <v>1054.3599999999999</v>
      </c>
      <c r="CF15" s="483">
        <f>+q23_Aux!$M$7</f>
        <v>1129.6400000000001</v>
      </c>
    </row>
    <row r="16" spans="1:84">
      <c r="A16" s="456"/>
      <c r="B16" t="str">
        <f>+'q22'!$A$39</f>
        <v>J</v>
      </c>
      <c r="C16" t="str">
        <f>+'q22'!$B$39</f>
        <v xml:space="preserve">Ativ. Inform. e de comunicação </v>
      </c>
      <c r="D16" s="483">
        <f>+'q22'!$C$39</f>
        <v>1515.4</v>
      </c>
      <c r="E16" s="483">
        <f>+'q22'!$D$39</f>
        <v>1500.69</v>
      </c>
      <c r="F16" s="483">
        <f>+'q22'!$E$39</f>
        <v>1488.73</v>
      </c>
      <c r="G16" s="483">
        <f>+'q22'!$F$39</f>
        <v>1520.09</v>
      </c>
      <c r="H16" s="483">
        <f>+'q22'!$G$39</f>
        <v>1522.79</v>
      </c>
      <c r="I16" s="483">
        <f>+'q22'!$H$39</f>
        <v>1562.86</v>
      </c>
      <c r="J16" s="483">
        <f>+'q22'!$I$39</f>
        <v>1614.97</v>
      </c>
      <c r="K16" s="483">
        <f>+'q22'!$J$39</f>
        <v>1668.12</v>
      </c>
      <c r="L16" s="483">
        <f>+'q22'!$K$39</f>
        <v>1748.11</v>
      </c>
      <c r="M16" s="483">
        <f>+'q22'!$L$39</f>
        <v>1915.45</v>
      </c>
      <c r="N16" s="483">
        <f>+'q22'!$M$39</f>
        <v>2022.39</v>
      </c>
      <c r="S16" s="483"/>
      <c r="T16" s="483"/>
      <c r="U16" s="483"/>
      <c r="V16" s="483"/>
      <c r="W16" s="483"/>
      <c r="X16" s="483"/>
      <c r="Y16" s="483"/>
      <c r="Z16" s="483"/>
      <c r="AA16" s="483"/>
      <c r="AB16" s="483"/>
      <c r="AC16" s="483"/>
      <c r="BL16">
        <v>11</v>
      </c>
    </row>
    <row r="17" spans="1:84">
      <c r="A17" s="456"/>
      <c r="B17" t="str">
        <f>+'q22'!$A$40</f>
        <v>K</v>
      </c>
      <c r="C17" t="str">
        <f>+'q22'!$B$40</f>
        <v>Ativ. financeiras e de seguros</v>
      </c>
      <c r="D17" s="483">
        <f>+'q22'!$C$40</f>
        <v>1577.83</v>
      </c>
      <c r="E17" s="483">
        <f>+'q22'!$D$40</f>
        <v>1572.96</v>
      </c>
      <c r="F17" s="483">
        <f>+'q22'!$E$40</f>
        <v>1571.12</v>
      </c>
      <c r="G17" s="483">
        <f>+'q22'!$F$40</f>
        <v>1585.29</v>
      </c>
      <c r="H17" s="483">
        <f>+'q22'!$G$40</f>
        <v>1592.44</v>
      </c>
      <c r="I17" s="483">
        <f>+'q22'!$H$40</f>
        <v>1601.12</v>
      </c>
      <c r="J17" s="483">
        <f>+'q22'!$I$40</f>
        <v>1632.26</v>
      </c>
      <c r="K17" s="483">
        <f>+'q22'!$J$40</f>
        <v>1651.3</v>
      </c>
      <c r="L17" s="483">
        <f>+'q22'!$K$40</f>
        <v>1674.12</v>
      </c>
      <c r="M17" s="483">
        <f>+'q22'!$L$40</f>
        <v>1705.23</v>
      </c>
      <c r="N17" s="483">
        <f>+'q22'!$M$40</f>
        <v>1801.31</v>
      </c>
      <c r="S17" s="483"/>
      <c r="T17" s="483"/>
      <c r="U17" s="483"/>
      <c r="V17" s="483"/>
      <c r="W17" s="483"/>
      <c r="X17" s="483"/>
      <c r="Y17" s="483"/>
      <c r="Z17" s="483"/>
      <c r="AA17" s="483"/>
      <c r="AB17" s="483"/>
      <c r="AC17" s="483"/>
      <c r="BB17" s="471"/>
      <c r="BT17" s="574" t="s">
        <v>291</v>
      </c>
      <c r="BV17" s="457">
        <f>+'q34'!$C$4</f>
        <v>2013</v>
      </c>
      <c r="BW17" s="457">
        <f>+'q34'!$D$4</f>
        <v>2014</v>
      </c>
      <c r="BX17" s="457">
        <f>+'q34'!$E$4</f>
        <v>2015</v>
      </c>
      <c r="BY17" s="457">
        <f>+'q34'!$F$4</f>
        <v>2016</v>
      </c>
      <c r="BZ17" s="457">
        <f>+'q34'!$G$4</f>
        <v>2017</v>
      </c>
      <c r="CA17" s="457">
        <f>+'q34'!$H$4</f>
        <v>2018</v>
      </c>
      <c r="CB17" s="457">
        <f>+'q34'!$I$4</f>
        <v>2019</v>
      </c>
      <c r="CC17" s="457">
        <f>+'q34'!$J$4</f>
        <v>2020</v>
      </c>
      <c r="CD17" s="457">
        <f>+'q34'!$K$4</f>
        <v>2021</v>
      </c>
      <c r="CE17" s="457">
        <f>+'q34'!$L$4</f>
        <v>2022</v>
      </c>
      <c r="CF17" s="457">
        <f>+'q34'!$M$4</f>
        <v>2023</v>
      </c>
    </row>
    <row r="18" spans="1:84">
      <c r="A18" s="456"/>
      <c r="B18" t="str">
        <f>+'q22'!$A$41</f>
        <v>L</v>
      </c>
      <c r="C18" t="str">
        <f>+'q22'!$B$41</f>
        <v>Atividades imobiliárias</v>
      </c>
      <c r="D18" s="483">
        <f>+'q22'!$C$41</f>
        <v>958.98</v>
      </c>
      <c r="E18" s="483">
        <f>+'q22'!$D$41</f>
        <v>951.85</v>
      </c>
      <c r="F18" s="483">
        <f>+'q22'!$E$41</f>
        <v>945.14</v>
      </c>
      <c r="G18" s="483">
        <f>+'q22'!$F$41</f>
        <v>969.55</v>
      </c>
      <c r="H18" s="483">
        <f>+'q22'!$G$41</f>
        <v>978.99</v>
      </c>
      <c r="I18" s="483">
        <f>+'q22'!$H$41</f>
        <v>1001.04</v>
      </c>
      <c r="J18" s="483">
        <f>+'q22'!$I$41</f>
        <v>1045.96</v>
      </c>
      <c r="K18" s="483">
        <f>+'q22'!$J$41</f>
        <v>1091.6400000000001</v>
      </c>
      <c r="L18" s="483">
        <f>+'q22'!$K$41</f>
        <v>1129.19</v>
      </c>
      <c r="M18" s="483">
        <f>+'q22'!$L$41</f>
        <v>1185.33</v>
      </c>
      <c r="N18" s="483">
        <f>+'q22'!$M$41</f>
        <v>1267.8800000000001</v>
      </c>
      <c r="S18" s="483"/>
      <c r="T18" s="483"/>
      <c r="U18" s="483"/>
      <c r="V18" s="483"/>
      <c r="W18" s="483"/>
      <c r="X18" s="483"/>
      <c r="Y18" s="483"/>
      <c r="Z18" s="483"/>
      <c r="AA18" s="483"/>
      <c r="AB18" s="483"/>
      <c r="AC18" s="483"/>
      <c r="BB18" s="674"/>
      <c r="BT18" s="574" t="s">
        <v>116</v>
      </c>
      <c r="BU18" s="456" t="s">
        <v>229</v>
      </c>
      <c r="BV18" s="483">
        <f>+(q34_Aux!$R$9+q34_Aux!$R$12)/(q14a!$C$9+q14a!$C$12)</f>
        <v>926.3161515370897</v>
      </c>
      <c r="BW18" s="483">
        <f>+(q34_Aux!$S$9+q34_Aux!$S$12)/(q14a!$D$9+q14a!$D$12)</f>
        <v>924.96914124570867</v>
      </c>
      <c r="BX18" s="483">
        <f>+(q34_Aux!$T$9+q34_Aux!$T$12)/(q14a!$E$9+q14a!$E$12)</f>
        <v>918.54159831321022</v>
      </c>
      <c r="BY18" s="483">
        <f>+(q34_Aux!$U$9+q34_Aux!$U$12)/(q14a!$F$9+q14a!$F$12)</f>
        <v>927.73466986733445</v>
      </c>
      <c r="BZ18" s="483">
        <f>+(q34_Aux!$V$9+q34_Aux!$V$12)/(q14a!$G$9+q14a!$G$12)</f>
        <v>947.90803516596725</v>
      </c>
      <c r="CA18" s="483">
        <f>+(q34_Aux!$W$9+q34_Aux!$W$12)/(q14a!$H$9+q14a!$H$12)</f>
        <v>977.33527446827736</v>
      </c>
      <c r="CB18" s="483">
        <f>+(q34_Aux!$X$9+q34_Aux!$X$12)/(q14a!$I$9+q14a!$I$12)</f>
        <v>1009.4246214477831</v>
      </c>
      <c r="CC18" s="483">
        <f>+(q34_Aux!$Y$9+q34_Aux!$Y$12)/(q14a!$J$9+q14a!$J$12)</f>
        <v>1045.537369950998</v>
      </c>
      <c r="CD18" s="483">
        <f>+(q34_Aux!$Z$9+q34_Aux!$Z$12)/(q14a!$K$9+q14a!$K$12)</f>
        <v>1083.767588974677</v>
      </c>
      <c r="CE18" s="483">
        <f>+(q34_Aux!$AA$9+q34_Aux!$AA$12)/(q14a!$L$9+q14a!$L$12)</f>
        <v>1137.8086016937878</v>
      </c>
      <c r="CF18" s="483">
        <f>+(q34_Aux!$AB$9+q34_Aux!$AB$12)/(q14a!$M$9+q14a!$M$12)</f>
        <v>1220.6117495025931</v>
      </c>
    </row>
    <row r="19" spans="1:84">
      <c r="A19" s="456"/>
      <c r="B19" t="str">
        <f>+'q22'!$A$42</f>
        <v>M</v>
      </c>
      <c r="C19" t="str">
        <f>+'q22'!$B$42</f>
        <v>Ativ. consultoria, cient.,téc. e sim.</v>
      </c>
      <c r="D19" s="483">
        <f>+'q22'!$C$42</f>
        <v>1193.04</v>
      </c>
      <c r="E19" s="483">
        <f>+'q22'!$D$42</f>
        <v>1170.25</v>
      </c>
      <c r="F19" s="483">
        <f>+'q22'!$E$42</f>
        <v>1171.06</v>
      </c>
      <c r="G19" s="483">
        <f>+'q22'!$F$42</f>
        <v>1183.3900000000001</v>
      </c>
      <c r="H19" s="483">
        <f>+'q22'!$G$42</f>
        <v>1225.58</v>
      </c>
      <c r="I19" s="483">
        <f>+'q22'!$H$42</f>
        <v>1249.78</v>
      </c>
      <c r="J19" s="483">
        <f>+'q22'!$I$42</f>
        <v>1288.0899999999999</v>
      </c>
      <c r="K19" s="483">
        <f>+'q22'!$J$42</f>
        <v>1335.14</v>
      </c>
      <c r="L19" s="483">
        <f>+'q22'!$K$42</f>
        <v>1403.13</v>
      </c>
      <c r="M19" s="483">
        <f>+'q22'!$L$42</f>
        <v>1491.97</v>
      </c>
      <c r="N19" s="483">
        <f>+'q22'!$M$42</f>
        <v>1607.85</v>
      </c>
      <c r="S19" s="483"/>
      <c r="T19" s="483"/>
      <c r="U19" s="483"/>
      <c r="V19" s="483"/>
      <c r="W19" s="483"/>
      <c r="X19" s="483"/>
      <c r="Y19" s="483"/>
      <c r="Z19" s="483"/>
      <c r="AA19" s="483"/>
      <c r="AB19" s="483"/>
      <c r="AC19" s="483"/>
      <c r="BK19">
        <f>INDEX($BL$2:$BL$12,$BL$16)</f>
        <v>2023</v>
      </c>
      <c r="BL19" s="501" t="s">
        <v>436</v>
      </c>
      <c r="BM19" s="532"/>
      <c r="BN19" s="532"/>
      <c r="BO19" s="532"/>
      <c r="BP19" s="532"/>
      <c r="BU19" s="456" t="s">
        <v>479</v>
      </c>
      <c r="BV19" s="483">
        <f>+(q34_Aux!$R$15+q34_Aux!$R$18)/(q14a!$C$15+q14a!$C$18)</f>
        <v>1146.9741737916379</v>
      </c>
      <c r="BW19" s="483">
        <f>+(q34_Aux!$S$15+q34_Aux!$S$18)/(q14a!$D$15+q14a!$D$18)</f>
        <v>1141.0753998276941</v>
      </c>
      <c r="BX19" s="483">
        <f>+(q34_Aux!$T$15+q34_Aux!$T$18)/(q14a!$E$15+q14a!$E$18)</f>
        <v>1136.078052561965</v>
      </c>
      <c r="BY19" s="483">
        <f>+(q34_Aux!$U$15+q34_Aux!$U$18)/(q14a!$F$15+q14a!$F$18)</f>
        <v>1135.1591103409576</v>
      </c>
      <c r="BZ19" s="483">
        <f>+(q34_Aux!$V$15+q34_Aux!$V$18)/(q14a!$G$15+q14a!$G$18)</f>
        <v>1151.6976473383261</v>
      </c>
      <c r="CA19" s="483">
        <f>+(q34_Aux!$W$15+q34_Aux!$W$18)/(q14a!$H$15+q14a!$H$18)</f>
        <v>1179.7288318243313</v>
      </c>
      <c r="CB19" s="483">
        <f>+(q34_Aux!$X$15+q34_Aux!$X$18)/(q14a!$I$15+q14a!$I$18)</f>
        <v>1215.0358978158511</v>
      </c>
      <c r="CC19" s="483">
        <f>+(q34_Aux!$Y$15+q34_Aux!$Y$18)/(q14a!$J$15+q14a!$J$18)</f>
        <v>1258.9445039678887</v>
      </c>
      <c r="CD19" s="483">
        <f>+(q34_Aux!$Z$15+q34_Aux!$Z$18)/(q14a!$K$15+q14a!$K$18)</f>
        <v>1298.7142551980082</v>
      </c>
      <c r="CE19" s="483">
        <f>+(q34_Aux!$AA$15+q34_Aux!$AA$18)/(q14a!$L$15+q14a!$L$18)</f>
        <v>1352.8285991485081</v>
      </c>
      <c r="CF19" s="483">
        <f>+(q34_Aux!$AB$15+q34_Aux!$AB$18)/(q14a!$M$15+q14a!$M$18)</f>
        <v>1447.1910944802858</v>
      </c>
    </row>
    <row r="20" spans="1:84">
      <c r="A20" s="456"/>
      <c r="B20" t="str">
        <f>+'q22'!$A$43</f>
        <v>N</v>
      </c>
      <c r="C20" t="str">
        <f>+'q22'!$B$43</f>
        <v>Ativ. Adm. e serviços de apoio</v>
      </c>
      <c r="D20" s="483">
        <f>+'q22'!$C$43</f>
        <v>767.09</v>
      </c>
      <c r="E20" s="483">
        <f>+'q22'!$D$43</f>
        <v>772.15</v>
      </c>
      <c r="F20" s="483">
        <f>+'q22'!$E$43</f>
        <v>768.27</v>
      </c>
      <c r="G20" s="483">
        <f>+'q22'!$F$43</f>
        <v>772.59</v>
      </c>
      <c r="H20" s="483">
        <f>+'q22'!$G$43</f>
        <v>787.93</v>
      </c>
      <c r="I20" s="483">
        <f>+'q22'!$H$43</f>
        <v>807.44</v>
      </c>
      <c r="J20" s="483">
        <f>+'q22'!$I$43</f>
        <v>842.48</v>
      </c>
      <c r="K20" s="483">
        <f>+'q22'!$J$43</f>
        <v>864.18</v>
      </c>
      <c r="L20" s="483">
        <f>+'q22'!$K$43</f>
        <v>916.97</v>
      </c>
      <c r="M20" s="483">
        <f>+'q22'!$L$43</f>
        <v>970.39</v>
      </c>
      <c r="N20" s="483">
        <f>+'q22'!$M$43</f>
        <v>1056.28</v>
      </c>
      <c r="S20" s="483"/>
      <c r="T20" s="483"/>
      <c r="U20" s="483"/>
      <c r="V20" s="483"/>
      <c r="W20" s="483"/>
      <c r="X20" s="483"/>
      <c r="Y20" s="483"/>
      <c r="Z20" s="483"/>
      <c r="AA20" s="483"/>
      <c r="AB20" s="483"/>
      <c r="AC20" s="483"/>
      <c r="BL20" s="532"/>
      <c r="BM20" s="501" t="s">
        <v>398</v>
      </c>
      <c r="BN20" s="501" t="s">
        <v>402</v>
      </c>
      <c r="BO20" s="501" t="s">
        <v>399</v>
      </c>
      <c r="BP20" s="501" t="s">
        <v>403</v>
      </c>
      <c r="BQ20" s="501" t="s">
        <v>438</v>
      </c>
      <c r="BR20" s="501" t="s">
        <v>439</v>
      </c>
      <c r="BS20" s="501"/>
      <c r="BT20" s="573"/>
      <c r="BU20" s="456" t="s">
        <v>480</v>
      </c>
      <c r="BV20" s="483">
        <f>+(q34_Aux!$R$21+q34_Aux!$R$24+q34_Aux!$R$27+q34_Aux!$R$30)/(q14a!$C$21+q14a!$C$24+q14a!$C$27+q14a!$C$30)</f>
        <v>1424.8551078172002</v>
      </c>
      <c r="BW20" s="483">
        <f>+(q34_Aux!$S$21+q34_Aux!$S$24+q34_Aux!$S$27+q34_Aux!$S$30)/(q14a!$D$21+q14a!$D$24+q14a!$D$27+q14a!$D$30)</f>
        <v>1409.7742606927034</v>
      </c>
      <c r="BX20" s="483">
        <f>+(q34_Aux!$T$21+q34_Aux!$T$24+q34_Aux!$T$27+q34_Aux!$T$30)/(q14a!$E$21+q14a!$E$24+q14a!$E$27+q14a!$E$30)</f>
        <v>1423.4812542312216</v>
      </c>
      <c r="BY20" s="483">
        <f>+(q34_Aux!$U$21+q34_Aux!$U$24+q34_Aux!$U$27+q34_Aux!$U$30)/(q14a!$F$21+q14a!$F$24+q14a!$F$27+q14a!$F$30)</f>
        <v>1427.9381467393305</v>
      </c>
      <c r="BZ20" s="483">
        <f>+(q34_Aux!$V$21+q34_Aux!$V$24+q34_Aux!$V$27+q34_Aux!$V$30)/(q14a!$G$21+q14a!$G$24+q14a!$G$27+q14a!$G$30)</f>
        <v>1448.7560656316534</v>
      </c>
      <c r="CA20" s="483">
        <f>+(q34_Aux!$W$21+q34_Aux!$W$24+q34_Aux!$W$27+q34_Aux!$W$30)/(q14a!$H$21+q14a!$H$24+q14a!$H$27+q14a!$H$30)</f>
        <v>1481.0625456295584</v>
      </c>
      <c r="CB20" s="483">
        <f>+(q34_Aux!$X$21+q34_Aux!$X$24+q34_Aux!$X$27+q34_Aux!$X$30)/(q14a!$I$21+q14a!$I$24+q14a!$I$27+q14a!$I$30)</f>
        <v>1501.6223834988539</v>
      </c>
      <c r="CC20" s="483">
        <f>+(q34_Aux!$Y$21+q34_Aux!$Y$24+q34_Aux!$Y$27+q34_Aux!$Y$30)/(q14a!$J$21+q14a!$J$24+q14a!$J$27+q14a!$J$30)</f>
        <v>1552.4910737081314</v>
      </c>
      <c r="CD20" s="483">
        <f>+(q34_Aux!$Z$21+q34_Aux!$Z$24+q34_Aux!$Z$27+q34_Aux!$Z$30)/(q14a!$K$21+q14a!$K$24+q14a!$K$27+q14a!$K$30)</f>
        <v>1580.2446090515775</v>
      </c>
      <c r="CE20" s="483">
        <f>+(q34_Aux!$AA$21+q34_Aux!$AA$24+q34_Aux!$AA$27+q34_Aux!$AA$30)/(q14a!$L$21+q14a!$L$24+q14a!$L$27+q14a!$L$30)</f>
        <v>1653.1718031580256</v>
      </c>
      <c r="CF20" s="483">
        <f>+(q34_Aux!$AB$21+q34_Aux!$AB$24+q34_Aux!$AB$27+q34_Aux!$AB$30)/(q14a!$M$21+q14a!$M$24+q14a!$M$27+q14a!$M$30)</f>
        <v>1750.9927369332383</v>
      </c>
    </row>
    <row r="21" spans="1:84">
      <c r="A21" s="456"/>
      <c r="B21" t="str">
        <f>+'q22'!$A$44</f>
        <v>O</v>
      </c>
      <c r="C21" t="str">
        <f>+'q22'!$B$44</f>
        <v xml:space="preserve">Adm. Púb. e defesa; seg. social </v>
      </c>
      <c r="D21" s="483">
        <f>+'q22'!$C$44</f>
        <v>874.37</v>
      </c>
      <c r="E21" s="483">
        <f>+'q22'!$D$44</f>
        <v>880.99</v>
      </c>
      <c r="F21" s="483">
        <f>+'q22'!$E$44</f>
        <v>849.2</v>
      </c>
      <c r="G21" s="483">
        <f>+'q22'!$F$44</f>
        <v>848.71</v>
      </c>
      <c r="H21" s="483">
        <f>+'q22'!$G$44</f>
        <v>866.69</v>
      </c>
      <c r="I21" s="483">
        <f>+'q22'!$H$44</f>
        <v>895.16</v>
      </c>
      <c r="J21" s="483">
        <f>+'q22'!$I$44</f>
        <v>950.41</v>
      </c>
      <c r="K21" s="483">
        <f>+'q22'!$J$44</f>
        <v>990.79</v>
      </c>
      <c r="L21" s="483">
        <f>+'q22'!$K$44</f>
        <v>1027.51</v>
      </c>
      <c r="M21" s="483">
        <f>+'q22'!$L$44</f>
        <v>1035.5</v>
      </c>
      <c r="N21" s="483">
        <f>+'q22'!$M$44</f>
        <v>1098.71</v>
      </c>
      <c r="S21" s="483"/>
      <c r="T21" s="483"/>
      <c r="U21" s="483"/>
      <c r="V21" s="483"/>
      <c r="W21" s="483"/>
      <c r="X21" s="483"/>
      <c r="Y21" s="483"/>
      <c r="Z21" s="483"/>
      <c r="AA21" s="483"/>
      <c r="AB21" s="483"/>
      <c r="AC21" s="483"/>
      <c r="BL21" s="456" t="s">
        <v>229</v>
      </c>
      <c r="BM21" s="542">
        <f>INDEX($BU$3:$CF$8,MATCH($BL21,$BU$3:$BU$8,0),MATCH($BK$19,$BU$3:$CF$3,0))*-1</f>
        <v>-1048.4036983919893</v>
      </c>
      <c r="BN21" s="542">
        <f>INDEX($BU$17:$CF$22,MATCH($BL21,$BU$17:$BU$22,0),MATCH($BK$19,$BU$17:$CF$17,0))*-1</f>
        <v>-1220.6117495025931</v>
      </c>
      <c r="BO21" s="542">
        <f>INDEX($BU$10:$CF$15,MATCH($BL21,$BU$10:$BU$15,0),MATCH($BK$19,$BU$10:$CF$10,0))</f>
        <v>967.10662709454243</v>
      </c>
      <c r="BP21" s="542">
        <f>INDEX($BU$24:$CF$29,MATCH($BL21,$BU$24:$BU$29,0),MATCH($BK$19,$BU$24:$CF$24,0))</f>
        <v>1117.7872750956135</v>
      </c>
      <c r="BQ21" s="568">
        <f>+ROUND(BO21/(BM21*-1)*100,1)</f>
        <v>92.2</v>
      </c>
      <c r="BR21" s="568">
        <f>+ROUND(BP21/(BN21*-1)*100,1)</f>
        <v>91.6</v>
      </c>
      <c r="BS21" s="456" t="s">
        <v>475</v>
      </c>
      <c r="BT21" s="456"/>
      <c r="BU21" s="456" t="s">
        <v>238</v>
      </c>
      <c r="BV21" s="483">
        <f>+(q34_Aux!$R$33+q34_Aux!$R$36+q34_Aux!$R$39)/(q14a!$C$33+q14a!$C$36+q14a!$C$39)</f>
        <v>1489.7795916687692</v>
      </c>
      <c r="BW21" s="483">
        <f>+(q34_Aux!$S$33+q34_Aux!$S$36+q34_Aux!$S$39)/(q14a!$D$33+q14a!$D$36+q14a!$D$39)</f>
        <v>1479.6863453139961</v>
      </c>
      <c r="BX21" s="483">
        <f>+(q34_Aux!$T$33+q34_Aux!$T$36+q34_Aux!$T$39)/(q14a!$E$33+q14a!$E$36+q14a!$E$39)</f>
        <v>1491.4700604182631</v>
      </c>
      <c r="BY21" s="483">
        <f>+(q34_Aux!$U$33+q34_Aux!$U$36+q34_Aux!$U$39)/(q14a!$F$33+q14a!$F$36+q14a!$F$39)</f>
        <v>1508.6567729283506</v>
      </c>
      <c r="BZ21" s="483">
        <f>+(q34_Aux!$V$33+q34_Aux!$V$36+q34_Aux!$V$39)/(q14a!$G$33+q14a!$G$36+q14a!$G$39)</f>
        <v>1512.3435721113026</v>
      </c>
      <c r="CA21" s="483">
        <f>+(q34_Aux!$W$33+q34_Aux!$W$36+q34_Aux!$W$39)/(q14a!$H$33+q14a!$H$36+q14a!$H$39)</f>
        <v>1563.3199636557893</v>
      </c>
      <c r="CB21" s="483">
        <f>+(q34_Aux!$X$33+q34_Aux!$X$36+q34_Aux!$X$39)/(q14a!$I$33+q14a!$I$36+q14a!$I$39)</f>
        <v>1617.5812268691143</v>
      </c>
      <c r="CC21" s="483">
        <f>+(q34_Aux!$Y$33+q34_Aux!$Y$36+q34_Aux!$Y$39)/(q14a!$J$33+q14a!$J$36+q14a!$J$39)</f>
        <v>1627.5147730864755</v>
      </c>
      <c r="CD21" s="483">
        <f>+(q34_Aux!$Z$33+q34_Aux!$Z$36+q34_Aux!$Z$39)/(q14a!$K$33+q14a!$K$36+q14a!$K$39)</f>
        <v>1713.11333464275</v>
      </c>
      <c r="CE21" s="483">
        <f>+(q34_Aux!$AA$33+q34_Aux!$AA$36+q34_Aux!$AA$39)/(q14a!$L$33+q14a!$L$36+q14a!$L$39)</f>
        <v>1846.9071685568103</v>
      </c>
      <c r="CF21" s="483">
        <f>+(q34_Aux!$AB$33+q34_Aux!$AB$36+q34_Aux!$AB$39)/(q14a!$M$33+q14a!$M$36+q14a!$M$39)</f>
        <v>1974.5494799041089</v>
      </c>
    </row>
    <row r="22" spans="1:84">
      <c r="A22" s="456"/>
      <c r="B22" t="str">
        <f>+'q22'!$A$45</f>
        <v>P</v>
      </c>
      <c r="C22" t="str">
        <f>+'q22'!$B$45</f>
        <v>Educação</v>
      </c>
      <c r="D22" s="483">
        <f>+'q22'!$C$45</f>
        <v>1137.03</v>
      </c>
      <c r="E22" s="483">
        <f>+'q22'!$D$45</f>
        <v>1119.54</v>
      </c>
      <c r="F22" s="483">
        <f>+'q22'!$E$45</f>
        <v>1118.44</v>
      </c>
      <c r="G22" s="483">
        <f>+'q22'!$F$45</f>
        <v>1121.57</v>
      </c>
      <c r="H22" s="483">
        <f>+'q22'!$G$45</f>
        <v>1136.27</v>
      </c>
      <c r="I22" s="483">
        <f>+'q22'!$H$45</f>
        <v>1161.1400000000001</v>
      </c>
      <c r="J22" s="483">
        <f>+'q22'!$I$45</f>
        <v>1219.79</v>
      </c>
      <c r="K22" s="483">
        <f>+'q22'!$J$45</f>
        <v>1259.28</v>
      </c>
      <c r="L22" s="483">
        <f>+'q22'!$K$45</f>
        <v>1296.72</v>
      </c>
      <c r="M22" s="483">
        <f>+'q22'!$L$45</f>
        <v>1348.73</v>
      </c>
      <c r="N22" s="483">
        <f>+'q22'!$M$45</f>
        <v>1435.78</v>
      </c>
      <c r="S22" s="483"/>
      <c r="T22" s="483"/>
      <c r="U22" s="483"/>
      <c r="V22" s="483"/>
      <c r="W22" s="483"/>
      <c r="X22" s="483"/>
      <c r="Y22" s="483"/>
      <c r="Z22" s="483"/>
      <c r="AA22" s="483"/>
      <c r="AB22" s="483"/>
      <c r="AC22" s="483"/>
      <c r="BL22" s="456" t="s">
        <v>479</v>
      </c>
      <c r="BM22" s="542">
        <f t="shared" ref="BM22:BM25" si="0">INDEX($BU$3:$CF$8,MATCH($BL22,$BU$3:$BU$8,0),MATCH($BK$19,$BU$3:$CF$3,0))*-1</f>
        <v>-1203.2959203772139</v>
      </c>
      <c r="BN22" s="542">
        <f t="shared" ref="BN22:BN25" si="1">INDEX($BU$17:$CF$22,MATCH($BL22,$BU$17:$BU$22,0),MATCH($BK$19,$BU$17:$CF$17,0))*-1</f>
        <v>-1447.1910944802858</v>
      </c>
      <c r="BO22" s="542">
        <f t="shared" ref="BO22:BO25" si="2">INDEX($BU$10:$CF$15,MATCH($BL22,$BU$10:$BU$15,0),MATCH($BK$19,$BU$10:$CF$10,0))</f>
        <v>1066.3572698810815</v>
      </c>
      <c r="BP22" s="542">
        <f t="shared" ref="BP22:BP25" si="3">INDEX($BU$24:$CF$29,MATCH($BL22,$BU$24:$BU$29,0),MATCH($BK$19,$BU$24:$CF$24,0))</f>
        <v>1241.2143027982343</v>
      </c>
      <c r="BQ22" s="568">
        <f t="shared" ref="BQ22:BQ25" si="4">+ROUND(BO22/(BM22*-1)*100,1)</f>
        <v>88.6</v>
      </c>
      <c r="BR22" s="568">
        <f t="shared" ref="BR22:BR25" si="5">+ROUND(BP22/(BN22*-1)*100,1)</f>
        <v>85.8</v>
      </c>
      <c r="BS22" s="456" t="s">
        <v>476</v>
      </c>
      <c r="BU22" s="456" t="s">
        <v>12</v>
      </c>
      <c r="BV22" s="483">
        <f>+q34_Aux!$C$6</f>
        <v>1209.21</v>
      </c>
      <c r="BW22" s="483">
        <f>+q34_Aux!$D$6</f>
        <v>1203.32</v>
      </c>
      <c r="BX22" s="483">
        <f>+q34_Aux!$E$6</f>
        <v>1207.76</v>
      </c>
      <c r="BY22" s="483">
        <f>+q34_Aux!$F$6</f>
        <v>1215.1099999999999</v>
      </c>
      <c r="BZ22" s="483">
        <f>+q34_Aux!$G$6</f>
        <v>1236.8499999999999</v>
      </c>
      <c r="CA22" s="483">
        <f>+q34_Aux!$H$6</f>
        <v>1273.99</v>
      </c>
      <c r="CB22" s="483">
        <f>+q34_Aux!$I$6</f>
        <v>1312.43</v>
      </c>
      <c r="CC22" s="483">
        <f>+q34_Aux!$J$6</f>
        <v>1349.35</v>
      </c>
      <c r="CD22" s="483">
        <f>+q34_Aux!$K$6</f>
        <v>1395.7</v>
      </c>
      <c r="CE22" s="483">
        <f>+q34_Aux!$L$6</f>
        <v>1476.2</v>
      </c>
      <c r="CF22" s="483">
        <f>+q34_Aux!$M$6</f>
        <v>1577.33</v>
      </c>
    </row>
    <row r="23" spans="1:84">
      <c r="A23" s="456"/>
      <c r="B23" t="str">
        <f>+'q22'!$A$46</f>
        <v>Q</v>
      </c>
      <c r="C23" t="str">
        <f>+'q22'!$B$46</f>
        <v>Ativ. saúde humana e apoio social</v>
      </c>
      <c r="D23" s="483">
        <f>+'q22'!$C$46</f>
        <v>820.32</v>
      </c>
      <c r="E23" s="483">
        <f>+'q22'!$D$46</f>
        <v>821.86</v>
      </c>
      <c r="F23" s="483">
        <f>+'q22'!$E$46</f>
        <v>833.44</v>
      </c>
      <c r="G23" s="483">
        <f>+'q22'!$F$46</f>
        <v>851.36</v>
      </c>
      <c r="H23" s="483">
        <f>+'q22'!$G$46</f>
        <v>871</v>
      </c>
      <c r="I23" s="483">
        <f>+'q22'!$H$46</f>
        <v>891.94</v>
      </c>
      <c r="J23" s="483">
        <f>+'q22'!$I$46</f>
        <v>923.59</v>
      </c>
      <c r="K23" s="483">
        <f>+'q22'!$J$46</f>
        <v>942.71</v>
      </c>
      <c r="L23" s="483">
        <f>+'q22'!$K$46</f>
        <v>974.58</v>
      </c>
      <c r="M23" s="483">
        <f>+'q22'!$L$46</f>
        <v>1004.81</v>
      </c>
      <c r="N23" s="483">
        <f>+'q22'!$M$46</f>
        <v>1055.5</v>
      </c>
      <c r="S23" s="483"/>
      <c r="T23" s="483"/>
      <c r="U23" s="483"/>
      <c r="V23" s="483"/>
      <c r="W23" s="483"/>
      <c r="X23" s="483"/>
      <c r="Y23" s="483"/>
      <c r="Z23" s="483"/>
      <c r="AA23" s="483"/>
      <c r="AB23" s="483"/>
      <c r="AC23" s="483"/>
      <c r="BL23" s="456" t="s">
        <v>480</v>
      </c>
      <c r="BM23" s="542">
        <f t="shared" si="0"/>
        <v>-1420.8742406930719</v>
      </c>
      <c r="BN23" s="542">
        <f t="shared" si="1"/>
        <v>-1750.9927369332383</v>
      </c>
      <c r="BO23" s="542">
        <f t="shared" si="2"/>
        <v>1212.2071847863967</v>
      </c>
      <c r="BP23" s="542">
        <f t="shared" si="3"/>
        <v>1432.6643783216682</v>
      </c>
      <c r="BQ23" s="568">
        <f t="shared" si="4"/>
        <v>85.3</v>
      </c>
      <c r="BR23" s="568">
        <f t="shared" si="5"/>
        <v>81.8</v>
      </c>
      <c r="BS23" s="456" t="s">
        <v>477</v>
      </c>
    </row>
    <row r="24" spans="1:84">
      <c r="A24" s="456"/>
      <c r="B24" t="str">
        <f>+'q22'!$A$47</f>
        <v>R</v>
      </c>
      <c r="C24" t="str">
        <f>+'q22'!$B$47</f>
        <v>Ativ. artíst., espet., desp. e recr.</v>
      </c>
      <c r="D24" s="483">
        <f>+'q22'!$C$47</f>
        <v>1457.95</v>
      </c>
      <c r="E24" s="483">
        <f>+'q22'!$D$47</f>
        <v>1383.37</v>
      </c>
      <c r="F24" s="483">
        <f>+'q22'!$E$47</f>
        <v>1514.4</v>
      </c>
      <c r="G24" s="483">
        <f>+'q22'!$F$47</f>
        <v>1537.25</v>
      </c>
      <c r="H24" s="483">
        <f>+'q22'!$G$47</f>
        <v>1612.9</v>
      </c>
      <c r="I24" s="483">
        <f>+'q22'!$H$47</f>
        <v>1607.95</v>
      </c>
      <c r="J24" s="483">
        <f>+'q22'!$I$47</f>
        <v>1645.66</v>
      </c>
      <c r="K24" s="483">
        <f>+'q22'!$J$47</f>
        <v>1838.97</v>
      </c>
      <c r="L24" s="483">
        <f>+'q22'!$K$47</f>
        <v>1780.1</v>
      </c>
      <c r="M24" s="483">
        <f>+'q22'!$L$47</f>
        <v>1789.86</v>
      </c>
      <c r="N24" s="483">
        <f>+'q22'!$M$47</f>
        <v>1903.38</v>
      </c>
      <c r="S24" s="483"/>
      <c r="T24" s="483"/>
      <c r="U24" s="483"/>
      <c r="V24" s="483"/>
      <c r="W24" s="483"/>
      <c r="X24" s="483"/>
      <c r="Y24" s="483"/>
      <c r="Z24" s="483"/>
      <c r="AA24" s="483"/>
      <c r="AB24" s="483"/>
      <c r="AC24" s="483"/>
      <c r="BL24" s="456" t="s">
        <v>238</v>
      </c>
      <c r="BM24" s="542">
        <f t="shared" si="0"/>
        <v>-1560.0132030190657</v>
      </c>
      <c r="BN24" s="542">
        <f t="shared" si="1"/>
        <v>-1974.5494799041089</v>
      </c>
      <c r="BO24" s="542">
        <f t="shared" si="2"/>
        <v>1331.3685229934149</v>
      </c>
      <c r="BP24" s="542">
        <f t="shared" si="3"/>
        <v>1619.94035484345</v>
      </c>
      <c r="BQ24" s="568">
        <f t="shared" si="4"/>
        <v>85.3</v>
      </c>
      <c r="BR24" s="568">
        <f t="shared" si="5"/>
        <v>82</v>
      </c>
      <c r="BS24" s="456" t="s">
        <v>230</v>
      </c>
      <c r="BT24" s="575" t="s">
        <v>291</v>
      </c>
      <c r="BV24" s="457">
        <f>+'q34'!$C$4</f>
        <v>2013</v>
      </c>
      <c r="BW24" s="457">
        <f>+'q34'!$D$4</f>
        <v>2014</v>
      </c>
      <c r="BX24" s="457">
        <f>+'q34'!$E$4</f>
        <v>2015</v>
      </c>
      <c r="BY24" s="457">
        <f>+'q34'!$F$4</f>
        <v>2016</v>
      </c>
      <c r="BZ24" s="457">
        <f>+'q34'!$G$4</f>
        <v>2017</v>
      </c>
      <c r="CA24" s="457">
        <f>+'q34'!$H$4</f>
        <v>2018</v>
      </c>
      <c r="CB24" s="457">
        <f>+'q34'!$I$4</f>
        <v>2019</v>
      </c>
      <c r="CC24" s="457">
        <f>+'q34'!$J$4</f>
        <v>2020</v>
      </c>
      <c r="CD24" s="457">
        <f>+'q34'!$K$4</f>
        <v>2021</v>
      </c>
      <c r="CE24" s="457">
        <f>+'q34'!$L$4</f>
        <v>2022</v>
      </c>
      <c r="CF24" s="457">
        <f>+'q34'!$M$4</f>
        <v>2023</v>
      </c>
    </row>
    <row r="25" spans="1:84">
      <c r="A25" s="456"/>
      <c r="B25" t="str">
        <f>+'q22'!$A$48</f>
        <v>S</v>
      </c>
      <c r="C25" t="str">
        <f>+'q22'!$B$48</f>
        <v>Outras atividades de serviços</v>
      </c>
      <c r="D25" s="483">
        <f>+'q22'!$C$48</f>
        <v>843.59</v>
      </c>
      <c r="E25" s="483">
        <f>+'q22'!$D$48</f>
        <v>847.6</v>
      </c>
      <c r="F25" s="483">
        <f>+'q22'!$E$48</f>
        <v>847.05</v>
      </c>
      <c r="G25" s="483">
        <f>+'q22'!$F$48</f>
        <v>857.44</v>
      </c>
      <c r="H25" s="483">
        <f>+'q22'!$G$48</f>
        <v>877.34</v>
      </c>
      <c r="I25" s="483">
        <f>+'q22'!$H$48</f>
        <v>901.62</v>
      </c>
      <c r="J25" s="483">
        <f>+'q22'!$I$48</f>
        <v>932.37</v>
      </c>
      <c r="K25" s="483">
        <f>+'q22'!$J$48</f>
        <v>987.51</v>
      </c>
      <c r="L25" s="483">
        <f>+'q22'!$K$48</f>
        <v>1012.59</v>
      </c>
      <c r="M25" s="483">
        <f>+'q22'!$L$48</f>
        <v>1053.43</v>
      </c>
      <c r="N25" s="483">
        <f>+'q22'!$M$48</f>
        <v>1105.46</v>
      </c>
      <c r="S25" s="483"/>
      <c r="T25" s="483"/>
      <c r="U25" s="483"/>
      <c r="V25" s="483"/>
      <c r="W25" s="483"/>
      <c r="X25" s="483"/>
      <c r="Y25" s="483"/>
      <c r="Z25" s="483"/>
      <c r="AA25" s="483"/>
      <c r="AB25" s="483"/>
      <c r="AC25" s="483"/>
      <c r="BL25" s="532" t="s">
        <v>12</v>
      </c>
      <c r="BM25" s="542">
        <f t="shared" si="0"/>
        <v>-1294.03</v>
      </c>
      <c r="BN25" s="542">
        <f t="shared" si="1"/>
        <v>-1577.33</v>
      </c>
      <c r="BO25" s="542">
        <f t="shared" si="2"/>
        <v>1129.6400000000001</v>
      </c>
      <c r="BP25" s="542">
        <f t="shared" si="3"/>
        <v>1332.02</v>
      </c>
      <c r="BQ25" s="568">
        <f t="shared" si="4"/>
        <v>87.3</v>
      </c>
      <c r="BR25" s="568">
        <f t="shared" si="5"/>
        <v>84.4</v>
      </c>
      <c r="BS25" s="456" t="str">
        <f t="shared" ref="BS25" si="6">+BL25</f>
        <v>Total</v>
      </c>
      <c r="BT25" s="575" t="s">
        <v>117</v>
      </c>
      <c r="BU25" s="456" t="s">
        <v>229</v>
      </c>
      <c r="BV25" s="483">
        <f>+(q34_Aux!$R$10+q34_Aux!$R$13)/(q14a!$C$10+q14a!$C$13)</f>
        <v>810.55750125823647</v>
      </c>
      <c r="BW25" s="483">
        <f>+(q34_Aux!$S$10+q34_Aux!$S$13)/(q14a!$D$10+q14a!$D$13)</f>
        <v>818.89834914086191</v>
      </c>
      <c r="BX25" s="483">
        <f>+(q34_Aux!$T$10+q34_Aux!$T$13)/(q14a!$E$10+q14a!$E$13)</f>
        <v>815.96599376102404</v>
      </c>
      <c r="BY25" s="483">
        <f>+(q34_Aux!$U$10+q34_Aux!$U$13)/(q14a!$F$10+q14a!$F$13)</f>
        <v>831.02606766931194</v>
      </c>
      <c r="BZ25" s="483">
        <f>+(q34_Aux!$V$10+q34_Aux!$V$13)/(q14a!$G$10+q14a!$G$13)</f>
        <v>856.13305298526939</v>
      </c>
      <c r="CA25" s="483">
        <f>+(q34_Aux!$W$10+q34_Aux!$W$13)/(q14a!$H$10+q14a!$H$13)</f>
        <v>883.98112956798491</v>
      </c>
      <c r="CB25" s="483">
        <f>+(q34_Aux!$X$10+q34_Aux!$X$13)/(q14a!$I$10+q14a!$I$13)</f>
        <v>915.70785286461251</v>
      </c>
      <c r="CC25" s="483">
        <f>+(q34_Aux!$Y$10+q34_Aux!$Y$13)/(q14a!$J$10+q14a!$J$13)</f>
        <v>951.10125134224381</v>
      </c>
      <c r="CD25" s="483">
        <f>+(q34_Aux!$Z$10+q34_Aux!$Z$13)/(q14a!$K$10+q14a!$K$13)</f>
        <v>986.80973750881299</v>
      </c>
      <c r="CE25" s="483">
        <f>+(q34_Aux!$AA$10+q34_Aux!$AA$13)/(q14a!$L$10+q14a!$L$13)</f>
        <v>1035.1367627028319</v>
      </c>
      <c r="CF25" s="483">
        <f>+(q34_Aux!$AB$10+q34_Aux!$AB$13)/(q14a!$M$10+q14a!$M$13)</f>
        <v>1117.7872750956135</v>
      </c>
    </row>
    <row r="26" spans="1:84">
      <c r="A26" s="456"/>
      <c r="B26" t="str">
        <f>+'q22'!$A$49</f>
        <v>U</v>
      </c>
      <c r="C26" t="str">
        <f>+'q22'!$B$49</f>
        <v>Ativ. org. int. e o. inst. extra-territ.</v>
      </c>
      <c r="D26" s="483">
        <f>+'q22'!$C$49</f>
        <v>1810.36</v>
      </c>
      <c r="E26" s="483">
        <f>+'q22'!$D$49</f>
        <v>1772.71</v>
      </c>
      <c r="F26" s="483">
        <f>+'q22'!$E$49</f>
        <v>1910.54</v>
      </c>
      <c r="G26" s="483">
        <f>+'q22'!$F$49</f>
        <v>2028.96</v>
      </c>
      <c r="H26" s="483">
        <f>+'q22'!$G$49</f>
        <v>1986.43</v>
      </c>
      <c r="I26" s="483">
        <f>+'q22'!$H$49</f>
        <v>2136.13</v>
      </c>
      <c r="J26" s="483">
        <f>+'q22'!$I$49</f>
        <v>2160.36</v>
      </c>
      <c r="K26" s="483">
        <f>+'q22'!$J$49</f>
        <v>1978.98</v>
      </c>
      <c r="L26" s="483">
        <f>+'q22'!$K$49</f>
        <v>1886.51</v>
      </c>
      <c r="M26" s="483">
        <f>+'q22'!$L$49</f>
        <v>3156.84</v>
      </c>
      <c r="N26" s="483">
        <f>+'q22'!$M$49</f>
        <v>3347.61</v>
      </c>
      <c r="S26" s="483"/>
      <c r="T26" s="483"/>
      <c r="U26" s="483"/>
      <c r="V26" s="483"/>
      <c r="W26" s="483"/>
      <c r="X26" s="483"/>
      <c r="Y26" s="483"/>
      <c r="Z26" s="483"/>
      <c r="AA26" s="483"/>
      <c r="AB26" s="483"/>
      <c r="AC26" s="483"/>
      <c r="BM26" s="542">
        <f>+BM25*-1</f>
        <v>1294.03</v>
      </c>
      <c r="BN26" s="542">
        <f>+BN25*-1</f>
        <v>1577.33</v>
      </c>
      <c r="BQ26" s="568"/>
      <c r="BU26" s="456" t="s">
        <v>479</v>
      </c>
      <c r="BV26" s="483">
        <f>+(q34_Aux!$R$16+q34_Aux!$R$19)/(q14a!$C$16+q14a!$C$19)</f>
        <v>913.85890096649428</v>
      </c>
      <c r="BW26" s="483">
        <f>+(q34_Aux!$S$16+q34_Aux!$S$19)/(q14a!$D$16+q14a!$D$19)</f>
        <v>916.55342485595645</v>
      </c>
      <c r="BX26" s="483">
        <f>+(q34_Aux!$T$16+q34_Aux!$T$19)/(q14a!$E$16+q14a!$E$19)</f>
        <v>919.00567792944753</v>
      </c>
      <c r="BY26" s="483">
        <f>+(q34_Aux!$U$16+q34_Aux!$U$19)/(q14a!$F$16+q14a!$F$19)</f>
        <v>930.69843005066286</v>
      </c>
      <c r="BZ26" s="483">
        <f>+(q34_Aux!$V$16+q34_Aux!$V$19)/(q14a!$G$16+q14a!$G$19)</f>
        <v>956.20481573009556</v>
      </c>
      <c r="CA26" s="483">
        <f>+(q34_Aux!$W$16+q34_Aux!$W$19)/(q14a!$H$16+q14a!$H$19)</f>
        <v>988.11371442354073</v>
      </c>
      <c r="CB26" s="483">
        <f>+(q34_Aux!$X$16+q34_Aux!$X$19)/(q14a!$I$16+q14a!$I$19)</f>
        <v>1021.2150908104921</v>
      </c>
      <c r="CC26" s="483">
        <f>+(q34_Aux!$Y$16+q34_Aux!$Y$19)/(q14a!$J$16+q14a!$J$19)</f>
        <v>1063.4765776952925</v>
      </c>
      <c r="CD26" s="483">
        <f>+(q34_Aux!$Z$16+q34_Aux!$Z$19)/(q14a!$K$16+q14a!$K$19)</f>
        <v>1097.5006561453133</v>
      </c>
      <c r="CE26" s="483">
        <f>+(q34_Aux!$AA$16+q34_Aux!$AA$19)/(q14a!$L$16+q14a!$L$19)</f>
        <v>1150.6852070265393</v>
      </c>
      <c r="CF26" s="483">
        <f>+(q34_Aux!$AB$16+q34_Aux!$AB$19)/(q14a!$M$16+q14a!$M$19)</f>
        <v>1241.2143027982343</v>
      </c>
    </row>
    <row r="27" spans="1:84">
      <c r="A27" s="456"/>
      <c r="B27" s="486" t="s">
        <v>229</v>
      </c>
      <c r="C27" s="456"/>
      <c r="D27" s="483">
        <f>+(q23_Aux!$R$8+q23_Aux!$R$11)/(q14a!$C$8+q14a!$C$11)</f>
        <v>740.80722276499034</v>
      </c>
      <c r="E27" s="483">
        <f>+(q23_Aux!$S$8+q23_Aux!$S$11)/(q14a!$D$8+q14a!$D$11)</f>
        <v>743.19113619248822</v>
      </c>
      <c r="F27" s="483">
        <f>+(q23_Aux!$T$8+q23_Aux!$T$11)/(q14a!$E$8+q14a!$E$11)</f>
        <v>741.71968305936059</v>
      </c>
      <c r="G27" s="483">
        <f>+(q23_Aux!$U$8+q23_Aux!$U$11)/(q14a!$F$8+q14a!$F$11)</f>
        <v>755.98808308311857</v>
      </c>
      <c r="H27" s="483">
        <f>+(q23_Aux!$V$8+q23_Aux!$V$11)/(q14a!$G$8+q14a!$G$11)</f>
        <v>774.551634099073</v>
      </c>
      <c r="I27" s="483">
        <f>+(q23_Aux!$W$8+q23_Aux!$W$11)/(q14a!$H$8+q14a!$H$11)</f>
        <v>798.39258672727499</v>
      </c>
      <c r="J27" s="483">
        <f>+(q23_Aux!$X$8+q23_Aux!$X$11)/(q14a!$I$8+q14a!$I$11)</f>
        <v>825.36077956196084</v>
      </c>
      <c r="K27" s="483">
        <f>+(q23_Aux!$Y$8+q23_Aux!$Y$11)/(q14a!$J$8+q14a!$J$11)</f>
        <v>862.12957930096923</v>
      </c>
      <c r="L27" s="483">
        <f>+(q23_Aux!$Z$8+q23_Aux!$Z$11)/(q14a!$K$8+q14a!$K$11)</f>
        <v>897.65930575521782</v>
      </c>
      <c r="M27" s="483">
        <f>+(q23_Aux!$AA$8+q23_Aux!$AA$11)/(q14a!$L$8+q14a!$L$11)</f>
        <v>944.24536654484882</v>
      </c>
      <c r="N27" s="483">
        <f>+(q23_Aux!$AB$8+q23_Aux!$AB$11)/(q14a!$M$8+q14a!$M$11)</f>
        <v>1009.8670580294119</v>
      </c>
      <c r="BT27" s="573"/>
      <c r="BU27" s="456" t="s">
        <v>480</v>
      </c>
      <c r="BV27" s="483">
        <f>+(q34_Aux!$R$22+q34_Aux!$R$25+q34_Aux!$R$28+q34_Aux!$R$31)/(q14a!$C$22+q14a!$C$25+q14a!$C$28+q14a!$C$31)</f>
        <v>1058.0747294887778</v>
      </c>
      <c r="BW27" s="483">
        <f>+(q34_Aux!$S$22+q34_Aux!$S$25+q34_Aux!$S$28+q34_Aux!$S$31)/(q14a!$D$22+q14a!$D$25+q14a!$D$28+q14a!$D$31)</f>
        <v>1060.9640000870224</v>
      </c>
      <c r="BX27" s="483">
        <f>+(q34_Aux!$T$22+q34_Aux!$T$25+q34_Aux!$T$28+q34_Aux!$T$31)/(q14a!$E$22+q14a!$E$25+q14a!$E$28+q14a!$E$31)</f>
        <v>1068.3102402598013</v>
      </c>
      <c r="BY27" s="483">
        <f>+(q34_Aux!$U$22+q34_Aux!$U$25+q34_Aux!$U$28+q34_Aux!$U$31)/(q14a!$F$22+q14a!$F$25+q14a!$F$28+q14a!$F$31)</f>
        <v>1076.5200345737258</v>
      </c>
      <c r="BZ27" s="483">
        <f>+(q34_Aux!$V$22+q34_Aux!$V$25+q34_Aux!$V$28+q34_Aux!$V$31)/(q14a!$G$22+q14a!$G$25+q14a!$G$28+q14a!$G$31)</f>
        <v>1094.4518136748784</v>
      </c>
      <c r="CA27" s="483">
        <f>+(q34_Aux!$W$22+q34_Aux!$W$25+q34_Aux!$W$28+q34_Aux!$W$31)/(q14a!$H$22+q14a!$H$25+q14a!$H$28+q14a!$H$31)</f>
        <v>1134.1563203586782</v>
      </c>
      <c r="CB27" s="483">
        <f>+(q34_Aux!$X$22+q34_Aux!$X$25+q34_Aux!$X$28+q34_Aux!$X$31)/(q14a!$I$22+q14a!$I$25+q14a!$I$28+q14a!$I$31)</f>
        <v>1171.3118174797592</v>
      </c>
      <c r="CC27" s="483">
        <f>+(q34_Aux!$Y$22+q34_Aux!$Y$25+q34_Aux!$Y$28+q34_Aux!$Y$31)/(q14a!$J$22+q14a!$J$25+q14a!$J$28+q14a!$J$31)</f>
        <v>1225.7921003026072</v>
      </c>
      <c r="CD27" s="483">
        <f>+(q34_Aux!$Z$22+q34_Aux!$Z$25+q34_Aux!$Z$28+q34_Aux!$Z$31)/(q14a!$K$22+q14a!$K$25+q14a!$K$28+q14a!$K$31)</f>
        <v>1267.3770578546428</v>
      </c>
      <c r="CE27" s="483">
        <f>+(q34_Aux!$AA$22+q34_Aux!$AA$25+q34_Aux!$AA$28+q34_Aux!$AA$31)/(q14a!$L$22+q14a!$L$25+q14a!$L$28+q14a!$L$31)</f>
        <v>1337.0578898006145</v>
      </c>
      <c r="CF27" s="483">
        <f>+(q34_Aux!$AB$22+q34_Aux!$AB$25+q34_Aux!$AB$28+q34_Aux!$AB$31)/(q14a!$M$22+q14a!$M$25+q14a!$M$28+q14a!$M$31)</f>
        <v>1432.6643783216682</v>
      </c>
    </row>
    <row r="28" spans="1:84">
      <c r="A28" s="456"/>
      <c r="B28" s="486" t="s">
        <v>479</v>
      </c>
      <c r="C28" s="456"/>
      <c r="D28" s="483">
        <f>+(q23_Aux!$R$14+q23_Aux!$R$17)/(q14a!$C$14+q14a!$C$17)</f>
        <v>880.69786368326982</v>
      </c>
      <c r="E28" s="483">
        <f>+(q23_Aux!$S$14+q23_Aux!$S$17)/(q14a!$D$14+q14a!$D$17)</f>
        <v>875.52959350590538</v>
      </c>
      <c r="F28" s="483">
        <f>+(q23_Aux!$T$14+q23_Aux!$T$17)/(q14a!$E$14+q14a!$E$17)</f>
        <v>876.0788141175874</v>
      </c>
      <c r="G28" s="483">
        <f>+(q23_Aux!$U$14+q23_Aux!$U$17)/(q14a!$F$14+q14a!$F$17)</f>
        <v>882.80315502771225</v>
      </c>
      <c r="H28" s="483">
        <f>+(q23_Aux!$V$14+q23_Aux!$V$17)/(q14a!$G$14+q14a!$G$17)</f>
        <v>896.47188013348352</v>
      </c>
      <c r="I28" s="483">
        <f>+(q23_Aux!$W$14+q23_Aux!$W$17)/(q14a!$H$14+q14a!$H$17)</f>
        <v>919.58377816170105</v>
      </c>
      <c r="J28" s="483">
        <f>+(q23_Aux!$X$14+q23_Aux!$X$17)/(q14a!$I$14+q14a!$I$17)</f>
        <v>948.35723341606092</v>
      </c>
      <c r="K28" s="483">
        <f>+(q23_Aux!$Y$14+q23_Aux!$Y$17)/(q14a!$J$14+q14a!$J$17)</f>
        <v>989.62583120930185</v>
      </c>
      <c r="L28" s="483">
        <f>+(q23_Aux!$Z$14+q23_Aux!$Z$17)/(q14a!$K$14+q14a!$K$17)</f>
        <v>1024.3179987335309</v>
      </c>
      <c r="M28" s="483">
        <f>+(q23_Aux!$AA$14+q23_Aux!$AA$17)/(q14a!$L$14+q14a!$L$17)</f>
        <v>1070.1140484709949</v>
      </c>
      <c r="N28" s="483">
        <f>+(q23_Aux!$AB$14+q23_Aux!$AB$17)/(q14a!$M$14+q14a!$M$17)</f>
        <v>1142.8913276103731</v>
      </c>
      <c r="BT28" s="456"/>
      <c r="BU28" s="456" t="s">
        <v>238</v>
      </c>
      <c r="BV28" s="483">
        <f>+(q34_Aux!$R$34+q34_Aux!$R$37+q34_Aux!$R$40)/(q14a!$C$34+q14a!$C$37+q14a!$C$40)</f>
        <v>1177.4402821529495</v>
      </c>
      <c r="BW28" s="483">
        <f>+(q34_Aux!$S$34+q34_Aux!$S$37+q34_Aux!$S$40)/(q14a!$D$34+q14a!$D$37+q14a!$D$40)</f>
        <v>1184.1826191743273</v>
      </c>
      <c r="BX28" s="483">
        <f>+(q34_Aux!$T$34+q34_Aux!$T$37+q34_Aux!$T$40)/(q14a!$E$34+q14a!$E$37+q14a!$E$40)</f>
        <v>1184.968254262566</v>
      </c>
      <c r="BY28" s="483">
        <f>+(q34_Aux!$U$34+q34_Aux!$U$37+q34_Aux!$U$40)/(q14a!$F$34+q14a!$F$37+q14a!$F$40)</f>
        <v>1207.1743673810929</v>
      </c>
      <c r="BZ28" s="483">
        <f>+(q34_Aux!$V$34+q34_Aux!$V$37+q34_Aux!$V$40)/(q14a!$G$34+q14a!$G$37+q14a!$G$40)</f>
        <v>1247.3619680402703</v>
      </c>
      <c r="CA28" s="483">
        <f>+(q34_Aux!$W$34+q34_Aux!$W$37+q34_Aux!$W$40)/(q14a!$H$34+q14a!$H$37+q14a!$H$40)</f>
        <v>1285.5951437059673</v>
      </c>
      <c r="CB28" s="483">
        <f>+(q34_Aux!$X$34+q34_Aux!$X$37+q34_Aux!$X$40)/(q14a!$I$34+q14a!$I$37+q14a!$I$40)</f>
        <v>1330.2533015748031</v>
      </c>
      <c r="CC28" s="483">
        <f>+(q34_Aux!$Y$34+q34_Aux!$Y$37+q34_Aux!$Y$40)/(q14a!$J$34+q14a!$J$37+q14a!$J$40)</f>
        <v>1358.8037366691467</v>
      </c>
      <c r="CD28" s="483">
        <f>+(q34_Aux!$Z$34+q34_Aux!$Z$37+q34_Aux!$Z$40)/(q14a!$K$34+q14a!$K$37+q14a!$K$40)</f>
        <v>1420.0382990424262</v>
      </c>
      <c r="CE28" s="483">
        <f>+(q34_Aux!$AA$34+q34_Aux!$AA$37+q34_Aux!$AA$40)/(q14a!$L$34+q14a!$L$37+q14a!$L$40)</f>
        <v>1507.7280791773683</v>
      </c>
      <c r="CF28" s="483">
        <f>+(q34_Aux!$AB$34+q34_Aux!$AB$37+q34_Aux!$AB$40)/(q14a!$M$34+q14a!$M$37+q14a!$M$40)</f>
        <v>1619.94035484345</v>
      </c>
    </row>
    <row r="29" spans="1:84">
      <c r="A29" s="456"/>
      <c r="B29" s="486" t="s">
        <v>480</v>
      </c>
      <c r="C29" s="456"/>
      <c r="D29" s="483">
        <f>+(q23_Aux!$R$20+q23_Aux!$R$23+q23_Aux!$R$26+q23_Aux!$R$29)/(q14a!$C$20+q14a!$C$23+q14a!$C$26+q14a!$C$29)</f>
        <v>1042.7241302887844</v>
      </c>
      <c r="E29" s="483">
        <f>+(q23_Aux!$S$20+q23_Aux!$S$23+q23_Aux!$S$26+q23_Aux!$S$29)/(q14a!$D$20+q14a!$D$23+q14a!$D$26+q14a!$D$29)</f>
        <v>1033.4461606501941</v>
      </c>
      <c r="F29" s="483">
        <f>+(q23_Aux!$T$20+q23_Aux!$T$23+q23_Aux!$T$26+q23_Aux!$T$29)/(q14a!$E$20+q14a!$E$23+q14a!$E$26+q14a!$E$29)</f>
        <v>1043.9959921222624</v>
      </c>
      <c r="G29" s="483">
        <f>+(q23_Aux!$U$20+q23_Aux!$U$23+q23_Aux!$U$26+q23_Aux!$U$29)/(q14a!$F$20+q14a!$F$23+q14a!$F$26+q14a!$F$29)</f>
        <v>1048.902928961483</v>
      </c>
      <c r="H29" s="483">
        <f>+(q23_Aux!$V$20+q23_Aux!$V$23+q23_Aux!$V$26+q23_Aux!$V$29)/(q14a!$G$20+q14a!$G$23+q14a!$G$26+q14a!$G$29)</f>
        <v>1063.220773497256</v>
      </c>
      <c r="I29" s="483">
        <f>+(q23_Aux!$W$20+q23_Aux!$W$23+q23_Aux!$W$26+q23_Aux!$W$29)/(q14a!$H$20+q14a!$H$23+q14a!$H$26+q14a!$H$29)</f>
        <v>1090.6268046005355</v>
      </c>
      <c r="J29" s="483">
        <f>+(q23_Aux!$X$20+q23_Aux!$X$23+q23_Aux!$X$26+q23_Aux!$X$29)/(q14a!$I$20+q14a!$I$23+q14a!$I$26+q14a!$I$29)</f>
        <v>1118.9973528196042</v>
      </c>
      <c r="K29" s="483">
        <f>+(q23_Aux!$Y$20+q23_Aux!$Y$23+q23_Aux!$Y$26+q23_Aux!$Y$29)/(q14a!$J$20+q14a!$J$23+q14a!$J$26+q14a!$J$29)</f>
        <v>1164.7330778705377</v>
      </c>
      <c r="L29" s="483">
        <f>+(q23_Aux!$Z$20+q23_Aux!$Z$23+q23_Aux!$Z$26+q23_Aux!$Z$29)/(q14a!$K$20+q14a!$K$23+q14a!$K$26+q14a!$K$29)</f>
        <v>1194.2590116124848</v>
      </c>
      <c r="M29" s="483">
        <f>+(q23_Aux!$AA$20+q23_Aux!$AA$23+q23_Aux!$AA$26+q23_Aux!$AA$29)/(q14a!$L$20+q14a!$L$23+q14a!$L$26+q14a!$L$29)</f>
        <v>1252.173361437704</v>
      </c>
      <c r="N29" s="483">
        <f>+(q23_Aux!$AB$20+q23_Aux!$AB$23+q23_Aux!$AB$26+q23_Aux!$AB$29)/(q14a!$M$20+q14a!$M$23+q14a!$M$26+q14a!$M$29)</f>
        <v>1328.2894579954093</v>
      </c>
      <c r="BU29" s="456" t="s">
        <v>12</v>
      </c>
      <c r="BV29" s="483">
        <f>+q34_Aux!$C$7</f>
        <v>958.12</v>
      </c>
      <c r="BW29" s="483">
        <f>+q34_Aux!$D$7</f>
        <v>963.12</v>
      </c>
      <c r="BX29" s="483">
        <f>+q34_Aux!$E$7</f>
        <v>966.85</v>
      </c>
      <c r="BY29" s="483">
        <f>+q34_Aux!$F$7</f>
        <v>982.49</v>
      </c>
      <c r="BZ29" s="483">
        <f>+q34_Aux!$G$7</f>
        <v>1011.02</v>
      </c>
      <c r="CA29" s="483">
        <f>+q34_Aux!$H$7</f>
        <v>1046.5899999999999</v>
      </c>
      <c r="CB29" s="483">
        <f>+q34_Aux!$I$7</f>
        <v>1086.97</v>
      </c>
      <c r="CC29" s="483">
        <f>+q34_Aux!$J$7</f>
        <v>1130.8699999999999</v>
      </c>
      <c r="CD29" s="483">
        <f>+q34_Aux!$K$7</f>
        <v>1172.08</v>
      </c>
      <c r="CE29" s="483">
        <f>+q34_Aux!$L$7</f>
        <v>1237.52</v>
      </c>
      <c r="CF29" s="483">
        <f>+q34_Aux!$M$7</f>
        <v>1332.02</v>
      </c>
    </row>
    <row r="30" spans="1:84">
      <c r="A30" s="456"/>
      <c r="B30" s="486" t="s">
        <v>238</v>
      </c>
      <c r="C30" s="456"/>
      <c r="D30" s="483">
        <f>+(q23_Aux!$R$32+q23_Aux!$R$35+q23_Aux!$R$38)/(q14a!$C$32+q14a!$C$35+q14a!$C$38)</f>
        <v>1086.3871563092234</v>
      </c>
      <c r="E30" s="483">
        <f>+(q23_Aux!$S$32+q23_Aux!$S$35+q23_Aux!$S$38)/(q14a!$D$32+q14a!$D$35+q14a!$D$38)</f>
        <v>1085.2266428809949</v>
      </c>
      <c r="F30" s="483">
        <f>+(q23_Aux!$T$32+q23_Aux!$T$35+q23_Aux!$T$38)/(q14a!$E$32+q14a!$E$35+q14a!$E$38)</f>
        <v>1088.7344932691256</v>
      </c>
      <c r="G30" s="483">
        <f>+(q23_Aux!$U$32+q23_Aux!$U$35+q23_Aux!$U$38)/(q14a!$F$32+q14a!$F$35+q14a!$F$38)</f>
        <v>1103.365762629365</v>
      </c>
      <c r="H30" s="483">
        <f>+(q23_Aux!$V$32+q23_Aux!$V$35+q23_Aux!$V$38)/(q14a!$G$32+q14a!$G$35+q14a!$G$38)</f>
        <v>1117.6135336535251</v>
      </c>
      <c r="I30" s="483">
        <f>+(q23_Aux!$W$32+q23_Aux!$W$35+q23_Aux!$W$38)/(q14a!$H$32+q14a!$H$35+q14a!$H$38)</f>
        <v>1146.9307016617306</v>
      </c>
      <c r="J30" s="483">
        <f>+(q23_Aux!$X$32+q23_Aux!$X$35+q23_Aux!$X$38)/(q14a!$I$32+q14a!$I$35+q14a!$I$38)</f>
        <v>1193.809108737154</v>
      </c>
      <c r="K30" s="483">
        <f>+(q23_Aux!$Y$32+q23_Aux!$Y$35+q23_Aux!$Y$38)/(q14a!$J$32+q14a!$J$35+q14a!$J$38)</f>
        <v>1207.2441633227234</v>
      </c>
      <c r="L30" s="483">
        <f>+(q23_Aux!$Z$32+q23_Aux!$Z$35+q23_Aux!$Z$38)/(q14a!$K$32+q14a!$K$35+q14a!$K$38)</f>
        <v>1276.5676072351296</v>
      </c>
      <c r="M30" s="483">
        <f>+(q23_Aux!$AA$32+q23_Aux!$AA$35+q23_Aux!$AA$38)/(q14a!$L$32+q14a!$L$35+q14a!$L$38)</f>
        <v>1366.1708059495056</v>
      </c>
      <c r="N30" s="483">
        <f>+(q23_Aux!$AB$32+q23_Aux!$AB$35+q23_Aux!$AB$38)/(q14a!$M$32+q14a!$M$35+q14a!$M$38)</f>
        <v>1457.296790282385</v>
      </c>
      <c r="BV30" s="457"/>
      <c r="BW30" s="457"/>
      <c r="BX30" s="457"/>
      <c r="BY30" s="457"/>
      <c r="BZ30" s="457"/>
      <c r="CA30" s="457"/>
      <c r="CB30" s="457"/>
      <c r="CC30" s="457"/>
      <c r="CD30" s="457"/>
      <c r="CE30" s="457"/>
      <c r="CF30" s="457"/>
    </row>
    <row r="31" spans="1:84">
      <c r="A31" s="456" t="s">
        <v>278</v>
      </c>
      <c r="B31" t="str">
        <f>+'q33'!$A$6</f>
        <v>A</v>
      </c>
      <c r="C31" t="str">
        <f>+'q33'!$B$6</f>
        <v>Agr., pr. animal, caça, flor. pesca</v>
      </c>
      <c r="D31" s="483">
        <f>+'q33'!$C$6</f>
        <v>789.23</v>
      </c>
      <c r="E31" s="483">
        <f>+'q33'!$D$6</f>
        <v>794.63</v>
      </c>
      <c r="F31" s="483">
        <f>+'q33'!$E$6</f>
        <v>802.68</v>
      </c>
      <c r="G31" s="483">
        <f>+'q33'!$F$6</f>
        <v>832.8</v>
      </c>
      <c r="H31" s="483">
        <f>+'q33'!$G$6</f>
        <v>850.4</v>
      </c>
      <c r="I31" s="483">
        <f>+'q33'!$H$6</f>
        <v>896.43</v>
      </c>
      <c r="J31" s="483">
        <f>+'q33'!$I$6</f>
        <v>945.56</v>
      </c>
      <c r="K31" s="483">
        <f>+'q33'!$J$6</f>
        <v>949.69</v>
      </c>
      <c r="L31" s="483">
        <f>+'q33'!$K$6</f>
        <v>1011.43</v>
      </c>
      <c r="M31" s="483">
        <f>+'q33'!$L$6</f>
        <v>1058.3699999999999</v>
      </c>
      <c r="N31" s="483">
        <f>+'q33'!$M$6</f>
        <v>1125.73</v>
      </c>
      <c r="R31" s="456"/>
      <c r="S31" s="483"/>
      <c r="T31" s="483"/>
      <c r="U31" s="483"/>
      <c r="V31" s="483"/>
      <c r="W31" s="483"/>
      <c r="X31" s="483"/>
      <c r="Y31" s="483"/>
      <c r="Z31" s="483"/>
      <c r="AA31" s="483"/>
      <c r="AB31" s="483"/>
      <c r="AC31" s="483"/>
      <c r="BU31" s="456"/>
      <c r="BV31" s="581"/>
      <c r="BW31" s="581"/>
      <c r="BX31" s="581"/>
      <c r="BY31" s="581"/>
      <c r="BZ31" s="581"/>
      <c r="CA31" s="581"/>
      <c r="CB31" s="581"/>
      <c r="CC31" s="581"/>
      <c r="CD31" s="581"/>
      <c r="CE31" s="581"/>
      <c r="CF31" s="581"/>
    </row>
    <row r="32" spans="1:84">
      <c r="A32" s="456"/>
      <c r="B32" t="str">
        <f>+'q33'!$A$7</f>
        <v>B</v>
      </c>
      <c r="C32" t="str">
        <f>+'q33'!$B$7</f>
        <v>Indústrias extrativas</v>
      </c>
      <c r="D32" s="483">
        <f>+'q33'!$C$7</f>
        <v>1216.8699999999999</v>
      </c>
      <c r="E32" s="483">
        <f>+'q33'!$D$7</f>
        <v>1253.19</v>
      </c>
      <c r="F32" s="483">
        <f>+'q33'!$E$7</f>
        <v>1254.1099999999999</v>
      </c>
      <c r="G32" s="483">
        <f>+'q33'!$F$7</f>
        <v>1286.78</v>
      </c>
      <c r="H32" s="483">
        <f>+'q33'!$G$7</f>
        <v>1296.04</v>
      </c>
      <c r="I32" s="483">
        <f>+'q33'!$H$7</f>
        <v>1403.23</v>
      </c>
      <c r="J32" s="483">
        <f>+'q33'!$I$7</f>
        <v>1459.11</v>
      </c>
      <c r="K32" s="483">
        <f>+'q33'!$J$7</f>
        <v>1500.09</v>
      </c>
      <c r="L32" s="483">
        <f>+'q33'!$K$7</f>
        <v>1596.03</v>
      </c>
      <c r="M32" s="483">
        <f>+'q33'!$L$7</f>
        <v>1702.24</v>
      </c>
      <c r="N32" s="483">
        <f>+'q33'!$M$7</f>
        <v>1969.8</v>
      </c>
      <c r="R32" s="456"/>
      <c r="S32" s="483"/>
      <c r="T32" s="483"/>
      <c r="U32" s="483"/>
      <c r="V32" s="483"/>
      <c r="W32" s="483"/>
      <c r="X32" s="483"/>
      <c r="Y32" s="483"/>
      <c r="Z32" s="483"/>
      <c r="AA32" s="483"/>
      <c r="AB32" s="483"/>
      <c r="AC32" s="483"/>
      <c r="BU32" s="456"/>
      <c r="BV32" s="581"/>
      <c r="BW32" s="581"/>
      <c r="BX32" s="581"/>
      <c r="BY32" s="581"/>
      <c r="BZ32" s="581"/>
      <c r="CA32" s="581"/>
      <c r="CB32" s="581"/>
      <c r="CC32" s="581"/>
      <c r="CD32" s="581"/>
      <c r="CE32" s="581"/>
      <c r="CF32" s="581"/>
    </row>
    <row r="33" spans="1:84">
      <c r="A33" s="456"/>
      <c r="B33" t="str">
        <f>+'q33'!$A$8</f>
        <v>C</v>
      </c>
      <c r="C33" t="str">
        <f>+'q33'!$B$8</f>
        <v>Indústrias transformadoras</v>
      </c>
      <c r="D33" s="483">
        <f>+'q33'!$C$8</f>
        <v>996.63</v>
      </c>
      <c r="E33" s="483">
        <f>+'q33'!$D$8</f>
        <v>1003.09</v>
      </c>
      <c r="F33" s="483">
        <f>+'q33'!$E$8</f>
        <v>1015.82</v>
      </c>
      <c r="G33" s="483">
        <f>+'q33'!$F$8</f>
        <v>1031.5999999999999</v>
      </c>
      <c r="H33" s="483">
        <f>+'q33'!$G$8</f>
        <v>1068.43</v>
      </c>
      <c r="I33" s="483">
        <f>+'q33'!$H$8</f>
        <v>1110.54</v>
      </c>
      <c r="J33" s="483">
        <f>+'q33'!$I$8</f>
        <v>1154.94</v>
      </c>
      <c r="K33" s="483">
        <f>+'q33'!$J$8</f>
        <v>1198.04</v>
      </c>
      <c r="L33" s="483">
        <f>+'q33'!$K$8</f>
        <v>1224.79</v>
      </c>
      <c r="M33" s="483">
        <f>+'q33'!$L$8</f>
        <v>1302.5899999999999</v>
      </c>
      <c r="N33" s="483">
        <f>+'q33'!$M$8</f>
        <v>1400.65</v>
      </c>
      <c r="R33" s="456"/>
      <c r="S33" s="483"/>
      <c r="T33" s="483"/>
      <c r="U33" s="483"/>
      <c r="V33" s="483"/>
      <c r="W33" s="483"/>
      <c r="X33" s="483"/>
      <c r="Y33" s="483"/>
      <c r="Z33" s="483"/>
      <c r="AA33" s="483"/>
      <c r="AB33" s="483"/>
      <c r="AC33" s="483"/>
      <c r="BU33" s="456"/>
      <c r="BV33" s="581"/>
      <c r="BW33" s="581"/>
      <c r="BX33" s="581"/>
      <c r="BY33" s="581"/>
      <c r="BZ33" s="581"/>
      <c r="CA33" s="581"/>
      <c r="CB33" s="581"/>
      <c r="CC33" s="581"/>
      <c r="CD33" s="581"/>
      <c r="CE33" s="581"/>
      <c r="CF33" s="581"/>
    </row>
    <row r="34" spans="1:84">
      <c r="A34" s="456"/>
      <c r="B34" t="str">
        <f>+'q33'!$A$33</f>
        <v>D</v>
      </c>
      <c r="C34" t="str">
        <f>+'q33'!$B$33</f>
        <v>Eletr., gás, ág. quente/fria e ar frio</v>
      </c>
      <c r="D34" s="483">
        <f>+'q33'!$C$33</f>
        <v>2907.1</v>
      </c>
      <c r="E34" s="483">
        <f>+'q33'!$D$33</f>
        <v>2899.03</v>
      </c>
      <c r="F34" s="483">
        <f>+'q33'!$E$33</f>
        <v>2923.78</v>
      </c>
      <c r="G34" s="483">
        <f>+'q33'!$F$33</f>
        <v>2941.6</v>
      </c>
      <c r="H34" s="483">
        <f>+'q33'!$G$33</f>
        <v>2914.67</v>
      </c>
      <c r="I34" s="483">
        <f>+'q33'!$H$33</f>
        <v>2948.55</v>
      </c>
      <c r="J34" s="483">
        <f>+'q33'!$I$33</f>
        <v>2904.2</v>
      </c>
      <c r="K34" s="483">
        <f>+'q33'!$J$33</f>
        <v>2956.05</v>
      </c>
      <c r="L34" s="483">
        <f>+'q33'!$K$33</f>
        <v>2965.84</v>
      </c>
      <c r="M34" s="483">
        <f>+'q33'!$L$33</f>
        <v>3040.89</v>
      </c>
      <c r="N34" s="483">
        <f>+'q33'!$M$33</f>
        <v>3171.51</v>
      </c>
      <c r="R34" s="456"/>
      <c r="S34" s="483"/>
      <c r="T34" s="483"/>
      <c r="U34" s="483"/>
      <c r="V34" s="483"/>
      <c r="W34" s="483"/>
      <c r="X34" s="483"/>
      <c r="Y34" s="483"/>
      <c r="Z34" s="483"/>
      <c r="AA34" s="483"/>
      <c r="AB34" s="483"/>
      <c r="AC34" s="483"/>
      <c r="BU34" s="456"/>
      <c r="BV34" s="581"/>
      <c r="BW34" s="581"/>
      <c r="BX34" s="581"/>
      <c r="BY34" s="581"/>
      <c r="BZ34" s="581"/>
      <c r="CA34" s="581"/>
      <c r="CB34" s="581"/>
      <c r="CC34" s="581"/>
      <c r="CD34" s="581"/>
      <c r="CE34" s="581"/>
      <c r="CF34" s="581"/>
    </row>
    <row r="35" spans="1:84">
      <c r="A35" s="456"/>
      <c r="B35" t="str">
        <f>+'q33'!$A$34</f>
        <v>E</v>
      </c>
      <c r="C35" t="str">
        <f>+'q33'!$B$34</f>
        <v>Capt., trat. e d. água; san., resíd.</v>
      </c>
      <c r="D35" s="483">
        <f>+'q33'!$C$34</f>
        <v>1084.17</v>
      </c>
      <c r="E35" s="483">
        <f>+'q33'!$D$34</f>
        <v>1091.92</v>
      </c>
      <c r="F35" s="483">
        <f>+'q33'!$E$34</f>
        <v>1102.67</v>
      </c>
      <c r="G35" s="483">
        <f>+'q33'!$F$34</f>
        <v>1092.5</v>
      </c>
      <c r="H35" s="483">
        <f>+'q33'!$G$34</f>
        <v>1108.54</v>
      </c>
      <c r="I35" s="483">
        <f>+'q33'!$H$34</f>
        <v>1150.68</v>
      </c>
      <c r="J35" s="483">
        <f>+'q33'!$I$34</f>
        <v>1174.83</v>
      </c>
      <c r="K35" s="483">
        <f>+'q33'!$J$34</f>
        <v>1204.9000000000001</v>
      </c>
      <c r="L35" s="483">
        <f>+'q33'!$K$34</f>
        <v>1227.3</v>
      </c>
      <c r="M35" s="483">
        <f>+'q33'!$L$34</f>
        <v>1275.54</v>
      </c>
      <c r="N35" s="483">
        <f>+'q33'!$M$34</f>
        <v>1387.57</v>
      </c>
      <c r="BU35" s="456"/>
      <c r="BV35" s="581"/>
      <c r="BW35" s="456"/>
      <c r="BX35" s="581"/>
      <c r="BY35" s="581"/>
      <c r="BZ35" s="581"/>
      <c r="CA35" s="581"/>
      <c r="CB35" s="581"/>
      <c r="CC35" s="581"/>
      <c r="CD35" s="581"/>
      <c r="CE35" s="581"/>
      <c r="CF35" s="581"/>
    </row>
    <row r="36" spans="1:84">
      <c r="A36" s="456"/>
      <c r="B36" t="str">
        <f>+'q33'!$A$35</f>
        <v>F</v>
      </c>
      <c r="C36" t="str">
        <f>+'q33'!$B$35</f>
        <v>Construção</v>
      </c>
      <c r="D36" s="483">
        <f>+'q33'!$C$35</f>
        <v>966.06</v>
      </c>
      <c r="E36" s="483">
        <f>+'q33'!$D$35</f>
        <v>962.23</v>
      </c>
      <c r="F36" s="483">
        <f>+'q33'!$E$35</f>
        <v>958.61</v>
      </c>
      <c r="G36" s="483">
        <f>+'q33'!$F$35</f>
        <v>955.52</v>
      </c>
      <c r="H36" s="483">
        <f>+'q33'!$G$35</f>
        <v>967.03</v>
      </c>
      <c r="I36" s="483">
        <f>+'q33'!$H$35</f>
        <v>993.18</v>
      </c>
      <c r="J36" s="483">
        <f>+'q33'!$I$35</f>
        <v>1025</v>
      </c>
      <c r="K36" s="483">
        <f>+'q33'!$J$35</f>
        <v>1042.3699999999999</v>
      </c>
      <c r="L36" s="483">
        <f>+'q33'!$K$35</f>
        <v>1103.17</v>
      </c>
      <c r="M36" s="483">
        <f>+'q33'!$L$35</f>
        <v>1149.6099999999999</v>
      </c>
      <c r="N36" s="483">
        <f>+'q33'!$M$35</f>
        <v>1231.28</v>
      </c>
    </row>
    <row r="37" spans="1:84" ht="12.75" customHeight="1">
      <c r="A37" s="456"/>
      <c r="B37" t="str">
        <f>+'q33'!$A$36</f>
        <v>G</v>
      </c>
      <c r="C37" t="str">
        <f>+'q33'!$B$36</f>
        <v>Com. grosso e ret.; r.v.aut./moto.</v>
      </c>
      <c r="D37" s="483">
        <f>+'q33'!$C$36</f>
        <v>1013.46</v>
      </c>
      <c r="E37" s="483">
        <f>+'q33'!$D$36</f>
        <v>1014.14</v>
      </c>
      <c r="F37" s="483">
        <f>+'q33'!$E$36</f>
        <v>1022.01</v>
      </c>
      <c r="G37" s="483">
        <f>+'q33'!$F$36</f>
        <v>1039.55</v>
      </c>
      <c r="H37" s="483">
        <f>+'q33'!$G$36</f>
        <v>1066.6400000000001</v>
      </c>
      <c r="I37" s="483">
        <f>+'q33'!$H$36</f>
        <v>1099.03</v>
      </c>
      <c r="J37" s="483">
        <f>+'q33'!$I$36</f>
        <v>1140.32</v>
      </c>
      <c r="K37" s="483">
        <f>+'q33'!$J$36</f>
        <v>1176.33</v>
      </c>
      <c r="L37" s="483">
        <f>+'q33'!$K$36</f>
        <v>1224.17</v>
      </c>
      <c r="M37" s="483">
        <f>+'q33'!$L$36</f>
        <v>1280.54</v>
      </c>
      <c r="N37" s="483">
        <f>+'q33'!$M$36</f>
        <v>1373.91</v>
      </c>
      <c r="BU37" s="457" t="s">
        <v>437</v>
      </c>
      <c r="BZ37" s="477" t="str">
        <f>CONCATENATE("Remunerações - ",BU38,BV38,CHAR(10),BU39," ",BV40,BU41,BV42,BU43,BU44,BU45," ",BV46,BU47,BU48,BU49,CHAR(10),BU50," ",BV51,BU52,BV53,BU54,BU55,BU56," ",BV57,BU58,BU59,BU60)</f>
        <v>Remunerações - 2023:
Base Mulheres = 87,3% da dos Homens (H), entre 85,3% da dos H (Médios) e 92,2% da dos H (Micro).
Ganho Mulheres = 84,4% da dos H, entre 81,8% da dos H (Médios) e 91,6% da dos H (Micro).</v>
      </c>
      <c r="CA37" s="477"/>
      <c r="CB37" s="477"/>
      <c r="CC37" s="477"/>
      <c r="CD37" s="477"/>
      <c r="CE37" s="477"/>
    </row>
    <row r="38" spans="1:84">
      <c r="A38" s="456"/>
      <c r="B38" t="str">
        <f>+'q33'!$A$37</f>
        <v>H</v>
      </c>
      <c r="C38" t="str">
        <f>+'q33'!$B$37</f>
        <v>Transportes e armazenagem</v>
      </c>
      <c r="D38" s="483">
        <f>+'q33'!$C$37</f>
        <v>1338.08</v>
      </c>
      <c r="E38" s="483">
        <f>+'q33'!$D$37</f>
        <v>1335.45</v>
      </c>
      <c r="F38" s="483">
        <f>+'q33'!$E$37</f>
        <v>1342.5</v>
      </c>
      <c r="G38" s="483">
        <f>+'q33'!$F$37</f>
        <v>1359.02</v>
      </c>
      <c r="H38" s="483">
        <f>+'q33'!$G$37</f>
        <v>1384.77</v>
      </c>
      <c r="I38" s="483">
        <f>+'q33'!$H$37</f>
        <v>1425.95</v>
      </c>
      <c r="J38" s="483">
        <f>+'q33'!$I$37</f>
        <v>1489.52</v>
      </c>
      <c r="K38" s="483">
        <f>+'q33'!$J$37</f>
        <v>1418.68</v>
      </c>
      <c r="L38" s="483">
        <f>+'q33'!$K$37</f>
        <v>1463.67</v>
      </c>
      <c r="M38" s="483">
        <f>+'q33'!$L$37</f>
        <v>1651.37</v>
      </c>
      <c r="N38" s="483">
        <f>+'q33'!$M$37</f>
        <v>1761.67</v>
      </c>
      <c r="P38" s="456"/>
      <c r="BU38">
        <f>+$BK$19</f>
        <v>2023</v>
      </c>
      <c r="BV38" s="456" t="s">
        <v>443</v>
      </c>
      <c r="BZ38" s="477"/>
      <c r="CA38" s="477"/>
      <c r="CB38" s="477"/>
      <c r="CC38" s="477"/>
      <c r="CD38" s="477"/>
      <c r="CE38" s="477"/>
    </row>
    <row r="39" spans="1:84">
      <c r="A39" s="456"/>
      <c r="B39" t="str">
        <f>+'q33'!$A$38</f>
        <v>I</v>
      </c>
      <c r="C39" t="str">
        <f>+'q33'!$B$38</f>
        <v>Alojamento, restauração e sim.</v>
      </c>
      <c r="D39" s="483">
        <f>+'q33'!$C$38</f>
        <v>724.31</v>
      </c>
      <c r="E39" s="483">
        <f>+'q33'!$D$38</f>
        <v>734.04</v>
      </c>
      <c r="F39" s="483">
        <f>+'q33'!$E$38</f>
        <v>736.8</v>
      </c>
      <c r="G39" s="483">
        <f>+'q33'!$F$38</f>
        <v>758.99</v>
      </c>
      <c r="H39" s="483">
        <f>+'q33'!$G$38</f>
        <v>788.29</v>
      </c>
      <c r="I39" s="483">
        <f>+'q33'!$H$38</f>
        <v>820.22</v>
      </c>
      <c r="J39" s="483">
        <f>+'q33'!$I$38</f>
        <v>851.31</v>
      </c>
      <c r="K39" s="483">
        <f>+'q33'!$J$38</f>
        <v>858.93</v>
      </c>
      <c r="L39" s="483">
        <f>+'q33'!$K$38</f>
        <v>913.66</v>
      </c>
      <c r="M39" s="483">
        <f>+'q33'!$L$38</f>
        <v>977.82</v>
      </c>
      <c r="N39" s="483">
        <f>+'q33'!$M$38</f>
        <v>1046.9100000000001</v>
      </c>
      <c r="Q39" s="573"/>
      <c r="R39" s="456"/>
      <c r="BS39" s="456" t="s">
        <v>440</v>
      </c>
      <c r="BU39" s="456" t="s">
        <v>447</v>
      </c>
      <c r="BZ39" s="477"/>
      <c r="CA39" s="477"/>
      <c r="CB39" s="477"/>
      <c r="CC39" s="477"/>
      <c r="CD39" s="477"/>
      <c r="CE39" s="477"/>
    </row>
    <row r="40" spans="1:84">
      <c r="A40" s="456"/>
      <c r="B40" t="str">
        <f>+'q33'!$A$39</f>
        <v>J</v>
      </c>
      <c r="C40" t="str">
        <f>+'q33'!$B$39</f>
        <v xml:space="preserve">Ativ. Inform. e de comunicação </v>
      </c>
      <c r="D40" s="483">
        <f>+'q33'!$C$39</f>
        <v>1821.27</v>
      </c>
      <c r="E40" s="483">
        <f>+'q33'!$D$39</f>
        <v>1779.88</v>
      </c>
      <c r="F40" s="483">
        <f>+'q33'!$E$39</f>
        <v>1770.68</v>
      </c>
      <c r="G40" s="483">
        <f>+'q33'!$F$39</f>
        <v>1797.94</v>
      </c>
      <c r="H40" s="483">
        <f>+'q33'!$G$39</f>
        <v>1808.57</v>
      </c>
      <c r="I40" s="483">
        <f>+'q33'!$H$39</f>
        <v>1867.06</v>
      </c>
      <c r="J40" s="483">
        <f>+'q33'!$I$39</f>
        <v>1919.57</v>
      </c>
      <c r="K40" s="483">
        <f>+'q33'!$J$39</f>
        <v>1970.06</v>
      </c>
      <c r="L40" s="483">
        <f>+'q33'!$K$39</f>
        <v>2046.09</v>
      </c>
      <c r="M40" s="483">
        <f>+'q33'!$L$39</f>
        <v>2222.2600000000002</v>
      </c>
      <c r="N40" s="483">
        <f>+'q33'!$M$39</f>
        <v>2360.1999999999998</v>
      </c>
      <c r="Q40" s="573"/>
      <c r="R40" s="456"/>
      <c r="BS40">
        <f>COLUMN(BS21)</f>
        <v>71</v>
      </c>
      <c r="BU40" s="568">
        <f>+$BQ$25</f>
        <v>87.3</v>
      </c>
      <c r="BV40" t="str">
        <f>+TEXT(BU40,"##.###,0")</f>
        <v>87,3</v>
      </c>
      <c r="BZ40" s="477"/>
      <c r="CA40" s="477"/>
      <c r="CB40" s="477"/>
      <c r="CC40" s="477"/>
      <c r="CD40" s="477"/>
      <c r="CE40" s="477"/>
    </row>
    <row r="41" spans="1:84">
      <c r="A41" s="456"/>
      <c r="B41" t="str">
        <f>+'q33'!$A$40</f>
        <v>K</v>
      </c>
      <c r="C41" t="str">
        <f>+'q33'!$B$40</f>
        <v>Ativ. financeiras e de seguros</v>
      </c>
      <c r="D41" s="483">
        <f>+'q33'!$C$40</f>
        <v>2302.04</v>
      </c>
      <c r="E41" s="483">
        <f>+'q33'!$D$40</f>
        <v>2312.4899999999998</v>
      </c>
      <c r="F41" s="483">
        <f>+'q33'!$E$40</f>
        <v>2302.13</v>
      </c>
      <c r="G41" s="483">
        <f>+'q33'!$F$40</f>
        <v>2313.46</v>
      </c>
      <c r="H41" s="483">
        <f>+'q33'!$G$40</f>
        <v>2305.21</v>
      </c>
      <c r="I41" s="483">
        <f>+'q33'!$H$40</f>
        <v>2321.41</v>
      </c>
      <c r="J41" s="483">
        <f>+'q33'!$I$40</f>
        <v>2330.36</v>
      </c>
      <c r="K41" s="483">
        <f>+'q33'!$J$40</f>
        <v>2366.37</v>
      </c>
      <c r="L41" s="483">
        <f>+'q33'!$K$40</f>
        <v>2374.41</v>
      </c>
      <c r="M41" s="483">
        <f>+'q33'!$L$40</f>
        <v>2429.02</v>
      </c>
      <c r="N41" s="483">
        <f>+'q33'!$M$40</f>
        <v>2579.31</v>
      </c>
      <c r="Q41" s="573"/>
      <c r="R41" s="456"/>
      <c r="BS41" t="str">
        <f>VLOOKUP(BU42,BQ20:BS25,COLUMN(BS20)-68,0)</f>
        <v>Médios</v>
      </c>
      <c r="BU41" s="456" t="s">
        <v>444</v>
      </c>
      <c r="BZ41" s="477"/>
      <c r="CA41" s="477"/>
      <c r="CB41" s="477"/>
      <c r="CC41" s="477"/>
      <c r="CD41" s="477"/>
      <c r="CE41" s="477"/>
    </row>
    <row r="42" spans="1:84">
      <c r="A42" s="456"/>
      <c r="B42" t="str">
        <f>+'q33'!$A$41</f>
        <v>L</v>
      </c>
      <c r="C42" t="str">
        <f>+'q33'!$B$41</f>
        <v>Atividades imobiliárias</v>
      </c>
      <c r="D42" s="483">
        <f>+'q33'!$C$41</f>
        <v>1093.47</v>
      </c>
      <c r="E42" s="483">
        <f>+'q33'!$D$41</f>
        <v>1087.28</v>
      </c>
      <c r="F42" s="483">
        <f>+'q33'!$E$41</f>
        <v>1080.53</v>
      </c>
      <c r="G42" s="483">
        <f>+'q33'!$F$41</f>
        <v>1101.57</v>
      </c>
      <c r="H42" s="483">
        <f>+'q33'!$G$41</f>
        <v>1115</v>
      </c>
      <c r="I42" s="483">
        <f>+'q33'!$H$41</f>
        <v>1148.17</v>
      </c>
      <c r="J42" s="483">
        <f>+'q33'!$I$41</f>
        <v>1193.98</v>
      </c>
      <c r="K42" s="483">
        <f>+'q33'!$J$41</f>
        <v>1237.47</v>
      </c>
      <c r="L42" s="483">
        <f>+'q33'!$K$41</f>
        <v>1277.49</v>
      </c>
      <c r="M42" s="483">
        <f>+'q33'!$L$41</f>
        <v>1343.29</v>
      </c>
      <c r="N42" s="483">
        <f>+'q33'!$M$41</f>
        <v>1449.6</v>
      </c>
      <c r="Q42" s="573"/>
      <c r="R42" s="456"/>
      <c r="BU42">
        <f>+SMALL($BQ$21:$BQ$24,1)</f>
        <v>85.3</v>
      </c>
      <c r="BV42" t="str">
        <f>+TEXT(BU42,"##.###,0")</f>
        <v>85,3</v>
      </c>
      <c r="BZ42" s="477"/>
      <c r="CA42" s="477"/>
      <c r="CB42" s="477"/>
      <c r="CC42" s="477"/>
      <c r="CD42" s="477"/>
      <c r="CE42" s="477"/>
    </row>
    <row r="43" spans="1:84">
      <c r="A43" s="456"/>
      <c r="B43" t="str">
        <f>+'q33'!$A$42</f>
        <v>M</v>
      </c>
      <c r="C43" t="str">
        <f>+'q33'!$B$42</f>
        <v>Ativ. consultoria, cient.,téc. e sim.</v>
      </c>
      <c r="D43" s="483">
        <f>+'q33'!$C$42</f>
        <v>1357.69</v>
      </c>
      <c r="E43" s="483">
        <f>+'q33'!$D$42</f>
        <v>1347.85</v>
      </c>
      <c r="F43" s="483">
        <f>+'q33'!$E$42</f>
        <v>1352.56</v>
      </c>
      <c r="G43" s="483">
        <f>+'q33'!$F$42</f>
        <v>1358.58</v>
      </c>
      <c r="H43" s="483">
        <f>+'q33'!$G$42</f>
        <v>1414.09</v>
      </c>
      <c r="I43" s="483">
        <f>+'q33'!$H$42</f>
        <v>1446.18</v>
      </c>
      <c r="J43" s="483">
        <f>+'q33'!$I$42</f>
        <v>1498.25</v>
      </c>
      <c r="K43" s="483">
        <f>+'q33'!$J$42</f>
        <v>1543.35</v>
      </c>
      <c r="L43" s="483">
        <f>+'q33'!$K$42</f>
        <v>1612.77</v>
      </c>
      <c r="M43" s="483">
        <f>+'q33'!$L$42</f>
        <v>1708.75</v>
      </c>
      <c r="N43" s="483">
        <f>+'q33'!$M$42</f>
        <v>1854.12</v>
      </c>
      <c r="Q43" s="573"/>
      <c r="R43" s="456"/>
      <c r="BU43" s="456" t="s">
        <v>445</v>
      </c>
      <c r="BZ43" s="477"/>
      <c r="CA43" s="477"/>
      <c r="CB43" s="477"/>
      <c r="CC43" s="477"/>
      <c r="CD43" s="477"/>
      <c r="CE43" s="477"/>
    </row>
    <row r="44" spans="1:84">
      <c r="A44" s="456"/>
      <c r="B44" t="str">
        <f>+'q33'!$A$43</f>
        <v>N</v>
      </c>
      <c r="C44" t="str">
        <f>+'q33'!$B$43</f>
        <v>Ativ. Adm. e serviços de apoio</v>
      </c>
      <c r="D44" s="483">
        <f>+'q33'!$C$43</f>
        <v>910.69</v>
      </c>
      <c r="E44" s="483">
        <f>+'q33'!$D$43</f>
        <v>915.77</v>
      </c>
      <c r="F44" s="483">
        <f>+'q33'!$E$43</f>
        <v>909.36</v>
      </c>
      <c r="G44" s="483">
        <f>+'q33'!$F$43</f>
        <v>915.81</v>
      </c>
      <c r="H44" s="483">
        <f>+'q33'!$G$43</f>
        <v>940.16</v>
      </c>
      <c r="I44" s="483">
        <f>+'q33'!$H$43</f>
        <v>974.19</v>
      </c>
      <c r="J44" s="483">
        <f>+'q33'!$I$43</f>
        <v>1006.82</v>
      </c>
      <c r="K44" s="483">
        <f>+'q33'!$J$43</f>
        <v>1032.8800000000001</v>
      </c>
      <c r="L44" s="483">
        <f>+'q33'!$K$43</f>
        <v>1086.1400000000001</v>
      </c>
      <c r="M44" s="483">
        <f>+'q33'!$L$43</f>
        <v>1156.51</v>
      </c>
      <c r="N44" s="483">
        <f>+'q33'!$M$43</f>
        <v>1263.92</v>
      </c>
      <c r="Q44" s="573"/>
      <c r="R44" s="456"/>
      <c r="BU44" t="str">
        <f>VLOOKUP($BU$42,$BQ$20:$BS$25,COLUMN(BS$20)-68,0)</f>
        <v>Médios</v>
      </c>
    </row>
    <row r="45" spans="1:84">
      <c r="A45" s="456"/>
      <c r="B45" t="str">
        <f>+'q33'!$A$44</f>
        <v>O</v>
      </c>
      <c r="C45" t="str">
        <f>+'q33'!$B$44</f>
        <v xml:space="preserve">Adm. Púb. e defesa; seg. social </v>
      </c>
      <c r="D45" s="483">
        <f>+'q33'!$C$44</f>
        <v>1035.2</v>
      </c>
      <c r="E45" s="483">
        <f>+'q33'!$D$44</f>
        <v>1049.32</v>
      </c>
      <c r="F45" s="483">
        <f>+'q33'!$E$44</f>
        <v>1055.0899999999999</v>
      </c>
      <c r="G45" s="483">
        <f>+'q33'!$F$44</f>
        <v>1031.68</v>
      </c>
      <c r="H45" s="483">
        <f>+'q33'!$G$44</f>
        <v>1056.22</v>
      </c>
      <c r="I45" s="483">
        <f>+'q33'!$H$44</f>
        <v>1099.5999999999999</v>
      </c>
      <c r="J45" s="483">
        <f>+'q33'!$I$44</f>
        <v>1161.46</v>
      </c>
      <c r="K45" s="483">
        <f>+'q33'!$J$44</f>
        <v>1222.78</v>
      </c>
      <c r="L45" s="483">
        <f>+'q33'!$K$44</f>
        <v>1269.25</v>
      </c>
      <c r="M45" s="483">
        <f>+'q33'!$L$44</f>
        <v>1293.6300000000001</v>
      </c>
      <c r="N45" s="483">
        <f>+'q33'!$M$44</f>
        <v>1386.73</v>
      </c>
      <c r="Q45" s="573"/>
      <c r="R45" s="456"/>
      <c r="BU45" s="456" t="s">
        <v>441</v>
      </c>
    </row>
    <row r="46" spans="1:84">
      <c r="A46" s="456"/>
      <c r="B46" t="str">
        <f>+'q33'!$A$45</f>
        <v>P</v>
      </c>
      <c r="C46" t="str">
        <f>+'q33'!$B$45</f>
        <v>Educação</v>
      </c>
      <c r="D46" s="483">
        <f>+'q33'!$C$45</f>
        <v>1234.6199999999999</v>
      </c>
      <c r="E46" s="483">
        <f>+'q33'!$D$45</f>
        <v>1224.42</v>
      </c>
      <c r="F46" s="483">
        <f>+'q33'!$E$45</f>
        <v>1215.92</v>
      </c>
      <c r="G46" s="483">
        <f>+'q33'!$F$45</f>
        <v>1218.18</v>
      </c>
      <c r="H46" s="483">
        <f>+'q33'!$G$45</f>
        <v>1243.1300000000001</v>
      </c>
      <c r="I46" s="483">
        <f>+'q33'!$H$45</f>
        <v>1272.3900000000001</v>
      </c>
      <c r="J46" s="483">
        <f>+'q33'!$I$45</f>
        <v>1336.35</v>
      </c>
      <c r="K46" s="483">
        <f>+'q33'!$J$45</f>
        <v>1375.08</v>
      </c>
      <c r="L46" s="483">
        <f>+'q33'!$K$45</f>
        <v>1415.08</v>
      </c>
      <c r="M46" s="483">
        <f>+'q33'!$L$45</f>
        <v>1477.62</v>
      </c>
      <c r="N46" s="483">
        <f>+'q33'!$M$45</f>
        <v>1587.99</v>
      </c>
      <c r="Q46" s="573"/>
      <c r="R46" s="456"/>
      <c r="BU46">
        <f>+LARGE($BQ$21:$BQ$24,1)</f>
        <v>92.2</v>
      </c>
      <c r="BV46" t="str">
        <f>+TEXT(BU46,"##.###,0")</f>
        <v>92,2</v>
      </c>
    </row>
    <row r="47" spans="1:84">
      <c r="A47" s="456"/>
      <c r="B47" t="str">
        <f>+'q33'!$A$46</f>
        <v>Q</v>
      </c>
      <c r="C47" t="str">
        <f>+'q33'!$B$46</f>
        <v>Ativ. saúde humana e apoio social</v>
      </c>
      <c r="D47" s="483">
        <f>+'q33'!$C$46</f>
        <v>943.76</v>
      </c>
      <c r="E47" s="483">
        <f>+'q33'!$D$46</f>
        <v>941.14</v>
      </c>
      <c r="F47" s="483">
        <f>+'q33'!$E$46</f>
        <v>957.95</v>
      </c>
      <c r="G47" s="483">
        <f>+'q33'!$F$46</f>
        <v>977.41</v>
      </c>
      <c r="H47" s="483">
        <f>+'q33'!$G$46</f>
        <v>1008.97</v>
      </c>
      <c r="I47" s="483">
        <f>+'q33'!$H$46</f>
        <v>1045.1199999999999</v>
      </c>
      <c r="J47" s="483">
        <f>+'q33'!$I$46</f>
        <v>1088.3399999999999</v>
      </c>
      <c r="K47" s="483">
        <f>+'q33'!$J$46</f>
        <v>1112.49</v>
      </c>
      <c r="L47" s="483">
        <f>+'q33'!$K$46</f>
        <v>1148.8</v>
      </c>
      <c r="M47" s="483">
        <f>+'q33'!$L$46</f>
        <v>1186.79</v>
      </c>
      <c r="N47" s="483">
        <f>+'q33'!$M$46</f>
        <v>1250.5999999999999</v>
      </c>
      <c r="BU47" s="456" t="s">
        <v>445</v>
      </c>
    </row>
    <row r="48" spans="1:84">
      <c r="A48" s="456"/>
      <c r="B48" t="str">
        <f>+'q33'!$A$47</f>
        <v>R</v>
      </c>
      <c r="C48" t="str">
        <f>+'q33'!$B$47</f>
        <v>Ativ. artíst., espet., desp. e recr.</v>
      </c>
      <c r="D48" s="483">
        <f>+'q33'!$C$47</f>
        <v>1635.47</v>
      </c>
      <c r="E48" s="483">
        <f>+'q33'!$D$47</f>
        <v>1556.9</v>
      </c>
      <c r="F48" s="483">
        <f>+'q33'!$E$47</f>
        <v>1683.9</v>
      </c>
      <c r="G48" s="483">
        <f>+'q33'!$F$47</f>
        <v>1710.96</v>
      </c>
      <c r="H48" s="483">
        <f>+'q33'!$G$47</f>
        <v>1798.97</v>
      </c>
      <c r="I48" s="483">
        <f>+'q33'!$H$47</f>
        <v>1800.76</v>
      </c>
      <c r="J48" s="483">
        <f>+'q33'!$I$47</f>
        <v>1856.55</v>
      </c>
      <c r="K48" s="483">
        <f>+'q33'!$J$47</f>
        <v>2043.82</v>
      </c>
      <c r="L48" s="483">
        <f>+'q33'!$K$47</f>
        <v>1981.67</v>
      </c>
      <c r="M48" s="483">
        <f>+'q33'!$L$47</f>
        <v>2006.93</v>
      </c>
      <c r="N48" s="483">
        <f>+'q33'!$M$47</f>
        <v>2131.9699999999998</v>
      </c>
      <c r="BU48" t="str">
        <f>VLOOKUP($BU$46,$BQ$20:$BS$24,COLUMN(BS$20)-68,0)</f>
        <v>Micro</v>
      </c>
    </row>
    <row r="49" spans="1:74">
      <c r="A49" s="456"/>
      <c r="B49" t="str">
        <f>+'q33'!$A$48</f>
        <v>S</v>
      </c>
      <c r="C49" t="str">
        <f>+'q33'!$B$48</f>
        <v>Outras atividades de serviços</v>
      </c>
      <c r="D49" s="483">
        <f>+'q33'!$C$48</f>
        <v>950.59</v>
      </c>
      <c r="E49" s="483">
        <f>+'q33'!$D$48</f>
        <v>957.11</v>
      </c>
      <c r="F49" s="483">
        <f>+'q33'!$E$48</f>
        <v>956.51</v>
      </c>
      <c r="G49" s="483">
        <f>+'q33'!$F$48</f>
        <v>964.7</v>
      </c>
      <c r="H49" s="483">
        <f>+'q33'!$G$48</f>
        <v>994.49</v>
      </c>
      <c r="I49" s="483">
        <f>+'q33'!$H$48</f>
        <v>1024</v>
      </c>
      <c r="J49" s="483">
        <f>+'q33'!$I$48</f>
        <v>1057.8699999999999</v>
      </c>
      <c r="K49" s="483">
        <f>+'q33'!$J$48</f>
        <v>1115.8800000000001</v>
      </c>
      <c r="L49" s="483">
        <f>+'q33'!$K$48</f>
        <v>1140.2</v>
      </c>
      <c r="M49" s="483">
        <f>+'q33'!$L$48</f>
        <v>1185.8599999999999</v>
      </c>
      <c r="N49" s="483">
        <f>+'q33'!$M$48</f>
        <v>1259.4000000000001</v>
      </c>
      <c r="BU49" s="456" t="s">
        <v>442</v>
      </c>
    </row>
    <row r="50" spans="1:74">
      <c r="A50" s="456"/>
      <c r="B50" t="str">
        <f>+'q33'!$A$49</f>
        <v>U</v>
      </c>
      <c r="C50" t="str">
        <f>+'q33'!$B$49</f>
        <v>Ativ. org. int. e o. inst. extra-territ.</v>
      </c>
      <c r="D50" s="483">
        <f>+'q33'!$C$49</f>
        <v>1896.43</v>
      </c>
      <c r="E50" s="483">
        <f>+'q33'!$D$49</f>
        <v>1860.19</v>
      </c>
      <c r="F50" s="483">
        <f>+'q33'!$E$49</f>
        <v>2012.88</v>
      </c>
      <c r="G50" s="483">
        <f>+'q33'!$F$49</f>
        <v>2228.17</v>
      </c>
      <c r="H50" s="483">
        <f>+'q33'!$G$49</f>
        <v>2104.88</v>
      </c>
      <c r="I50" s="483">
        <f>+'q33'!$H$49</f>
        <v>2323.9899999999998</v>
      </c>
      <c r="J50" s="483">
        <f>+'q33'!$I$49</f>
        <v>2299.36</v>
      </c>
      <c r="K50" s="483">
        <f>+'q33'!$J$49</f>
        <v>2045.65</v>
      </c>
      <c r="L50" s="483">
        <f>+'q33'!$K$49</f>
        <v>1997.5</v>
      </c>
      <c r="M50" s="483">
        <f>+'q33'!$L$49</f>
        <v>3245.89</v>
      </c>
      <c r="N50" s="483">
        <f>+'q33'!$M$49</f>
        <v>3521.63</v>
      </c>
      <c r="Q50" s="455" t="s">
        <v>284</v>
      </c>
      <c r="S50" s="457">
        <f>+D6</f>
        <v>2013</v>
      </c>
      <c r="T50" s="457">
        <f t="shared" ref="T50:AC50" si="7">+E6</f>
        <v>2014</v>
      </c>
      <c r="U50" s="457">
        <f t="shared" si="7"/>
        <v>2015</v>
      </c>
      <c r="V50" s="457">
        <f t="shared" si="7"/>
        <v>2016</v>
      </c>
      <c r="W50" s="457">
        <f t="shared" si="7"/>
        <v>2017</v>
      </c>
      <c r="X50" s="457">
        <f t="shared" si="7"/>
        <v>2018</v>
      </c>
      <c r="Y50" s="457">
        <f t="shared" si="7"/>
        <v>2019</v>
      </c>
      <c r="Z50" s="457">
        <f t="shared" si="7"/>
        <v>2020</v>
      </c>
      <c r="AA50" s="457">
        <f t="shared" si="7"/>
        <v>2021</v>
      </c>
      <c r="AB50" s="457">
        <f t="shared" si="7"/>
        <v>2022</v>
      </c>
      <c r="AC50" s="457">
        <f t="shared" si="7"/>
        <v>2023</v>
      </c>
      <c r="BU50" s="456" t="s">
        <v>448</v>
      </c>
    </row>
    <row r="51" spans="1:74">
      <c r="A51" s="456"/>
      <c r="B51" s="486" t="s">
        <v>229</v>
      </c>
      <c r="C51" s="456"/>
      <c r="D51" s="483">
        <f>+(q34_Aux!$R$8+q34_Aux!$R$11)/(q14a!$C$8+q14a!$C$11)</f>
        <v>871.09238924912688</v>
      </c>
      <c r="E51" s="483">
        <f>+(q34_Aux!$S$8+q34_Aux!$S$11)/(q14a!$D$8+q14a!$D$11)</f>
        <v>874.37588256418803</v>
      </c>
      <c r="F51" s="483">
        <f>+(q34_Aux!$T$8+q34_Aux!$T$11)/(q14a!$E$8+q14a!$E$11)</f>
        <v>869.15907046971392</v>
      </c>
      <c r="G51" s="483">
        <f>+(q34_Aux!$U$8+q34_Aux!$U$11)/(q14a!$F$8+q14a!$F$11)</f>
        <v>881.40121825935603</v>
      </c>
      <c r="H51" s="483">
        <f>+(q34_Aux!$V$8+q34_Aux!$V$11)/(q14a!$G$8+q14a!$G$11)</f>
        <v>903.88634111416957</v>
      </c>
      <c r="I51" s="483">
        <f>+(q34_Aux!$W$8+q34_Aux!$W$11)/(q14a!$H$8+q14a!$H$11)</f>
        <v>932.6839251718136</v>
      </c>
      <c r="J51" s="483">
        <f>+(q34_Aux!$X$8+q34_Aux!$X$11)/(q14a!$I$8+q14a!$I$11)</f>
        <v>964.75465634431691</v>
      </c>
      <c r="K51" s="483">
        <f>+(q34_Aux!$Y$8+q34_Aux!$Y$11)/(q14a!$J$8+q14a!$J$11)</f>
        <v>1001.1701682722738</v>
      </c>
      <c r="L51" s="483">
        <f>+(q34_Aux!$Z$8+q34_Aux!$Z$11)/(q14a!$K$8+q14a!$K$11)</f>
        <v>1037.9347066902783</v>
      </c>
      <c r="M51" s="483">
        <f>+(q34_Aux!$AA$8+q34_Aux!$AA$11)/(q14a!$L$8+q14a!$L$11)</f>
        <v>1089.0285427605099</v>
      </c>
      <c r="N51" s="483">
        <f>+(q34_Aux!$AB$8+q34_Aux!$AB$11)/(q14a!$M$8+q14a!$M$11)</f>
        <v>1171.8622875894353</v>
      </c>
      <c r="R51" s="456" t="str">
        <f>+B27</f>
        <v>Micro (1-9 pessoas)</v>
      </c>
      <c r="S51" s="483">
        <f>+D27</f>
        <v>740.80722276499034</v>
      </c>
      <c r="T51" s="483">
        <f t="shared" ref="T51:AB51" si="8">+E27</f>
        <v>743.19113619248822</v>
      </c>
      <c r="U51" s="483">
        <f t="shared" si="8"/>
        <v>741.71968305936059</v>
      </c>
      <c r="V51" s="483">
        <f t="shared" si="8"/>
        <v>755.98808308311857</v>
      </c>
      <c r="W51" s="483">
        <f t="shared" si="8"/>
        <v>774.551634099073</v>
      </c>
      <c r="X51" s="483">
        <f t="shared" si="8"/>
        <v>798.39258672727499</v>
      </c>
      <c r="Y51" s="483">
        <f t="shared" si="8"/>
        <v>825.36077956196084</v>
      </c>
      <c r="Z51" s="483">
        <f t="shared" si="8"/>
        <v>862.12957930096923</v>
      </c>
      <c r="AA51" s="483">
        <f t="shared" si="8"/>
        <v>897.65930575521782</v>
      </c>
      <c r="AB51" s="483">
        <f t="shared" si="8"/>
        <v>944.24536654484882</v>
      </c>
      <c r="AC51" s="483">
        <f>+N27</f>
        <v>1009.8670580294119</v>
      </c>
      <c r="AE51" s="483">
        <f>+(AC51/S51-1)*100</f>
        <v>36.319818030415796</v>
      </c>
      <c r="BU51" s="568">
        <f>+$BR$25</f>
        <v>84.4</v>
      </c>
      <c r="BV51" t="str">
        <f>+TEXT(BU51,"##.###,0")</f>
        <v>84,4</v>
      </c>
    </row>
    <row r="52" spans="1:74">
      <c r="A52" s="456"/>
      <c r="B52" s="486" t="s">
        <v>479</v>
      </c>
      <c r="C52" s="456"/>
      <c r="D52" s="483">
        <f>+(q34_Aux!$R$14+q34_Aux!$R$17)/(q14a!$C$14+q14a!$C$17)</f>
        <v>1040.4919773141039</v>
      </c>
      <c r="E52" s="483">
        <f>+(q34_Aux!$S$14+q34_Aux!$S$17)/(q14a!$D$14+q14a!$D$17)</f>
        <v>1038.4270654102304</v>
      </c>
      <c r="F52" s="483">
        <f>+(q34_Aux!$T$14+q34_Aux!$T$17)/(q14a!$E$14+q14a!$E$17)</f>
        <v>1036.7339962248377</v>
      </c>
      <c r="G52" s="483">
        <f>+(q34_Aux!$U$14+q34_Aux!$U$17)/(q14a!$F$14+q14a!$F$17)</f>
        <v>1041.9237340326474</v>
      </c>
      <c r="H52" s="483">
        <f>+(q34_Aux!$V$14+q34_Aux!$V$17)/(q14a!$G$14+q14a!$G$17)</f>
        <v>1063.0824987860442</v>
      </c>
      <c r="I52" s="483">
        <f>+(q34_Aux!$W$14+q34_Aux!$W$17)/(q14a!$H$14+q14a!$H$17)</f>
        <v>1093.0931805100001</v>
      </c>
      <c r="J52" s="483">
        <f>+(q34_Aux!$X$14+q34_Aux!$X$17)/(q14a!$I$14+q14a!$I$17)</f>
        <v>1128.5544797223299</v>
      </c>
      <c r="K52" s="483">
        <f>+(q34_Aux!$Y$14+q34_Aux!$Y$17)/(q14a!$J$14+q14a!$J$17)</f>
        <v>1173.3524315914058</v>
      </c>
      <c r="L52" s="483">
        <f>+(q34_Aux!$Z$14+q34_Aux!$Z$17)/(q14a!$K$14+q14a!$K$17)</f>
        <v>1209.6497241751363</v>
      </c>
      <c r="M52" s="483">
        <f>+(q34_Aux!$AA$14+q34_Aux!$AA$17)/(q14a!$L$14+q14a!$L$17)</f>
        <v>1263.2416738687946</v>
      </c>
      <c r="N52" s="483">
        <f>+(q34_Aux!$AB$14+q34_Aux!$AB$17)/(q14a!$M$14+q14a!$M$17)</f>
        <v>1356.3278755179158</v>
      </c>
      <c r="Q52" s="477"/>
      <c r="R52" s="456" t="str">
        <f t="shared" ref="R52:R54" si="9">+B28</f>
        <v>Pequenos (10 - 49 pessoas)</v>
      </c>
      <c r="S52" s="483">
        <f t="shared" ref="S52:S54" si="10">+D28</f>
        <v>880.69786368326982</v>
      </c>
      <c r="T52" s="483">
        <f t="shared" ref="T52:T54" si="11">+E28</f>
        <v>875.52959350590538</v>
      </c>
      <c r="U52" s="483">
        <f t="shared" ref="U52:U54" si="12">+F28</f>
        <v>876.0788141175874</v>
      </c>
      <c r="V52" s="483">
        <f t="shared" ref="V52:V54" si="13">+G28</f>
        <v>882.80315502771225</v>
      </c>
      <c r="W52" s="483">
        <f t="shared" ref="W52:W54" si="14">+H28</f>
        <v>896.47188013348352</v>
      </c>
      <c r="X52" s="483">
        <f t="shared" ref="X52:X54" si="15">+I28</f>
        <v>919.58377816170105</v>
      </c>
      <c r="Y52" s="483">
        <f t="shared" ref="Y52:Y54" si="16">+J28</f>
        <v>948.35723341606092</v>
      </c>
      <c r="Z52" s="483">
        <f t="shared" ref="Z52:Z54" si="17">+K28</f>
        <v>989.62583120930185</v>
      </c>
      <c r="AA52" s="483">
        <f t="shared" ref="AA52:AA54" si="18">+L28</f>
        <v>1024.3179987335309</v>
      </c>
      <c r="AB52" s="483">
        <f t="shared" ref="AB52:AC54" si="19">+M28</f>
        <v>1070.1140484709949</v>
      </c>
      <c r="AC52" s="483">
        <f t="shared" si="19"/>
        <v>1142.8913276103731</v>
      </c>
      <c r="AE52" s="483">
        <f t="shared" ref="AE52:AE54" si="20">+(AC52/S52-1)*100</f>
        <v>29.771102524372338</v>
      </c>
      <c r="BU52" s="456" t="s">
        <v>446</v>
      </c>
    </row>
    <row r="53" spans="1:74">
      <c r="A53" s="456"/>
      <c r="B53" s="486" t="s">
        <v>480</v>
      </c>
      <c r="C53" s="456"/>
      <c r="D53" s="483">
        <f>+(q34_Aux!$R$20+q34_Aux!$R$23+q34_Aux!$R$26+q34_Aux!$R$29)/(q14a!$C$20+q14a!$C$23+q14a!$C$26+q14a!$C$29)</f>
        <v>1260.6321703752462</v>
      </c>
      <c r="E53" s="483">
        <f>+(q34_Aux!$S$20+q34_Aux!$S$23+q34_Aux!$S$26+q34_Aux!$S$29)/(q14a!$D$20+q14a!$D$23+q14a!$D$26+q14a!$D$29)</f>
        <v>1253.7788131448538</v>
      </c>
      <c r="F53" s="483">
        <f>+(q34_Aux!$T$20+q34_Aux!$T$23+q34_Aux!$T$26+q34_Aux!$T$29)/(q14a!$E$20+q14a!$E$23+q14a!$E$26+q14a!$E$29)</f>
        <v>1264.2671080720547</v>
      </c>
      <c r="G53" s="483">
        <f>+(q34_Aux!$U$20+q34_Aux!$U$23+q34_Aux!$U$26+q34_Aux!$U$29)/(q14a!$F$20+q14a!$F$23+q14a!$F$26+q14a!$F$29)</f>
        <v>1269.822569900183</v>
      </c>
      <c r="H53" s="483">
        <f>+(q34_Aux!$V$20+q34_Aux!$V$23+q34_Aux!$V$26+q34_Aux!$V$29)/(q14a!$G$20+q14a!$G$23+q14a!$G$26+q14a!$G$29)</f>
        <v>1290.1457015340452</v>
      </c>
      <c r="I53" s="483">
        <f>+(q34_Aux!$W$20+q34_Aux!$W$23+q34_Aux!$W$26+q34_Aux!$W$29)/(q14a!$H$20+q14a!$H$23+q14a!$H$26+q14a!$H$29)</f>
        <v>1326.6954282506647</v>
      </c>
      <c r="J53" s="483">
        <f>+(q34_Aux!$X$20+q34_Aux!$X$23+q34_Aux!$X$26+q34_Aux!$X$29)/(q14a!$I$20+q14a!$I$23+q14a!$I$26+q14a!$I$29)</f>
        <v>1354.8188399394744</v>
      </c>
      <c r="K53" s="483">
        <f>+(q34_Aux!$Y$20+q34_Aux!$Y$23+q34_Aux!$Y$26+q34_Aux!$Y$29)/(q14a!$J$20+q14a!$J$23+q14a!$J$26+q14a!$J$29)</f>
        <v>1408.3622125828385</v>
      </c>
      <c r="L53" s="483">
        <f>+(q34_Aux!$Z$20+q34_Aux!$Z$23+q34_Aux!$Z$26+q34_Aux!$Z$29)/(q14a!$K$20+q14a!$K$23+q14a!$K$26+q14a!$K$29)</f>
        <v>1440.2827437442895</v>
      </c>
      <c r="M53" s="483">
        <f>+(q34_Aux!$AA$20+q34_Aux!$AA$23+q34_Aux!$AA$26+q34_Aux!$AA$29)/(q14a!$L$20+q14a!$L$23+q14a!$L$26+q14a!$L$29)</f>
        <v>1512.8995745759912</v>
      </c>
      <c r="N53" s="483">
        <f>+(q34_Aux!$AB$20+q34_Aux!$AB$23+q34_Aux!$AB$26+q34_Aux!$AB$29)/(q14a!$M$20+q14a!$M$23+q14a!$M$26+q14a!$M$29)</f>
        <v>1609.7489010590743</v>
      </c>
      <c r="Q53" s="477"/>
      <c r="R53" s="456" t="str">
        <f t="shared" si="9"/>
        <v>Médios (50 - 249 pessoas)</v>
      </c>
      <c r="S53" s="483">
        <f t="shared" si="10"/>
        <v>1042.7241302887844</v>
      </c>
      <c r="T53" s="483">
        <f t="shared" si="11"/>
        <v>1033.4461606501941</v>
      </c>
      <c r="U53" s="483">
        <f t="shared" si="12"/>
        <v>1043.9959921222624</v>
      </c>
      <c r="V53" s="483">
        <f t="shared" si="13"/>
        <v>1048.902928961483</v>
      </c>
      <c r="W53" s="483">
        <f t="shared" si="14"/>
        <v>1063.220773497256</v>
      </c>
      <c r="X53" s="483">
        <f t="shared" si="15"/>
        <v>1090.6268046005355</v>
      </c>
      <c r="Y53" s="483">
        <f t="shared" si="16"/>
        <v>1118.9973528196042</v>
      </c>
      <c r="Z53" s="483">
        <f t="shared" si="17"/>
        <v>1164.7330778705377</v>
      </c>
      <c r="AA53" s="483">
        <f t="shared" si="18"/>
        <v>1194.2590116124848</v>
      </c>
      <c r="AB53" s="483">
        <f t="shared" si="19"/>
        <v>1252.173361437704</v>
      </c>
      <c r="AC53" s="483">
        <f t="shared" ref="AC53:AC54" si="21">+N29</f>
        <v>1328.2894579954093</v>
      </c>
      <c r="AE53" s="483">
        <f t="shared" si="20"/>
        <v>27.386469672236036</v>
      </c>
      <c r="BU53">
        <f>+SMALL($BR$21:$BR$24,1)</f>
        <v>81.8</v>
      </c>
      <c r="BV53" t="str">
        <f>+TEXT(BU53,"##.###,0")</f>
        <v>81,8</v>
      </c>
    </row>
    <row r="54" spans="1:74">
      <c r="A54" s="456"/>
      <c r="B54" s="486" t="s">
        <v>238</v>
      </c>
      <c r="C54" s="456"/>
      <c r="D54" s="483">
        <f>+(q34_Aux!$R$32+q34_Aux!$R$35+q34_Aux!$R$38)/(q14a!$C$32+q14a!$C$35+q14a!$C$38)</f>
        <v>1348.8007140291029</v>
      </c>
      <c r="E54" s="483">
        <f>+(q34_Aux!$S$32+q34_Aux!$S$35+q34_Aux!$S$38)/(q14a!$D$32+q14a!$D$35+q14a!$D$38)</f>
        <v>1348.2686782255737</v>
      </c>
      <c r="F54" s="483">
        <f>+(q34_Aux!$T$32+q34_Aux!$T$35+q34_Aux!$T$38)/(q14a!$E$32+q14a!$E$35+q14a!$E$38)</f>
        <v>1352.7649450038305</v>
      </c>
      <c r="G54" s="483">
        <f>+(q34_Aux!$U$32+q34_Aux!$U$35+q34_Aux!$U$38)/(q14a!$F$32+q14a!$F$35+q14a!$F$38)</f>
        <v>1370.8654934115223</v>
      </c>
      <c r="H54" s="483">
        <f>+(q34_Aux!$V$32+q34_Aux!$V$35+q34_Aux!$V$38)/(q14a!$G$32+q14a!$G$35+q14a!$G$38)</f>
        <v>1393.1676662386169</v>
      </c>
      <c r="I54" s="483">
        <f>+(q34_Aux!$W$32+q34_Aux!$W$35+q34_Aux!$W$38)/(q14a!$H$32+q14a!$H$35+q14a!$H$38)</f>
        <v>1439.2994718395275</v>
      </c>
      <c r="J54" s="483">
        <f>+(q34_Aux!$X$32+q34_Aux!$X$35+q34_Aux!$X$38)/(q14a!$I$32+q14a!$I$35+q14a!$I$38)</f>
        <v>1487.6136920863173</v>
      </c>
      <c r="K54" s="483">
        <f>+(q34_Aux!$Y$32+q34_Aux!$Y$35+q34_Aux!$Y$38)/(q14a!$J$32+q14a!$J$35+q14a!$J$38)</f>
        <v>1503.5200436083589</v>
      </c>
      <c r="L54" s="483">
        <f>+(q34_Aux!$Z$32+q34_Aux!$Z$35+q34_Aux!$Z$38)/(q14a!$K$32+q14a!$K$35+q14a!$K$38)</f>
        <v>1578.7352052686044</v>
      </c>
      <c r="M54" s="483">
        <f>+(q34_Aux!$AA$32+q34_Aux!$AA$35+q34_Aux!$AA$38)/(q14a!$L$32+q14a!$L$35+q14a!$L$38)</f>
        <v>1692.5263123040952</v>
      </c>
      <c r="N54" s="483">
        <f>+(q34_Aux!$AB$32+q34_Aux!$AB$35+q34_Aux!$AB$38)/(q14a!$M$32+q14a!$M$35+q14a!$M$38)</f>
        <v>1815.2460362099982</v>
      </c>
      <c r="Q54" s="477"/>
      <c r="R54" s="456" t="str">
        <f t="shared" si="9"/>
        <v>Grandes (250 ou + pessoas)</v>
      </c>
      <c r="S54" s="483">
        <f t="shared" si="10"/>
        <v>1086.3871563092234</v>
      </c>
      <c r="T54" s="483">
        <f t="shared" si="11"/>
        <v>1085.2266428809949</v>
      </c>
      <c r="U54" s="483">
        <f t="shared" si="12"/>
        <v>1088.7344932691256</v>
      </c>
      <c r="V54" s="483">
        <f t="shared" si="13"/>
        <v>1103.365762629365</v>
      </c>
      <c r="W54" s="483">
        <f t="shared" si="14"/>
        <v>1117.6135336535251</v>
      </c>
      <c r="X54" s="483">
        <f t="shared" si="15"/>
        <v>1146.9307016617306</v>
      </c>
      <c r="Y54" s="483">
        <f t="shared" si="16"/>
        <v>1193.809108737154</v>
      </c>
      <c r="Z54" s="483">
        <f t="shared" si="17"/>
        <v>1207.2441633227234</v>
      </c>
      <c r="AA54" s="483">
        <f t="shared" si="18"/>
        <v>1276.5676072351296</v>
      </c>
      <c r="AB54" s="483">
        <f t="shared" si="19"/>
        <v>1366.1708059495056</v>
      </c>
      <c r="AC54" s="483">
        <f t="shared" si="21"/>
        <v>1457.296790282385</v>
      </c>
      <c r="AE54" s="483">
        <f t="shared" si="20"/>
        <v>34.141570232959182</v>
      </c>
      <c r="BU54" s="456" t="s">
        <v>445</v>
      </c>
    </row>
    <row r="55" spans="1:74">
      <c r="Q55" s="455"/>
      <c r="R55" s="456"/>
      <c r="BU55" t="str">
        <f>VLOOKUP($BU$53,$BR$20:$BS$25,COLUMN(BS$20)-69,0)</f>
        <v>Médios</v>
      </c>
    </row>
    <row r="56" spans="1:74">
      <c r="N56" s="572"/>
      <c r="Q56" s="477"/>
      <c r="R56" s="456"/>
      <c r="BU56" s="456" t="s">
        <v>441</v>
      </c>
    </row>
    <row r="57" spans="1:74">
      <c r="N57" s="572"/>
      <c r="Q57" s="477"/>
      <c r="R57" s="456"/>
      <c r="BU57">
        <f>+LARGE($BR$21:$BR$24,1)</f>
        <v>91.6</v>
      </c>
      <c r="BV57" t="str">
        <f>+TEXT(BU57,"##.###,0")</f>
        <v>91,6</v>
      </c>
    </row>
    <row r="58" spans="1:74">
      <c r="Q58" s="455" t="s">
        <v>285</v>
      </c>
      <c r="S58" s="457">
        <f>+S50</f>
        <v>2013</v>
      </c>
      <c r="T58" s="457">
        <f t="shared" ref="T58:AC58" si="22">+T50</f>
        <v>2014</v>
      </c>
      <c r="U58" s="457">
        <f t="shared" si="22"/>
        <v>2015</v>
      </c>
      <c r="V58" s="457">
        <f t="shared" si="22"/>
        <v>2016</v>
      </c>
      <c r="W58" s="457">
        <f t="shared" si="22"/>
        <v>2017</v>
      </c>
      <c r="X58" s="457">
        <f t="shared" si="22"/>
        <v>2018</v>
      </c>
      <c r="Y58" s="457">
        <f t="shared" si="22"/>
        <v>2019</v>
      </c>
      <c r="Z58" s="457">
        <f t="shared" si="22"/>
        <v>2020</v>
      </c>
      <c r="AA58" s="457">
        <f t="shared" si="22"/>
        <v>2021</v>
      </c>
      <c r="AB58" s="457">
        <f t="shared" si="22"/>
        <v>2022</v>
      </c>
      <c r="AC58" s="457">
        <f t="shared" si="22"/>
        <v>2023</v>
      </c>
      <c r="BU58" s="456" t="s">
        <v>445</v>
      </c>
    </row>
    <row r="59" spans="1:74">
      <c r="R59" s="456" t="str">
        <f>+B51</f>
        <v>Micro (1-9 pessoas)</v>
      </c>
      <c r="S59" s="483">
        <f>+D51</f>
        <v>871.09238924912688</v>
      </c>
      <c r="T59" s="483">
        <f t="shared" ref="T59:AC59" si="23">+E51</f>
        <v>874.37588256418803</v>
      </c>
      <c r="U59" s="483">
        <f t="shared" si="23"/>
        <v>869.15907046971392</v>
      </c>
      <c r="V59" s="483">
        <f t="shared" si="23"/>
        <v>881.40121825935603</v>
      </c>
      <c r="W59" s="483">
        <f t="shared" si="23"/>
        <v>903.88634111416957</v>
      </c>
      <c r="X59" s="483">
        <f t="shared" si="23"/>
        <v>932.6839251718136</v>
      </c>
      <c r="Y59" s="483">
        <f t="shared" si="23"/>
        <v>964.75465634431691</v>
      </c>
      <c r="Z59" s="483">
        <f t="shared" si="23"/>
        <v>1001.1701682722738</v>
      </c>
      <c r="AA59" s="483">
        <f t="shared" si="23"/>
        <v>1037.9347066902783</v>
      </c>
      <c r="AB59" s="483">
        <f t="shared" si="23"/>
        <v>1089.0285427605099</v>
      </c>
      <c r="AC59" s="483">
        <f t="shared" si="23"/>
        <v>1171.8622875894353</v>
      </c>
      <c r="AE59" s="483">
        <f>+(AC59/S59-1)*100</f>
        <v>34.527898768530065</v>
      </c>
      <c r="BU59" t="str">
        <f>VLOOKUP($BU$57,$BR$20:$BS$24,COLUMN(BS$20)-69,0)</f>
        <v>Micro</v>
      </c>
    </row>
    <row r="60" spans="1:74">
      <c r="Q60" s="477"/>
      <c r="R60" s="456" t="str">
        <f t="shared" ref="R60:R62" si="24">+B52</f>
        <v>Pequenos (10 - 49 pessoas)</v>
      </c>
      <c r="S60" s="483">
        <f t="shared" ref="S60:S62" si="25">+D52</f>
        <v>1040.4919773141039</v>
      </c>
      <c r="T60" s="483">
        <f t="shared" ref="T60:T62" si="26">+E52</f>
        <v>1038.4270654102304</v>
      </c>
      <c r="U60" s="483">
        <f t="shared" ref="U60:U62" si="27">+F52</f>
        <v>1036.7339962248377</v>
      </c>
      <c r="V60" s="483">
        <f t="shared" ref="V60:V62" si="28">+G52</f>
        <v>1041.9237340326474</v>
      </c>
      <c r="W60" s="483">
        <f t="shared" ref="W60:W62" si="29">+H52</f>
        <v>1063.0824987860442</v>
      </c>
      <c r="X60" s="483">
        <f t="shared" ref="X60:X62" si="30">+I52</f>
        <v>1093.0931805100001</v>
      </c>
      <c r="Y60" s="483">
        <f t="shared" ref="Y60:Y62" si="31">+J52</f>
        <v>1128.5544797223299</v>
      </c>
      <c r="Z60" s="483">
        <f t="shared" ref="Z60:Z62" si="32">+K52</f>
        <v>1173.3524315914058</v>
      </c>
      <c r="AA60" s="483">
        <f t="shared" ref="AA60:AA62" si="33">+L52</f>
        <v>1209.6497241751363</v>
      </c>
      <c r="AB60" s="483">
        <f t="shared" ref="AB60:AB62" si="34">+M52</f>
        <v>1263.2416738687946</v>
      </c>
      <c r="AC60" s="483">
        <f t="shared" ref="AC60:AC62" si="35">+N52</f>
        <v>1356.3278755179158</v>
      </c>
      <c r="AE60" s="483">
        <f t="shared" ref="AE60:AE62" si="36">+(AC60/S60-1)*100</f>
        <v>30.354477025291594</v>
      </c>
      <c r="BU60" s="456" t="s">
        <v>442</v>
      </c>
    </row>
    <row r="61" spans="1:74">
      <c r="C61" s="603" t="s">
        <v>505</v>
      </c>
      <c r="Q61" s="477"/>
      <c r="R61" s="456" t="str">
        <f t="shared" si="24"/>
        <v>Médios (50 - 249 pessoas)</v>
      </c>
      <c r="S61" s="483">
        <f t="shared" si="25"/>
        <v>1260.6321703752462</v>
      </c>
      <c r="T61" s="483">
        <f t="shared" si="26"/>
        <v>1253.7788131448538</v>
      </c>
      <c r="U61" s="483">
        <f t="shared" si="27"/>
        <v>1264.2671080720547</v>
      </c>
      <c r="V61" s="483">
        <f t="shared" si="28"/>
        <v>1269.822569900183</v>
      </c>
      <c r="W61" s="483">
        <f t="shared" si="29"/>
        <v>1290.1457015340452</v>
      </c>
      <c r="X61" s="483">
        <f t="shared" si="30"/>
        <v>1326.6954282506647</v>
      </c>
      <c r="Y61" s="483">
        <f t="shared" si="31"/>
        <v>1354.8188399394744</v>
      </c>
      <c r="Z61" s="483">
        <f t="shared" si="32"/>
        <v>1408.3622125828385</v>
      </c>
      <c r="AA61" s="483">
        <f t="shared" si="33"/>
        <v>1440.2827437442895</v>
      </c>
      <c r="AB61" s="483">
        <f t="shared" si="34"/>
        <v>1512.8995745759912</v>
      </c>
      <c r="AC61" s="483">
        <f t="shared" si="35"/>
        <v>1609.7489010590743</v>
      </c>
      <c r="AE61" s="483">
        <f t="shared" si="36"/>
        <v>27.693782444081872</v>
      </c>
    </row>
    <row r="62" spans="1:74">
      <c r="Q62" s="477"/>
      <c r="R62" s="456" t="str">
        <f t="shared" si="24"/>
        <v>Grandes (250 ou + pessoas)</v>
      </c>
      <c r="S62" s="483">
        <f t="shared" si="25"/>
        <v>1348.8007140291029</v>
      </c>
      <c r="T62" s="483">
        <f t="shared" si="26"/>
        <v>1348.2686782255737</v>
      </c>
      <c r="U62" s="483">
        <f t="shared" si="27"/>
        <v>1352.7649450038305</v>
      </c>
      <c r="V62" s="483">
        <f t="shared" si="28"/>
        <v>1370.8654934115223</v>
      </c>
      <c r="W62" s="483">
        <f t="shared" si="29"/>
        <v>1393.1676662386169</v>
      </c>
      <c r="X62" s="483">
        <f t="shared" si="30"/>
        <v>1439.2994718395275</v>
      </c>
      <c r="Y62" s="483">
        <f t="shared" si="31"/>
        <v>1487.6136920863173</v>
      </c>
      <c r="Z62" s="483">
        <f t="shared" si="32"/>
        <v>1503.5200436083589</v>
      </c>
      <c r="AA62" s="483">
        <f t="shared" si="33"/>
        <v>1578.7352052686044</v>
      </c>
      <c r="AB62" s="483">
        <f t="shared" si="34"/>
        <v>1692.5263123040952</v>
      </c>
      <c r="AC62" s="483">
        <f t="shared" si="35"/>
        <v>1815.2460362099982</v>
      </c>
      <c r="AE62" s="483">
        <f t="shared" si="36"/>
        <v>34.582226812999075</v>
      </c>
    </row>
    <row r="63" spans="1:74">
      <c r="C63" s="457" t="s">
        <v>502</v>
      </c>
      <c r="I63" s="457" t="s">
        <v>503</v>
      </c>
    </row>
    <row r="65" spans="1:18">
      <c r="R65" s="603" t="s">
        <v>501</v>
      </c>
    </row>
    <row r="67" spans="1:18">
      <c r="A67" s="457" t="s">
        <v>437</v>
      </c>
    </row>
    <row r="70" spans="1:18">
      <c r="A70" t="s">
        <v>301</v>
      </c>
      <c r="B70" t="s">
        <v>302</v>
      </c>
      <c r="D70" s="457" t="str">
        <f>+$N$6&amp;"/"&amp;$D$6</f>
        <v>2023/2013</v>
      </c>
      <c r="F70" s="457" t="s">
        <v>306</v>
      </c>
    </row>
    <row r="71" spans="1:18">
      <c r="C71" s="498" t="s">
        <v>229</v>
      </c>
      <c r="D71" s="614">
        <f>+N27/D27-1</f>
        <v>0.36319818030415796</v>
      </c>
      <c r="G71" t="s">
        <v>304</v>
      </c>
      <c r="I71" t="s">
        <v>305</v>
      </c>
      <c r="L71" s="456" t="s">
        <v>304</v>
      </c>
      <c r="M71" s="456" t="s">
        <v>305</v>
      </c>
    </row>
    <row r="72" spans="1:18">
      <c r="C72" s="498" t="s">
        <v>479</v>
      </c>
      <c r="D72" s="614">
        <f t="shared" ref="D72:D74" si="37">+N28/D28-1</f>
        <v>0.29771102524372339</v>
      </c>
      <c r="E72" s="457">
        <f>+$N$6</f>
        <v>2023</v>
      </c>
      <c r="F72" s="456" t="s">
        <v>289</v>
      </c>
      <c r="G72" s="613">
        <f>(LARGE($AC$51:$AC$54,1))</f>
        <v>1457.296790282385</v>
      </c>
      <c r="H72" s="520" t="str">
        <f>INDEX($R$51:$AC$54,MATCH($G$72,$AC$51:$AC$54,0),1)</f>
        <v>Grandes (250 ou + pessoas)</v>
      </c>
      <c r="I72" s="613">
        <f>SMALL($AC$51:$AC$54,1)</f>
        <v>1009.8670580294119</v>
      </c>
      <c r="J72" s="520" t="str">
        <f>INDEX($R$51:$AC$54,MATCH($I$72,$AC$51:$AC$54,0),1)</f>
        <v>Micro (1-9 pessoas)</v>
      </c>
      <c r="L72" s="613" t="str">
        <f>TEXT(LARGE($AC$51:$AC$54,1),"##.### €")</f>
        <v>1.457 €</v>
      </c>
      <c r="M72" s="613" t="str">
        <f>TEXT(SMALL($AC$51:$AC$54,1),"##.### €")</f>
        <v>1.010 €</v>
      </c>
    </row>
    <row r="73" spans="1:18">
      <c r="C73" s="498" t="s">
        <v>480</v>
      </c>
      <c r="D73" s="614">
        <f t="shared" si="37"/>
        <v>0.27386469672236036</v>
      </c>
      <c r="E73" s="457" t="str">
        <f>+$N$6&amp;" vs "&amp;$D$6</f>
        <v>2023 vs 2013</v>
      </c>
      <c r="F73" t="s">
        <v>271</v>
      </c>
      <c r="G73" s="615">
        <f>LARGE($D$71:$D$74,1)</f>
        <v>0.36319818030415796</v>
      </c>
      <c r="H73" s="520" t="str">
        <f>INDEX($C$71:$D$74,MATCH($G$73,$D$71:$D$74,0),1)</f>
        <v>Micro (1-9 pessoas)</v>
      </c>
      <c r="I73" s="615">
        <f>SMALL($D$71:$D$74,1)</f>
        <v>0.27386469672236036</v>
      </c>
      <c r="J73" s="520" t="str">
        <f>INDEX($C$71:$D$74,MATCH($I$73,$D$71:$D$74,0),1)</f>
        <v>Médios (50 - 249 pessoas)</v>
      </c>
      <c r="L73" s="493" t="str">
        <f>TEXT(LARGE($D$71:$D$74,1),"###%")</f>
        <v>36%</v>
      </c>
      <c r="M73" s="493" t="str">
        <f>TEXT(SMALL($D$71:$D$74,1),"###%")</f>
        <v>27%</v>
      </c>
    </row>
    <row r="74" spans="1:18">
      <c r="C74" s="498" t="s">
        <v>238</v>
      </c>
      <c r="D74" s="614">
        <f t="shared" si="37"/>
        <v>0.34141570232959184</v>
      </c>
      <c r="I74" s="493"/>
    </row>
    <row r="75" spans="1:18">
      <c r="D75" s="493"/>
    </row>
    <row r="76" spans="1:18">
      <c r="B76" t="s">
        <v>303</v>
      </c>
      <c r="D76" s="457" t="str">
        <f>+$N$6&amp;"/"&amp;$D$6</f>
        <v>2023/2013</v>
      </c>
    </row>
    <row r="77" spans="1:18">
      <c r="C77" s="498" t="s">
        <v>229</v>
      </c>
      <c r="D77" s="614">
        <f>+N51/D51-1</f>
        <v>0.34527898768530063</v>
      </c>
      <c r="F77" s="457" t="s">
        <v>307</v>
      </c>
    </row>
    <row r="78" spans="1:18">
      <c r="C78" s="498" t="s">
        <v>479</v>
      </c>
      <c r="D78" s="614">
        <f t="shared" ref="D78:D80" si="38">+N52/D52-1</f>
        <v>0.30354477025291593</v>
      </c>
      <c r="G78" t="s">
        <v>304</v>
      </c>
      <c r="I78" t="s">
        <v>305</v>
      </c>
      <c r="L78" s="456" t="s">
        <v>304</v>
      </c>
      <c r="M78" s="456" t="s">
        <v>305</v>
      </c>
    </row>
    <row r="79" spans="1:18">
      <c r="C79" s="498" t="s">
        <v>480</v>
      </c>
      <c r="D79" s="614">
        <f t="shared" si="38"/>
        <v>0.27693782444081871</v>
      </c>
      <c r="E79" s="457">
        <f>+$N$6</f>
        <v>2023</v>
      </c>
      <c r="F79" s="456" t="s">
        <v>289</v>
      </c>
      <c r="G79" s="613">
        <f>LARGE($AC$59:$AC$62,1)</f>
        <v>1815.2460362099982</v>
      </c>
      <c r="H79" s="520" t="str">
        <f>INDEX($R$59:$AC$62,MATCH($G$79,$AC$59:$AC$62,0),1)</f>
        <v>Grandes (250 ou + pessoas)</v>
      </c>
      <c r="I79" s="613">
        <f>SMALL($AC$59:$AC$62,1)</f>
        <v>1171.8622875894353</v>
      </c>
      <c r="J79" s="520" t="str">
        <f>INDEX($R$59:$AC$62,MATCH($I$79,$AC$59:$AC$62,0),1)</f>
        <v>Micro (1-9 pessoas)</v>
      </c>
      <c r="L79" s="613" t="str">
        <f>TEXT(LARGE($AC$59:$AC$62,1),"##.### €")</f>
        <v>1.815 €</v>
      </c>
      <c r="M79" s="613" t="str">
        <f>TEXT(SMALL($AC$59:$AC$62,1),"##.### €")</f>
        <v>1.172 €</v>
      </c>
    </row>
    <row r="80" spans="1:18">
      <c r="C80" s="498" t="s">
        <v>238</v>
      </c>
      <c r="D80" s="614">
        <f t="shared" si="38"/>
        <v>0.34582226812999073</v>
      </c>
      <c r="E80" s="457" t="str">
        <f>+$N$6&amp;" vs "&amp;$D$6</f>
        <v>2023 vs 2013</v>
      </c>
      <c r="F80" t="s">
        <v>271</v>
      </c>
      <c r="G80" s="615">
        <f>LARGE($D$77:$D$80,1)</f>
        <v>0.34582226812999073</v>
      </c>
      <c r="H80" s="520" t="str">
        <f>INDEX($C$77:$D$80,MATCH($G$80,$D$77:$D$80,0),1)</f>
        <v>Grandes (250 ou + pessoas)</v>
      </c>
      <c r="I80" s="615">
        <f>SMALL($D$77:$D$80,1)</f>
        <v>0.27693782444081871</v>
      </c>
      <c r="J80" s="520" t="str">
        <f>INDEX($C$77:$D$80,MATCH($I$80,$D$77:$D$80,0),1)</f>
        <v>Médios (50 - 249 pessoas)</v>
      </c>
      <c r="L80" s="493" t="str">
        <f>TEXT(LARGE($D$77:$D$80,1),"###%")</f>
        <v>35%</v>
      </c>
      <c r="M80" s="493" t="str">
        <f>TEXT(SMALL($D$77:$D$80,1),"###%")</f>
        <v>28%</v>
      </c>
    </row>
    <row r="81" spans="3:12">
      <c r="D81" s="493"/>
      <c r="G81" s="615">
        <f>LARGE($D$77:$D$80,2)</f>
        <v>0.34527898768530063</v>
      </c>
      <c r="H81" s="520" t="str">
        <f>INDEX($C$77:$D$80,MATCH($G$81,$D$77:$D$80,0),1)</f>
        <v>Micro (1-9 pessoas)</v>
      </c>
      <c r="L81" s="493" t="str">
        <f>TEXT(LARGE($D$77:$D$80,2),"###%")</f>
        <v>35%</v>
      </c>
    </row>
    <row r="82" spans="3:12">
      <c r="D82" s="493"/>
    </row>
    <row r="83" spans="3:12">
      <c r="C83" s="498" t="s">
        <v>504</v>
      </c>
      <c r="D83" s="493"/>
    </row>
    <row r="84" spans="3:12">
      <c r="C84" s="457" t="s">
        <v>296</v>
      </c>
      <c r="D84" s="493" t="str">
        <f>+E72&amp;":"&amp;CHAR(10)&amp;"Entre "&amp;M72&amp;" "&amp;J72&amp;" e "&amp;L72&amp;" "&amp;H72&amp;CHAR(10)&amp;E73&amp;":"&amp;CHAR(10)&amp;"Variações entre "&amp;M73&amp;" "&amp;J73&amp;" e "&amp;L73&amp;" "&amp;H73&amp;"."</f>
        <v>2023:
Entre 1.010 € Micro (1-9 pessoas) e 1.457 € Grandes (250 ou + pessoas)
2023 vs 2013:
Variações entre 27% Médios (50 - 249 pessoas) e 36% Micro (1-9 pessoas).</v>
      </c>
    </row>
    <row r="85" spans="3:12">
      <c r="D85" s="493"/>
    </row>
    <row r="90" spans="3:12">
      <c r="D90" s="493"/>
    </row>
    <row r="94" spans="3:12">
      <c r="C94" s="457" t="s">
        <v>297</v>
      </c>
      <c r="D94" s="493" t="str">
        <f>+E79&amp;":"&amp;CHAR(10)&amp;"Entre "&amp;M79&amp;" "&amp;J79&amp;" e "&amp;L79&amp;" "&amp;H79&amp;CHAR(10)&amp;E80&amp;":"&amp;CHAR(10)&amp;"Variações entre "&amp;M80&amp;" "&amp;J80&amp;" e "&amp;L80&amp;" "&amp;H80&amp;" e "&amp;H81&amp;"."</f>
        <v>2023:
Entre 1.172 € Micro (1-9 pessoas) e 1.815 € Grandes (250 ou + pessoas)
2023 vs 2013:
Variações entre 28% Médios (50 - 249 pessoas) e 35% Grandes (250 ou + pessoas) e Micro (1-9 pessoas).</v>
      </c>
    </row>
    <row r="97" spans="1:9">
      <c r="D97" s="519"/>
    </row>
    <row r="98" spans="1:9">
      <c r="D98" s="519"/>
    </row>
    <row r="99" spans="1:9">
      <c r="D99" s="519"/>
    </row>
    <row r="100" spans="1:9">
      <c r="D100" s="519"/>
    </row>
    <row r="101" spans="1:9">
      <c r="D101" s="519"/>
    </row>
    <row r="102" spans="1:9">
      <c r="D102" s="519"/>
    </row>
    <row r="103" spans="1:9">
      <c r="D103" s="519"/>
    </row>
    <row r="104" spans="1:9">
      <c r="D104" s="519"/>
    </row>
    <row r="105" spans="1:9">
      <c r="D105" s="519"/>
    </row>
    <row r="106" spans="1:9">
      <c r="D106" s="519"/>
      <c r="E106" s="454"/>
      <c r="F106" s="454"/>
      <c r="G106" s="454"/>
      <c r="H106" s="454"/>
      <c r="I106" s="454"/>
    </row>
    <row r="107" spans="1:9">
      <c r="D107" s="519"/>
      <c r="E107" s="454"/>
      <c r="F107" s="759"/>
      <c r="G107" s="759"/>
      <c r="H107" s="759"/>
      <c r="I107" s="759"/>
    </row>
    <row r="108" spans="1:9">
      <c r="A108" s="456"/>
      <c r="D108" s="519"/>
    </row>
    <row r="109" spans="1:9">
      <c r="D109" s="519"/>
      <c r="E109" s="493"/>
      <c r="F109" s="493"/>
      <c r="G109" s="493"/>
      <c r="H109" s="493"/>
      <c r="I109" s="493"/>
    </row>
    <row r="110" spans="1:9">
      <c r="D110" s="519"/>
      <c r="E110" s="493"/>
      <c r="F110" s="493"/>
      <c r="G110" s="493"/>
      <c r="H110" s="493"/>
      <c r="I110" s="493"/>
    </row>
    <row r="111" spans="1:9">
      <c r="D111" s="519"/>
      <c r="E111" s="493"/>
      <c r="F111" s="493"/>
      <c r="G111" s="493"/>
      <c r="H111" s="493"/>
      <c r="I111" s="493"/>
    </row>
    <row r="112" spans="1:9">
      <c r="D112" s="519"/>
      <c r="E112" s="493"/>
      <c r="F112" s="493"/>
      <c r="G112" s="493"/>
      <c r="H112" s="493"/>
      <c r="I112" s="493"/>
    </row>
    <row r="113" spans="4:9">
      <c r="D113" s="519"/>
      <c r="E113" s="493"/>
      <c r="F113" s="493"/>
      <c r="G113" s="493"/>
      <c r="H113" s="493"/>
      <c r="I113" s="493"/>
    </row>
    <row r="114" spans="4:9">
      <c r="D114" s="519"/>
      <c r="E114" s="493"/>
      <c r="F114" s="493"/>
      <c r="G114" s="493"/>
      <c r="H114" s="493"/>
      <c r="I114" s="493"/>
    </row>
    <row r="115" spans="4:9">
      <c r="D115" s="519"/>
      <c r="E115" s="493"/>
      <c r="F115" s="493"/>
      <c r="G115" s="493"/>
      <c r="H115" s="493"/>
      <c r="I115" s="493"/>
    </row>
    <row r="116" spans="4:9">
      <c r="D116" s="519"/>
      <c r="E116" s="493"/>
      <c r="F116" s="493"/>
      <c r="G116" s="493"/>
      <c r="H116" s="493"/>
      <c r="I116" s="493"/>
    </row>
    <row r="117" spans="4:9">
      <c r="E117" s="493"/>
      <c r="F117" s="493"/>
      <c r="G117" s="493"/>
      <c r="H117" s="493"/>
      <c r="I117" s="493"/>
    </row>
    <row r="118" spans="4:9">
      <c r="E118" s="493"/>
      <c r="F118" s="493"/>
      <c r="G118" s="493"/>
      <c r="H118" s="493"/>
      <c r="I118" s="493"/>
    </row>
    <row r="119" spans="4:9">
      <c r="E119" s="493"/>
      <c r="F119" s="493"/>
      <c r="G119" s="493"/>
      <c r="H119" s="493"/>
      <c r="I119" s="493"/>
    </row>
  </sheetData>
  <mergeCells count="1">
    <mergeCell ref="F107:I107"/>
  </mergeCells>
  <conditionalFormatting sqref="BC3 BC5">
    <cfRule type="cellIs" dxfId="1215" priority="48" operator="equal">
      <formula>0</formula>
    </cfRule>
  </conditionalFormatting>
  <conditionalFormatting sqref="BD3:BE3 BD5:BE5">
    <cfRule type="cellIs" dxfId="1214" priority="47" operator="equal">
      <formula>0</formula>
    </cfRule>
  </conditionalFormatting>
  <conditionalFormatting sqref="AT3:BE3">
    <cfRule type="cellIs" dxfId="1213" priority="46" operator="equal">
      <formula>0</formula>
    </cfRule>
  </conditionalFormatting>
  <conditionalFormatting sqref="AT4:BE4">
    <cfRule type="cellIs" dxfId="1212" priority="45" operator="equal">
      <formula>0</formula>
    </cfRule>
  </conditionalFormatting>
  <conditionalFormatting sqref="BD10">
    <cfRule type="cellIs" dxfId="1211" priority="2" operator="equal">
      <formula>0</formula>
    </cfRule>
  </conditionalFormatting>
  <conditionalFormatting sqref="BD9">
    <cfRule type="cellIs" dxfId="1210" priority="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4" r:id="rId4" name="Drop Down 2">
              <controlPr defaultSize="0" autoLine="0" autoPict="0">
                <anchor moveWithCells="1">
                  <from>
                    <xdr:col>64</xdr:col>
                    <xdr:colOff>47625</xdr:colOff>
                    <xdr:row>14</xdr:row>
                    <xdr:rowOff>133350</xdr:rowOff>
                  </from>
                  <to>
                    <xdr:col>65</xdr:col>
                    <xdr:colOff>85725</xdr:colOff>
                    <xdr:row>16</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055CA-26E3-498A-8B95-8E0687174B32}">
  <dimension ref="A2:H129"/>
  <sheetViews>
    <sheetView topLeftCell="A85" workbookViewId="0">
      <selection activeCell="R62" sqref="R62"/>
    </sheetView>
  </sheetViews>
  <sheetFormatPr defaultRowHeight="12.75"/>
  <cols>
    <col min="1" max="1" width="18.7109375" bestFit="1" customWidth="1"/>
    <col min="2" max="2" width="20.140625" bestFit="1" customWidth="1"/>
    <col min="3" max="3" width="9" bestFit="1" customWidth="1"/>
    <col min="4" max="7" width="11.85546875" bestFit="1" customWidth="1"/>
    <col min="8" max="8" width="12" bestFit="1" customWidth="1"/>
    <col min="9" max="9" width="25.7109375" bestFit="1" customWidth="1"/>
    <col min="10" max="10" width="12" bestFit="1" customWidth="1"/>
  </cols>
  <sheetData>
    <row r="2" spans="1:5">
      <c r="A2" s="456" t="s">
        <v>435</v>
      </c>
    </row>
    <row r="4" spans="1:5">
      <c r="A4" s="456" t="s">
        <v>209</v>
      </c>
      <c r="B4" s="456" t="s">
        <v>388</v>
      </c>
      <c r="C4" s="456" t="s">
        <v>293</v>
      </c>
      <c r="D4" s="456" t="s">
        <v>289</v>
      </c>
    </row>
    <row r="5" spans="1:5">
      <c r="A5">
        <f>+'q23'!$C$4</f>
        <v>2013</v>
      </c>
      <c r="B5" t="s">
        <v>296</v>
      </c>
      <c r="C5" t="str">
        <f>Aux!$B$50</f>
        <v>Total</v>
      </c>
      <c r="D5" s="483">
        <f>+'q23'!$C$5</f>
        <v>912.18</v>
      </c>
    </row>
    <row r="6" spans="1:5">
      <c r="A6">
        <f>+'q23'!$C$4</f>
        <v>2013</v>
      </c>
      <c r="B6" t="s">
        <v>296</v>
      </c>
      <c r="C6" t="str">
        <f>Aux!$B$51</f>
        <v>Homens</v>
      </c>
      <c r="D6" s="483">
        <f>+'q23'!$C$6</f>
        <v>993.79</v>
      </c>
    </row>
    <row r="7" spans="1:5">
      <c r="A7">
        <f>+'q23'!$C$4</f>
        <v>2013</v>
      </c>
      <c r="B7" t="s">
        <v>296</v>
      </c>
      <c r="C7" t="str">
        <f>Aux!$B$52</f>
        <v>Mulheres</v>
      </c>
      <c r="D7" s="483">
        <f>+'q23'!$C$7</f>
        <v>816.21</v>
      </c>
      <c r="E7" s="493"/>
    </row>
    <row r="8" spans="1:5">
      <c r="A8">
        <f>+'q23'!$D$4</f>
        <v>2014</v>
      </c>
      <c r="B8" t="s">
        <v>296</v>
      </c>
      <c r="C8" t="str">
        <f>Aux!$B$50</f>
        <v>Total</v>
      </c>
      <c r="D8" s="483">
        <f>+'q23'!$D$5</f>
        <v>909.49</v>
      </c>
      <c r="E8" s="493"/>
    </row>
    <row r="9" spans="1:5">
      <c r="A9">
        <f>+'q23'!$D$4</f>
        <v>2014</v>
      </c>
      <c r="B9" t="s">
        <v>296</v>
      </c>
      <c r="C9" t="str">
        <f>Aux!$B$51</f>
        <v>Homens</v>
      </c>
      <c r="D9" s="483">
        <f>+'q23'!$D$6</f>
        <v>985.02</v>
      </c>
      <c r="E9" s="493"/>
    </row>
    <row r="10" spans="1:5">
      <c r="A10">
        <f>+'q23'!$D$4</f>
        <v>2014</v>
      </c>
      <c r="B10" t="s">
        <v>296</v>
      </c>
      <c r="C10" t="str">
        <f>Aux!$B$52</f>
        <v>Mulheres</v>
      </c>
      <c r="D10" s="483">
        <f>+'q23'!$D$7</f>
        <v>820.25</v>
      </c>
      <c r="E10" s="493"/>
    </row>
    <row r="11" spans="1:5">
      <c r="A11">
        <f>+'q23'!$E$4</f>
        <v>2015</v>
      </c>
      <c r="B11" t="s">
        <v>296</v>
      </c>
      <c r="C11" t="str">
        <f>Aux!$B$50</f>
        <v>Total</v>
      </c>
      <c r="D11" s="483">
        <f>+'q23'!$E$5</f>
        <v>913.93</v>
      </c>
      <c r="E11" s="493"/>
    </row>
    <row r="12" spans="1:5">
      <c r="A12">
        <f>+'q23'!$E$4</f>
        <v>2015</v>
      </c>
      <c r="B12" t="s">
        <v>296</v>
      </c>
      <c r="C12" t="str">
        <f>Aux!$B$51</f>
        <v>Homens</v>
      </c>
      <c r="D12" s="483">
        <f>+'q23'!$E$6</f>
        <v>990.05</v>
      </c>
      <c r="E12" s="493"/>
    </row>
    <row r="13" spans="1:5">
      <c r="A13">
        <f>+'q23'!$E$4</f>
        <v>2015</v>
      </c>
      <c r="B13" t="s">
        <v>296</v>
      </c>
      <c r="C13" t="str">
        <f>Aux!$B$52</f>
        <v>Mulheres</v>
      </c>
      <c r="D13" s="483">
        <f>+'q23'!$E$7</f>
        <v>824.99</v>
      </c>
      <c r="E13" s="493"/>
    </row>
    <row r="14" spans="1:5">
      <c r="A14">
        <f>+'q23'!$F$4</f>
        <v>2016</v>
      </c>
      <c r="B14" t="s">
        <v>296</v>
      </c>
      <c r="C14" t="str">
        <f>Aux!$B$50</f>
        <v>Total</v>
      </c>
      <c r="D14" s="483">
        <f>+'q23'!$F$5</f>
        <v>924.94</v>
      </c>
      <c r="E14" s="493"/>
    </row>
    <row r="15" spans="1:5">
      <c r="A15">
        <f>+'q23'!$F$4</f>
        <v>2016</v>
      </c>
      <c r="B15" t="s">
        <v>296</v>
      </c>
      <c r="C15" t="str">
        <f>Aux!$B$51</f>
        <v>Homens</v>
      </c>
      <c r="D15" s="483">
        <f>+'q23'!$F$6</f>
        <v>997.38</v>
      </c>
      <c r="E15" s="493"/>
    </row>
    <row r="16" spans="1:5">
      <c r="A16">
        <f>+'q23'!$F$4</f>
        <v>2016</v>
      </c>
      <c r="B16" t="s">
        <v>296</v>
      </c>
      <c r="C16" t="str">
        <f>Aux!$B$52</f>
        <v>Mulheres</v>
      </c>
      <c r="D16" s="483">
        <f>+'q23'!$F$7</f>
        <v>840.26</v>
      </c>
      <c r="E16" s="493"/>
    </row>
    <row r="17" spans="1:5">
      <c r="A17">
        <f>+'q23'!$G$4</f>
        <v>2017</v>
      </c>
      <c r="B17" t="s">
        <v>296</v>
      </c>
      <c r="C17" t="str">
        <f>Aux!$B$50</f>
        <v>Total</v>
      </c>
      <c r="D17" s="483">
        <f>+'q23'!$G$5</f>
        <v>943</v>
      </c>
      <c r="E17" s="493"/>
    </row>
    <row r="18" spans="1:5">
      <c r="A18">
        <f>+'q23'!$G$4</f>
        <v>2017</v>
      </c>
      <c r="B18" t="s">
        <v>296</v>
      </c>
      <c r="C18" t="str">
        <f>Aux!$B$51</f>
        <v>Homens</v>
      </c>
      <c r="D18" s="483">
        <f>+'q23'!$G$6</f>
        <v>1012.25</v>
      </c>
      <c r="E18" s="493"/>
    </row>
    <row r="19" spans="1:5">
      <c r="A19">
        <f>+'q23'!$G$4</f>
        <v>2017</v>
      </c>
      <c r="B19" t="s">
        <v>296</v>
      </c>
      <c r="C19" t="str">
        <f>Aux!$B$52</f>
        <v>Mulheres</v>
      </c>
      <c r="D19" s="483">
        <f>+'q23'!$G$7</f>
        <v>861.17</v>
      </c>
      <c r="E19" s="493"/>
    </row>
    <row r="20" spans="1:5">
      <c r="A20">
        <f>+'q23'!$H$4</f>
        <v>2018</v>
      </c>
      <c r="B20" t="s">
        <v>296</v>
      </c>
      <c r="C20" t="str">
        <f>Aux!$B$50</f>
        <v>Total</v>
      </c>
      <c r="D20" s="483">
        <f>+'q23'!$H$5</f>
        <v>970.42</v>
      </c>
      <c r="E20" s="493"/>
    </row>
    <row r="21" spans="1:5">
      <c r="A21">
        <f>+'q23'!$H$4</f>
        <v>2018</v>
      </c>
      <c r="B21" t="s">
        <v>296</v>
      </c>
      <c r="C21" t="str">
        <f>Aux!$B$51</f>
        <v>Homens</v>
      </c>
      <c r="D21" s="483">
        <f>+'q23'!$H$6</f>
        <v>1039.08</v>
      </c>
      <c r="E21" s="493"/>
    </row>
    <row r="22" spans="1:5">
      <c r="A22">
        <f>+'q23'!$H$4</f>
        <v>2018</v>
      </c>
      <c r="B22" t="s">
        <v>296</v>
      </c>
      <c r="C22" t="str">
        <f>Aux!$B$52</f>
        <v>Mulheres</v>
      </c>
      <c r="D22" s="483">
        <f>+'q23'!$H$7</f>
        <v>888.56</v>
      </c>
      <c r="E22" s="493"/>
    </row>
    <row r="23" spans="1:5">
      <c r="A23">
        <f>+'q23'!$I$4</f>
        <v>2019</v>
      </c>
      <c r="B23" t="s">
        <v>296</v>
      </c>
      <c r="C23" t="str">
        <f>Aux!$B$50</f>
        <v>Total</v>
      </c>
      <c r="D23" s="483">
        <f>+'q23'!$I$5</f>
        <v>1005.09</v>
      </c>
      <c r="E23" s="493"/>
    </row>
    <row r="24" spans="1:5">
      <c r="A24">
        <f>+'q23'!$I$4</f>
        <v>2019</v>
      </c>
      <c r="B24" t="s">
        <v>296</v>
      </c>
      <c r="C24" t="str">
        <f>Aux!$B$51</f>
        <v>Homens</v>
      </c>
      <c r="D24" s="483">
        <f>+'q23'!$I$6</f>
        <v>1073.82</v>
      </c>
      <c r="E24" s="493"/>
    </row>
    <row r="25" spans="1:5">
      <c r="A25">
        <f>+'q23'!$I$4</f>
        <v>2019</v>
      </c>
      <c r="B25" t="s">
        <v>296</v>
      </c>
      <c r="C25" t="str">
        <f>Aux!$B$52</f>
        <v>Mulheres</v>
      </c>
      <c r="D25" s="483">
        <f>+'q23'!$I$7</f>
        <v>922.63</v>
      </c>
      <c r="E25" s="493"/>
    </row>
    <row r="26" spans="1:5">
      <c r="A26">
        <f>+'q23'!$J$4</f>
        <v>2020</v>
      </c>
      <c r="B26" t="s">
        <v>296</v>
      </c>
      <c r="C26" t="str">
        <f>Aux!$B$50</f>
        <v>Total</v>
      </c>
      <c r="D26" s="483">
        <f>+'q23'!$J$5</f>
        <v>1041.99</v>
      </c>
      <c r="E26" s="493"/>
    </row>
    <row r="27" spans="1:5">
      <c r="A27">
        <f>+'q23'!$J$4</f>
        <v>2020</v>
      </c>
      <c r="B27" t="s">
        <v>296</v>
      </c>
      <c r="C27" t="str">
        <f>Aux!$B$51</f>
        <v>Homens</v>
      </c>
      <c r="D27" s="483">
        <f>+'q23'!$J$6</f>
        <v>1109.21</v>
      </c>
      <c r="E27" s="493"/>
    </row>
    <row r="28" spans="1:5">
      <c r="A28">
        <f>+'q23'!$J$4</f>
        <v>2020</v>
      </c>
      <c r="B28" t="s">
        <v>296</v>
      </c>
      <c r="C28" t="str">
        <f>Aux!$B$52</f>
        <v>Mulheres</v>
      </c>
      <c r="D28" s="483">
        <f>+'q23'!$J$7</f>
        <v>960.27</v>
      </c>
      <c r="E28" s="493"/>
    </row>
    <row r="29" spans="1:5">
      <c r="A29">
        <f>+'q23'!$K$4</f>
        <v>2021</v>
      </c>
      <c r="B29" t="s">
        <v>296</v>
      </c>
      <c r="C29" t="str">
        <f>Aux!$B$50</f>
        <v>Total</v>
      </c>
      <c r="D29" s="483">
        <f>+'q23'!$K$5</f>
        <v>1082.77</v>
      </c>
      <c r="E29" s="493"/>
    </row>
    <row r="30" spans="1:5">
      <c r="A30">
        <f>+'q23'!$K$4</f>
        <v>2021</v>
      </c>
      <c r="B30" t="s">
        <v>296</v>
      </c>
      <c r="C30" t="str">
        <f>Aux!$B$51</f>
        <v>Homens</v>
      </c>
      <c r="D30" s="483">
        <f>+'q23'!$K$6</f>
        <v>1152.24</v>
      </c>
      <c r="E30" s="493"/>
    </row>
    <row r="31" spans="1:5">
      <c r="A31">
        <f>+'q23'!$K$4</f>
        <v>2021</v>
      </c>
      <c r="B31" t="s">
        <v>296</v>
      </c>
      <c r="C31" t="str">
        <f>Aux!$B$52</f>
        <v>Mulheres</v>
      </c>
      <c r="D31" s="483">
        <f>+'q23'!$K$7</f>
        <v>999.33</v>
      </c>
      <c r="E31" s="493"/>
    </row>
    <row r="32" spans="1:5">
      <c r="A32">
        <f>+'q23'!$L$4</f>
        <v>2022</v>
      </c>
      <c r="B32" t="s">
        <v>296</v>
      </c>
      <c r="C32" t="str">
        <f>Aux!$B$50</f>
        <v>Total</v>
      </c>
      <c r="D32" s="483">
        <f>+'q23'!$L$5</f>
        <v>1143.45</v>
      </c>
      <c r="E32" s="493"/>
    </row>
    <row r="33" spans="1:8">
      <c r="A33">
        <f>+'q23'!$L$4</f>
        <v>2022</v>
      </c>
      <c r="B33" t="s">
        <v>296</v>
      </c>
      <c r="C33" t="str">
        <f>Aux!$B$51</f>
        <v>Homens</v>
      </c>
      <c r="D33" s="483">
        <f>+'q23'!$L$6</f>
        <v>1217.33</v>
      </c>
      <c r="E33" s="493"/>
    </row>
    <row r="34" spans="1:8">
      <c r="A34">
        <f>+'q23'!$L$4</f>
        <v>2022</v>
      </c>
      <c r="B34" t="s">
        <v>296</v>
      </c>
      <c r="C34" t="str">
        <f>Aux!$B$52</f>
        <v>Mulheres</v>
      </c>
      <c r="D34" s="483">
        <f>+'q23'!$L$7</f>
        <v>1054.3599999999999</v>
      </c>
      <c r="E34" s="493"/>
    </row>
    <row r="35" spans="1:8">
      <c r="A35">
        <f>+'q23'!$M$4</f>
        <v>2023</v>
      </c>
      <c r="B35" t="s">
        <v>296</v>
      </c>
      <c r="C35" t="str">
        <f>Aux!$B$50</f>
        <v>Total</v>
      </c>
      <c r="D35" s="483">
        <f>+'q23'!$M$5</f>
        <v>1219.8699999999999</v>
      </c>
      <c r="E35" s="493"/>
    </row>
    <row r="36" spans="1:8">
      <c r="A36">
        <f>+'q23'!$M$4</f>
        <v>2023</v>
      </c>
      <c r="B36" t="s">
        <v>296</v>
      </c>
      <c r="C36" t="str">
        <f>Aux!$B$51</f>
        <v>Homens</v>
      </c>
      <c r="D36" s="483">
        <f>+'q23'!$M$6</f>
        <v>1294.03</v>
      </c>
      <c r="E36" s="493"/>
      <c r="F36" s="483"/>
      <c r="G36" s="493"/>
      <c r="H36" s="493"/>
    </row>
    <row r="37" spans="1:8">
      <c r="A37">
        <f>+'q23'!$M$4</f>
        <v>2023</v>
      </c>
      <c r="B37" t="s">
        <v>296</v>
      </c>
      <c r="C37" t="str">
        <f>Aux!$B$52</f>
        <v>Mulheres</v>
      </c>
      <c r="D37" s="483">
        <f>+'q23'!$M$7</f>
        <v>1129.6400000000001</v>
      </c>
      <c r="E37" s="493"/>
      <c r="F37" s="483"/>
      <c r="G37" s="493"/>
      <c r="H37" s="493"/>
    </row>
    <row r="38" spans="1:8">
      <c r="A38">
        <f>+'q34'!$C$4</f>
        <v>2013</v>
      </c>
      <c r="B38" t="s">
        <v>297</v>
      </c>
      <c r="C38" t="str">
        <f>Aux!$B$50</f>
        <v>Total</v>
      </c>
      <c r="D38" s="483">
        <f>+'q34'!$C$5</f>
        <v>1093.82</v>
      </c>
      <c r="E38" s="493"/>
      <c r="F38" s="483"/>
      <c r="G38" s="493"/>
      <c r="H38" s="493"/>
    </row>
    <row r="39" spans="1:8">
      <c r="A39">
        <f>+'q34'!$C$4</f>
        <v>2013</v>
      </c>
      <c r="B39" t="s">
        <v>297</v>
      </c>
      <c r="C39" t="str">
        <f>Aux!$B$51</f>
        <v>Homens</v>
      </c>
      <c r="D39" s="483">
        <f>+'q34'!$C$6</f>
        <v>1209.21</v>
      </c>
      <c r="E39" s="493"/>
    </row>
    <row r="40" spans="1:8">
      <c r="A40">
        <f>+'q34'!$C$4</f>
        <v>2013</v>
      </c>
      <c r="B40" t="s">
        <v>297</v>
      </c>
      <c r="C40" t="str">
        <f>Aux!$B$52</f>
        <v>Mulheres</v>
      </c>
      <c r="D40" s="483">
        <f>+'q34'!$C$7</f>
        <v>958.12</v>
      </c>
      <c r="E40" s="493"/>
    </row>
    <row r="41" spans="1:8">
      <c r="A41">
        <f>+'q34'!$D$4</f>
        <v>2014</v>
      </c>
      <c r="B41" t="s">
        <v>297</v>
      </c>
      <c r="C41" t="str">
        <f>Aux!$B$50</f>
        <v>Total</v>
      </c>
      <c r="D41" s="483">
        <f>+'q34'!$D$5</f>
        <v>1093.21</v>
      </c>
      <c r="E41" s="493"/>
    </row>
    <row r="42" spans="1:8">
      <c r="A42">
        <f>+'q34'!$D$4</f>
        <v>2014</v>
      </c>
      <c r="B42" t="s">
        <v>297</v>
      </c>
      <c r="C42" t="str">
        <f>Aux!$B$51</f>
        <v>Homens</v>
      </c>
      <c r="D42" s="483">
        <f>+'q34'!$D$6</f>
        <v>1203.32</v>
      </c>
      <c r="E42" s="493"/>
    </row>
    <row r="43" spans="1:8">
      <c r="A43">
        <f>+'q34'!$D$4</f>
        <v>2014</v>
      </c>
      <c r="B43" t="s">
        <v>297</v>
      </c>
      <c r="C43" t="str">
        <f>Aux!$B$52</f>
        <v>Mulheres</v>
      </c>
      <c r="D43" s="483">
        <f>+'q34'!$D$7</f>
        <v>963.12</v>
      </c>
      <c r="E43" s="493"/>
    </row>
    <row r="44" spans="1:8">
      <c r="A44">
        <f>+'q34'!$E$4</f>
        <v>2015</v>
      </c>
      <c r="B44" t="s">
        <v>297</v>
      </c>
      <c r="C44" t="str">
        <f>Aux!$B$50</f>
        <v>Total</v>
      </c>
      <c r="D44" s="483">
        <f>+'q34'!$E$5</f>
        <v>1096.6600000000001</v>
      </c>
      <c r="E44" s="493"/>
    </row>
    <row r="45" spans="1:8">
      <c r="A45">
        <f>+'q34'!$E$4</f>
        <v>2015</v>
      </c>
      <c r="B45" t="s">
        <v>297</v>
      </c>
      <c r="C45" t="str">
        <f>Aux!$B$51</f>
        <v>Homens</v>
      </c>
      <c r="D45" s="483">
        <f>+'q34'!$E$6</f>
        <v>1207.76</v>
      </c>
      <c r="E45" s="493"/>
    </row>
    <row r="46" spans="1:8">
      <c r="A46">
        <f>+'q34'!$E$4</f>
        <v>2015</v>
      </c>
      <c r="B46" t="s">
        <v>297</v>
      </c>
      <c r="C46" t="str">
        <f>Aux!$B$52</f>
        <v>Mulheres</v>
      </c>
      <c r="D46" s="483">
        <f>+'q34'!$E$7</f>
        <v>966.85</v>
      </c>
      <c r="E46" s="493"/>
    </row>
    <row r="47" spans="1:8">
      <c r="A47">
        <f>+'q34'!$F$4</f>
        <v>2016</v>
      </c>
      <c r="B47" t="s">
        <v>297</v>
      </c>
      <c r="C47" t="str">
        <f>Aux!$B$50</f>
        <v>Total</v>
      </c>
      <c r="D47" s="483">
        <f>+'q34'!$F$5</f>
        <v>1107.8599999999999</v>
      </c>
      <c r="E47" s="493"/>
    </row>
    <row r="48" spans="1:8">
      <c r="A48">
        <f>+'q34'!$F$4</f>
        <v>2016</v>
      </c>
      <c r="B48" t="s">
        <v>297</v>
      </c>
      <c r="C48" t="str">
        <f>Aux!$B$51</f>
        <v>Homens</v>
      </c>
      <c r="D48" s="483">
        <f>+'q34'!$F$6</f>
        <v>1215.1099999999999</v>
      </c>
      <c r="E48" s="493"/>
    </row>
    <row r="49" spans="1:5">
      <c r="A49">
        <f>+'q34'!$F$4</f>
        <v>2016</v>
      </c>
      <c r="B49" t="s">
        <v>297</v>
      </c>
      <c r="C49" t="str">
        <f>Aux!$B$52</f>
        <v>Mulheres</v>
      </c>
      <c r="D49" s="483">
        <f>+'q34'!$F$7</f>
        <v>982.49</v>
      </c>
      <c r="E49" s="493"/>
    </row>
    <row r="50" spans="1:5">
      <c r="A50">
        <f>+'q34'!$G$4</f>
        <v>2017</v>
      </c>
      <c r="B50" t="s">
        <v>297</v>
      </c>
      <c r="C50" t="str">
        <f>Aux!$B$50</f>
        <v>Total</v>
      </c>
      <c r="D50" s="483">
        <f>+'q34'!$G$5</f>
        <v>1133.3399999999999</v>
      </c>
      <c r="E50" s="493"/>
    </row>
    <row r="51" spans="1:5">
      <c r="A51">
        <f>+'q34'!$G$4</f>
        <v>2017</v>
      </c>
      <c r="B51" t="s">
        <v>297</v>
      </c>
      <c r="C51" t="str">
        <f>Aux!$B$51</f>
        <v>Homens</v>
      </c>
      <c r="D51" s="483">
        <f>+'q34'!$G$6</f>
        <v>1236.8499999999999</v>
      </c>
      <c r="E51" s="493"/>
    </row>
    <row r="52" spans="1:5">
      <c r="A52">
        <f>+'q34'!$G$4</f>
        <v>2017</v>
      </c>
      <c r="B52" t="s">
        <v>297</v>
      </c>
      <c r="C52" t="str">
        <f>Aux!$B$52</f>
        <v>Mulheres</v>
      </c>
      <c r="D52" s="483">
        <f>+'q34'!$G$7</f>
        <v>1011.02</v>
      </c>
      <c r="E52" s="493"/>
    </row>
    <row r="53" spans="1:5">
      <c r="A53">
        <f>+'q34'!$H$4</f>
        <v>2018</v>
      </c>
      <c r="B53" t="s">
        <v>297</v>
      </c>
      <c r="C53" t="str">
        <f>Aux!$B$50</f>
        <v>Total</v>
      </c>
      <c r="D53" s="483">
        <f>+'q34'!$H$5</f>
        <v>1170.25</v>
      </c>
      <c r="E53" s="493"/>
    </row>
    <row r="54" spans="1:5">
      <c r="A54">
        <f>+'q34'!$H$4</f>
        <v>2018</v>
      </c>
      <c r="B54" t="s">
        <v>297</v>
      </c>
      <c r="C54" t="str">
        <f>Aux!$B$51</f>
        <v>Homens</v>
      </c>
      <c r="D54" s="483">
        <f>+'q34'!$H$6</f>
        <v>1273.99</v>
      </c>
      <c r="E54" s="493"/>
    </row>
    <row r="55" spans="1:5">
      <c r="A55">
        <f>+'q34'!$H$4</f>
        <v>2018</v>
      </c>
      <c r="B55" t="s">
        <v>297</v>
      </c>
      <c r="C55" t="str">
        <f>Aux!$B$52</f>
        <v>Mulheres</v>
      </c>
      <c r="D55" s="483">
        <f>+'q34'!$H$7</f>
        <v>1046.5899999999999</v>
      </c>
      <c r="E55" s="493"/>
    </row>
    <row r="56" spans="1:5">
      <c r="A56">
        <f>+'q34'!$I$4</f>
        <v>2019</v>
      </c>
      <c r="B56" t="s">
        <v>297</v>
      </c>
      <c r="C56" t="str">
        <f>Aux!$B$50</f>
        <v>Total</v>
      </c>
      <c r="D56" s="483">
        <f>+'q34'!$I$5</f>
        <v>1209.94</v>
      </c>
      <c r="E56" s="493"/>
    </row>
    <row r="57" spans="1:5">
      <c r="A57">
        <f>+'q34'!$I$4</f>
        <v>2019</v>
      </c>
      <c r="B57" t="s">
        <v>297</v>
      </c>
      <c r="C57" t="str">
        <f>Aux!$B$51</f>
        <v>Homens</v>
      </c>
      <c r="D57" s="483">
        <f>+'q34'!$I$6</f>
        <v>1312.43</v>
      </c>
      <c r="E57" s="493"/>
    </row>
    <row r="58" spans="1:5">
      <c r="A58">
        <f>+'q34'!$I$4</f>
        <v>2019</v>
      </c>
      <c r="B58" t="s">
        <v>297</v>
      </c>
      <c r="C58" t="str">
        <f>Aux!$B$52</f>
        <v>Mulheres</v>
      </c>
      <c r="D58" s="483">
        <f>+'q34'!$I$7</f>
        <v>1086.97</v>
      </c>
      <c r="E58" s="493"/>
    </row>
    <row r="59" spans="1:5">
      <c r="A59">
        <f>+'q34'!$J$4</f>
        <v>2020</v>
      </c>
      <c r="B59" t="s">
        <v>297</v>
      </c>
      <c r="C59" t="str">
        <f>Aux!$B$50</f>
        <v>Total</v>
      </c>
      <c r="D59" s="483">
        <f>+'q34'!$J$5</f>
        <v>1250.75</v>
      </c>
      <c r="E59" s="493"/>
    </row>
    <row r="60" spans="1:5">
      <c r="A60">
        <f>+'q34'!$J$4</f>
        <v>2020</v>
      </c>
      <c r="B60" t="s">
        <v>297</v>
      </c>
      <c r="C60" t="str">
        <f>Aux!$B$51</f>
        <v>Homens</v>
      </c>
      <c r="D60" s="483">
        <f>+'q34'!$J$6</f>
        <v>1349.35</v>
      </c>
      <c r="E60" s="493"/>
    </row>
    <row r="61" spans="1:5">
      <c r="A61">
        <f>+'q34'!$J$4</f>
        <v>2020</v>
      </c>
      <c r="B61" t="s">
        <v>297</v>
      </c>
      <c r="C61" t="str">
        <f>Aux!$B$52</f>
        <v>Mulheres</v>
      </c>
      <c r="D61" s="483">
        <f>+'q34'!$J$7</f>
        <v>1130.8699999999999</v>
      </c>
      <c r="E61" s="493"/>
    </row>
    <row r="62" spans="1:5">
      <c r="A62">
        <f>+'q34'!$K$4</f>
        <v>2021</v>
      </c>
      <c r="B62" t="s">
        <v>297</v>
      </c>
      <c r="C62" t="str">
        <f>Aux!$B$50</f>
        <v>Total</v>
      </c>
      <c r="D62" s="483">
        <f>+'q34'!$K$5</f>
        <v>1294.1099999999999</v>
      </c>
      <c r="E62" s="493"/>
    </row>
    <row r="63" spans="1:5">
      <c r="A63">
        <f>+'q34'!$K$4</f>
        <v>2021</v>
      </c>
      <c r="B63" t="s">
        <v>297</v>
      </c>
      <c r="C63" t="str">
        <f>Aux!$B$51</f>
        <v>Homens</v>
      </c>
      <c r="D63" s="483">
        <f>+'q34'!$K$6</f>
        <v>1395.7</v>
      </c>
      <c r="E63" s="493"/>
    </row>
    <row r="64" spans="1:5">
      <c r="A64">
        <f>+'q34'!$K$4</f>
        <v>2021</v>
      </c>
      <c r="B64" t="s">
        <v>297</v>
      </c>
      <c r="C64" t="str">
        <f>Aux!$B$52</f>
        <v>Mulheres</v>
      </c>
      <c r="D64" s="483">
        <f>+'q34'!$K$7</f>
        <v>1172.08</v>
      </c>
      <c r="E64" s="493"/>
    </row>
    <row r="65" spans="1:7">
      <c r="A65">
        <f>+'q34'!$L$4</f>
        <v>2022</v>
      </c>
      <c r="B65" t="s">
        <v>297</v>
      </c>
      <c r="C65" t="str">
        <f>Aux!$B$50</f>
        <v>Total</v>
      </c>
      <c r="D65" s="483">
        <f>+'q34'!$L$5</f>
        <v>1368</v>
      </c>
      <c r="E65" s="493"/>
    </row>
    <row r="66" spans="1:7">
      <c r="A66">
        <f>+'q34'!$L$4</f>
        <v>2022</v>
      </c>
      <c r="B66" t="s">
        <v>297</v>
      </c>
      <c r="C66" t="str">
        <f>Aux!$B$51</f>
        <v>Homens</v>
      </c>
      <c r="D66" s="483">
        <f>+'q34'!$L$6</f>
        <v>1476.2</v>
      </c>
      <c r="E66" s="493"/>
    </row>
    <row r="67" spans="1:7">
      <c r="A67">
        <f>+'q34'!$L$4</f>
        <v>2022</v>
      </c>
      <c r="B67" t="s">
        <v>297</v>
      </c>
      <c r="C67" t="str">
        <f>Aux!$B$52</f>
        <v>Mulheres</v>
      </c>
      <c r="D67" s="483">
        <f>+'q34'!$L$7</f>
        <v>1237.52</v>
      </c>
      <c r="E67" s="493"/>
    </row>
    <row r="68" spans="1:7">
      <c r="A68">
        <f>+'q34'!$M$4</f>
        <v>2023</v>
      </c>
      <c r="B68" t="s">
        <v>297</v>
      </c>
      <c r="C68" t="str">
        <f>Aux!$B$50</f>
        <v>Total</v>
      </c>
      <c r="D68" s="483">
        <f>+'q34'!$M$5</f>
        <v>1466.66</v>
      </c>
      <c r="E68" s="493"/>
    </row>
    <row r="69" spans="1:7">
      <c r="A69">
        <f>+'q34'!$M$4</f>
        <v>2023</v>
      </c>
      <c r="B69" t="s">
        <v>297</v>
      </c>
      <c r="C69" t="str">
        <f>Aux!$B$51</f>
        <v>Homens</v>
      </c>
      <c r="D69" s="483">
        <f>+'q34'!$M$6</f>
        <v>1577.33</v>
      </c>
      <c r="E69" s="493"/>
    </row>
    <row r="70" spans="1:7">
      <c r="A70">
        <f>+'q34'!$M$4</f>
        <v>2023</v>
      </c>
      <c r="B70" t="s">
        <v>297</v>
      </c>
      <c r="C70" t="str">
        <f>Aux!$B$52</f>
        <v>Mulheres</v>
      </c>
      <c r="D70" s="483">
        <f>+'q34'!$M$7</f>
        <v>1332.02</v>
      </c>
      <c r="E70" s="493"/>
      <c r="F70" s="483"/>
      <c r="G70" s="493"/>
    </row>
    <row r="71" spans="1:7">
      <c r="F71" s="493"/>
    </row>
    <row r="72" spans="1:7">
      <c r="F72" s="493"/>
    </row>
    <row r="80" spans="1:7">
      <c r="A80" s="480" t="s">
        <v>292</v>
      </c>
      <c r="B80" s="480" t="s">
        <v>274</v>
      </c>
    </row>
    <row r="81" spans="1:3">
      <c r="B81" t="s">
        <v>296</v>
      </c>
      <c r="C81" t="s">
        <v>297</v>
      </c>
    </row>
    <row r="82" spans="1:3">
      <c r="A82" s="480" t="s">
        <v>272</v>
      </c>
      <c r="B82" t="s">
        <v>116</v>
      </c>
      <c r="C82" t="s">
        <v>116</v>
      </c>
    </row>
    <row r="83" spans="1:3">
      <c r="A83" s="481">
        <v>2013</v>
      </c>
      <c r="B83" s="482">
        <v>993.79</v>
      </c>
      <c r="C83" s="482">
        <v>1209.21</v>
      </c>
    </row>
    <row r="84" spans="1:3">
      <c r="A84" s="481">
        <v>2014</v>
      </c>
      <c r="B84" s="482">
        <v>985.02</v>
      </c>
      <c r="C84" s="482">
        <v>1203.32</v>
      </c>
    </row>
    <row r="85" spans="1:3">
      <c r="A85" s="481">
        <v>2015</v>
      </c>
      <c r="B85" s="482">
        <v>990.05</v>
      </c>
      <c r="C85" s="482">
        <v>1207.76</v>
      </c>
    </row>
    <row r="86" spans="1:3">
      <c r="A86" s="481">
        <v>2016</v>
      </c>
      <c r="B86" s="482">
        <v>997.38</v>
      </c>
      <c r="C86" s="482">
        <v>1215.1099999999999</v>
      </c>
    </row>
    <row r="87" spans="1:3">
      <c r="A87" s="481">
        <v>2017</v>
      </c>
      <c r="B87" s="482">
        <v>1012.25</v>
      </c>
      <c r="C87" s="482">
        <v>1236.8499999999999</v>
      </c>
    </row>
    <row r="88" spans="1:3">
      <c r="A88" s="481">
        <v>2018</v>
      </c>
      <c r="B88" s="482">
        <v>1039.08</v>
      </c>
      <c r="C88" s="482">
        <v>1273.99</v>
      </c>
    </row>
    <row r="89" spans="1:3">
      <c r="A89" s="481">
        <v>2019</v>
      </c>
      <c r="B89" s="482">
        <v>1073.82</v>
      </c>
      <c r="C89" s="482">
        <v>1312.43</v>
      </c>
    </row>
    <row r="90" spans="1:3">
      <c r="A90" s="481">
        <v>2020</v>
      </c>
      <c r="B90" s="482">
        <v>1109.21</v>
      </c>
      <c r="C90" s="482">
        <v>1349.35</v>
      </c>
    </row>
    <row r="91" spans="1:3">
      <c r="A91" s="481">
        <v>2021</v>
      </c>
      <c r="B91" s="482">
        <v>1152.24</v>
      </c>
      <c r="C91" s="482">
        <v>1395.7</v>
      </c>
    </row>
    <row r="92" spans="1:3">
      <c r="A92" s="481">
        <v>2022</v>
      </c>
      <c r="B92" s="482">
        <v>1217.33</v>
      </c>
      <c r="C92" s="482">
        <v>1476.2</v>
      </c>
    </row>
    <row r="93" spans="1:3">
      <c r="A93" s="481">
        <v>2023</v>
      </c>
      <c r="B93" s="482">
        <v>1294.03</v>
      </c>
      <c r="C93" s="482">
        <v>1577.33</v>
      </c>
    </row>
    <row r="128" spans="1:1">
      <c r="A128" s="612" t="s">
        <v>497</v>
      </c>
    </row>
    <row r="129" spans="1:1">
      <c r="A129" s="612" t="s">
        <v>498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71B7-F442-46E3-822B-115B23A1B9F6}">
  <sheetPr codeName="Folha10"/>
  <dimension ref="A1:P447"/>
  <sheetViews>
    <sheetView topLeftCell="A22" zoomScaleNormal="100" workbookViewId="0">
      <selection activeCell="R62" sqref="R62"/>
    </sheetView>
  </sheetViews>
  <sheetFormatPr defaultRowHeight="12.75"/>
  <cols>
    <col min="4" max="4" width="13.5703125" customWidth="1"/>
    <col min="9" max="9" width="17.7109375" bestFit="1" customWidth="1"/>
    <col min="10" max="10" width="49.7109375" bestFit="1" customWidth="1"/>
    <col min="11" max="11" width="9.42578125" bestFit="1" customWidth="1"/>
    <col min="12" max="13" width="10.42578125" bestFit="1" customWidth="1"/>
    <col min="14" max="18" width="9.42578125" bestFit="1" customWidth="1"/>
    <col min="19" max="19" width="10.42578125" bestFit="1" customWidth="1"/>
    <col min="20" max="24" width="9.42578125" bestFit="1" customWidth="1"/>
    <col min="25" max="25" width="8.42578125" bestFit="1" customWidth="1"/>
    <col min="26" max="33" width="9.42578125" bestFit="1" customWidth="1"/>
    <col min="34" max="35" width="8.42578125" bestFit="1" customWidth="1"/>
    <col min="36" max="48" width="9.42578125" bestFit="1" customWidth="1"/>
    <col min="49" max="49" width="8.42578125" bestFit="1" customWidth="1"/>
    <col min="50" max="57" width="9.42578125" bestFit="1" customWidth="1"/>
    <col min="58" max="58" width="8.42578125" bestFit="1" customWidth="1"/>
    <col min="59" max="69" width="9.42578125" bestFit="1" customWidth="1"/>
    <col min="70" max="70" width="10.42578125" bestFit="1" customWidth="1"/>
  </cols>
  <sheetData>
    <row r="1" spans="1:14">
      <c r="N1" s="456" t="s">
        <v>295</v>
      </c>
    </row>
    <row r="2" spans="1:14">
      <c r="A2" s="456" t="s">
        <v>286</v>
      </c>
    </row>
    <row r="4" spans="1:14">
      <c r="A4" s="456" t="s">
        <v>209</v>
      </c>
      <c r="B4" s="456" t="s">
        <v>287</v>
      </c>
      <c r="C4" s="456" t="s">
        <v>210</v>
      </c>
      <c r="D4" s="456" t="s">
        <v>288</v>
      </c>
      <c r="E4" s="456" t="s">
        <v>289</v>
      </c>
    </row>
    <row r="5" spans="1:14">
      <c r="A5">
        <f>+'q22'!$C$4</f>
        <v>2013</v>
      </c>
      <c r="B5" t="str">
        <f>+Aux!$A$14</f>
        <v xml:space="preserve">A - Agricultura, produção animal, caça, floresta e pesca </v>
      </c>
      <c r="C5" t="str">
        <f>+LEFT(B5,1)</f>
        <v>A</v>
      </c>
      <c r="D5" s="456" t="s">
        <v>296</v>
      </c>
      <c r="E5" s="517">
        <f>+'q22'!$C$6</f>
        <v>684.7</v>
      </c>
      <c r="I5" s="480" t="s">
        <v>292</v>
      </c>
      <c r="J5" s="480" t="s">
        <v>274</v>
      </c>
    </row>
    <row r="6" spans="1:14">
      <c r="A6">
        <f>+'q22'!$C$4</f>
        <v>2013</v>
      </c>
      <c r="B6" t="str">
        <f>+Aux!$A$15</f>
        <v>B - Indústrias extrativas</v>
      </c>
      <c r="C6" t="str">
        <f t="shared" ref="C6:C69" si="0">+LEFT(B6,1)</f>
        <v>B</v>
      </c>
      <c r="D6" s="456" t="s">
        <v>296</v>
      </c>
      <c r="E6" s="517">
        <f>+'q22'!$C$7</f>
        <v>918.56</v>
      </c>
      <c r="J6" t="s">
        <v>80</v>
      </c>
      <c r="L6" t="s">
        <v>754</v>
      </c>
      <c r="M6" t="s">
        <v>273</v>
      </c>
    </row>
    <row r="7" spans="1:14">
      <c r="A7">
        <f>+'q22'!$C$4</f>
        <v>2013</v>
      </c>
      <c r="B7" t="str">
        <f>+Aux!$A$16</f>
        <v>C - Ind. transf.</v>
      </c>
      <c r="C7" t="str">
        <f t="shared" si="0"/>
        <v>C</v>
      </c>
      <c r="D7" s="456" t="s">
        <v>296</v>
      </c>
      <c r="E7" s="517">
        <f>+'q22'!$C$8</f>
        <v>839.41</v>
      </c>
      <c r="I7" s="480" t="s">
        <v>272</v>
      </c>
      <c r="J7" t="s">
        <v>296</v>
      </c>
      <c r="K7" t="s">
        <v>297</v>
      </c>
    </row>
    <row r="8" spans="1:14">
      <c r="A8">
        <f>+'q22'!$C$4</f>
        <v>2013</v>
      </c>
      <c r="B8" t="str">
        <f>+Aux!$A$17</f>
        <v>D - Eletricidade, gás, vapor, água quente e fria e ar frio</v>
      </c>
      <c r="C8" t="str">
        <f t="shared" si="0"/>
        <v>D</v>
      </c>
      <c r="D8" s="456" t="s">
        <v>296</v>
      </c>
      <c r="E8" s="517">
        <f>+'q22'!$C$33</f>
        <v>2395.92</v>
      </c>
      <c r="I8" s="481">
        <v>2013</v>
      </c>
      <c r="J8" s="517">
        <v>861.47</v>
      </c>
      <c r="K8" s="517">
        <v>1013.46</v>
      </c>
      <c r="L8" s="517">
        <v>1874.93</v>
      </c>
      <c r="M8" s="517">
        <v>1874.93</v>
      </c>
    </row>
    <row r="9" spans="1:14">
      <c r="A9">
        <f>+'q22'!$C$4</f>
        <v>2013</v>
      </c>
      <c r="B9" t="str">
        <f>+Aux!$A$18</f>
        <v>E - Captação, trat. e dist. água; saneam., gest. resíduos e desp.</v>
      </c>
      <c r="C9" t="str">
        <f t="shared" si="0"/>
        <v>E</v>
      </c>
      <c r="D9" s="456" t="s">
        <v>296</v>
      </c>
      <c r="E9" s="517">
        <f>+'q22'!$C$34</f>
        <v>880.63</v>
      </c>
      <c r="I9" s="481">
        <v>2014</v>
      </c>
      <c r="J9" s="517">
        <v>862.67</v>
      </c>
      <c r="K9" s="517">
        <v>1014.14</v>
      </c>
      <c r="L9" s="517">
        <v>1876.81</v>
      </c>
      <c r="M9" s="517">
        <v>1876.81</v>
      </c>
    </row>
    <row r="10" spans="1:14">
      <c r="A10">
        <f>+'q22'!$C$4</f>
        <v>2013</v>
      </c>
      <c r="B10" t="str">
        <f>+Aux!$A$19</f>
        <v>F - Construção</v>
      </c>
      <c r="C10" t="str">
        <f t="shared" si="0"/>
        <v>F</v>
      </c>
      <c r="D10" s="456" t="s">
        <v>296</v>
      </c>
      <c r="E10" s="517">
        <f>+'q22'!$C$35</f>
        <v>805.13</v>
      </c>
      <c r="I10" s="481">
        <v>2015</v>
      </c>
      <c r="J10" s="517">
        <v>867.89</v>
      </c>
      <c r="K10" s="517">
        <v>1022.01</v>
      </c>
      <c r="L10" s="517">
        <v>1889.9</v>
      </c>
      <c r="M10" s="517">
        <v>1889.9</v>
      </c>
    </row>
    <row r="11" spans="1:14">
      <c r="A11">
        <f>+'q22'!$C$4</f>
        <v>2013</v>
      </c>
      <c r="B11" t="str">
        <f>+Aux!$A$20</f>
        <v>G - Com. por grosso e ret. (…)</v>
      </c>
      <c r="C11" t="str">
        <f t="shared" si="0"/>
        <v>G</v>
      </c>
      <c r="D11" s="456" t="s">
        <v>296</v>
      </c>
      <c r="E11" s="517">
        <f>+'q22'!$C$36</f>
        <v>861.47</v>
      </c>
      <c r="I11" s="481">
        <v>2016</v>
      </c>
      <c r="J11" s="517">
        <v>881.9</v>
      </c>
      <c r="K11" s="517">
        <v>1039.55</v>
      </c>
      <c r="L11" s="517">
        <v>1921.4499999999998</v>
      </c>
      <c r="M11" s="517">
        <v>1921.4499999999998</v>
      </c>
    </row>
    <row r="12" spans="1:14">
      <c r="A12">
        <f>+'q22'!$C$4</f>
        <v>2013</v>
      </c>
      <c r="B12" t="str">
        <f>+Aux!$A$21</f>
        <v>H - Transportes e armazenagem</v>
      </c>
      <c r="C12" t="str">
        <f t="shared" si="0"/>
        <v>H</v>
      </c>
      <c r="D12" s="456" t="s">
        <v>296</v>
      </c>
      <c r="E12" s="517">
        <f>+'q22'!$C$37</f>
        <v>990.2</v>
      </c>
      <c r="I12" s="481">
        <v>2017</v>
      </c>
      <c r="J12" s="517">
        <v>900.4</v>
      </c>
      <c r="K12" s="517">
        <v>1066.6400000000001</v>
      </c>
      <c r="L12" s="517">
        <v>1967.04</v>
      </c>
      <c r="M12" s="517">
        <v>1967.04</v>
      </c>
    </row>
    <row r="13" spans="1:14">
      <c r="A13">
        <f>+'q22'!$C$4</f>
        <v>2013</v>
      </c>
      <c r="B13" t="str">
        <f>+Aux!$A$22</f>
        <v>I - Alojamento, rest. e sim.</v>
      </c>
      <c r="C13" t="str">
        <f t="shared" si="0"/>
        <v>I</v>
      </c>
      <c r="D13" s="456" t="s">
        <v>296</v>
      </c>
      <c r="E13" s="517">
        <f>+'q22'!$C$38</f>
        <v>663.49</v>
      </c>
      <c r="I13" s="481">
        <v>2018</v>
      </c>
      <c r="J13" s="517">
        <v>924.91</v>
      </c>
      <c r="K13" s="517">
        <v>1099.03</v>
      </c>
      <c r="L13" s="517">
        <v>2023.94</v>
      </c>
      <c r="M13" s="517">
        <v>2023.94</v>
      </c>
    </row>
    <row r="14" spans="1:14">
      <c r="A14">
        <f>+'q22'!$C$4</f>
        <v>2013</v>
      </c>
      <c r="B14" t="str">
        <f>+Aux!$A$23</f>
        <v>J - Atividades de informação e de comunicação</v>
      </c>
      <c r="C14" t="str">
        <f t="shared" si="0"/>
        <v>J</v>
      </c>
      <c r="D14" s="456" t="s">
        <v>296</v>
      </c>
      <c r="E14" s="517">
        <f>+'q22'!$C$39</f>
        <v>1515.4</v>
      </c>
      <c r="I14" s="481">
        <v>2019</v>
      </c>
      <c r="J14" s="517">
        <v>959.33</v>
      </c>
      <c r="K14" s="517">
        <v>1140.32</v>
      </c>
      <c r="L14" s="517">
        <v>2099.65</v>
      </c>
      <c r="M14" s="517">
        <v>2099.65</v>
      </c>
    </row>
    <row r="15" spans="1:14">
      <c r="A15">
        <f>+'q22'!$C$4</f>
        <v>2013</v>
      </c>
      <c r="B15" t="str">
        <f>+Aux!$A$24</f>
        <v>K - Atividades financeiras e de seguros</v>
      </c>
      <c r="C15" t="str">
        <f t="shared" si="0"/>
        <v>K</v>
      </c>
      <c r="D15" s="456" t="s">
        <v>296</v>
      </c>
      <c r="E15" s="517">
        <f>+'q22'!$C$40</f>
        <v>1577.83</v>
      </c>
      <c r="I15" s="481">
        <v>2020</v>
      </c>
      <c r="J15" s="517">
        <v>989.91</v>
      </c>
      <c r="K15" s="517">
        <v>1176.33</v>
      </c>
      <c r="L15" s="517">
        <v>2166.2399999999998</v>
      </c>
      <c r="M15" s="517">
        <v>2166.2399999999998</v>
      </c>
    </row>
    <row r="16" spans="1:14">
      <c r="A16">
        <f>+'q22'!$C$4</f>
        <v>2013</v>
      </c>
      <c r="B16" t="str">
        <f>+Aux!$A$25</f>
        <v>L - Atividades imobiliárias</v>
      </c>
      <c r="C16" t="str">
        <f t="shared" si="0"/>
        <v>L</v>
      </c>
      <c r="D16" s="456" t="s">
        <v>296</v>
      </c>
      <c r="E16" s="517">
        <f>+'q22'!$C$41</f>
        <v>958.98</v>
      </c>
      <c r="I16" s="481">
        <v>2021</v>
      </c>
      <c r="J16" s="517">
        <v>1031.8499999999999</v>
      </c>
      <c r="K16" s="517">
        <v>1224.17</v>
      </c>
      <c r="L16" s="517">
        <v>2256.02</v>
      </c>
      <c r="M16" s="517">
        <v>2256.02</v>
      </c>
    </row>
    <row r="17" spans="1:13">
      <c r="A17">
        <f>+'q22'!$C$4</f>
        <v>2013</v>
      </c>
      <c r="B17" t="str">
        <f>+Aux!$A$26</f>
        <v>M - Atividades de consultoria, científicas, técnicas e similares</v>
      </c>
      <c r="C17" t="str">
        <f t="shared" si="0"/>
        <v>M</v>
      </c>
      <c r="D17" s="456" t="s">
        <v>296</v>
      </c>
      <c r="E17" s="517">
        <f>+'q22'!$C$42</f>
        <v>1193.04</v>
      </c>
      <c r="I17" s="481">
        <v>2022</v>
      </c>
      <c r="J17" s="517">
        <v>1075.5999999999999</v>
      </c>
      <c r="K17" s="517">
        <v>1280.54</v>
      </c>
      <c r="L17" s="517">
        <v>2356.14</v>
      </c>
      <c r="M17" s="517">
        <v>2356.14</v>
      </c>
    </row>
    <row r="18" spans="1:13">
      <c r="A18">
        <f>+'q22'!$C$4</f>
        <v>2013</v>
      </c>
      <c r="B18" t="str">
        <f>+Aux!$A$27</f>
        <v>N - Ativ. Admin. e dos serv. apoio</v>
      </c>
      <c r="C18" t="str">
        <f t="shared" si="0"/>
        <v>N</v>
      </c>
      <c r="D18" s="456" t="s">
        <v>296</v>
      </c>
      <c r="E18" s="517">
        <f>+'q22'!$C$43</f>
        <v>767.09</v>
      </c>
      <c r="I18" s="481">
        <v>2023</v>
      </c>
      <c r="J18" s="517">
        <v>1146.8499999999999</v>
      </c>
      <c r="K18" s="517">
        <v>1373.91</v>
      </c>
      <c r="L18" s="517">
        <v>2520.7600000000002</v>
      </c>
      <c r="M18" s="517">
        <v>2520.7600000000002</v>
      </c>
    </row>
    <row r="19" spans="1:13">
      <c r="A19">
        <f>+'q22'!$C$4</f>
        <v>2013</v>
      </c>
      <c r="B19" t="str">
        <f>+Aux!$A$28</f>
        <v>O - Administração pública e defesa; segurança social obrigatória</v>
      </c>
      <c r="C19" t="str">
        <f t="shared" si="0"/>
        <v>O</v>
      </c>
      <c r="D19" s="456" t="s">
        <v>296</v>
      </c>
      <c r="E19" s="517">
        <f>+'q22'!$C$44</f>
        <v>874.37</v>
      </c>
      <c r="I19" s="481" t="s">
        <v>273</v>
      </c>
      <c r="J19" s="517">
        <v>10502.78</v>
      </c>
      <c r="K19" s="517">
        <v>12450.099999999999</v>
      </c>
      <c r="L19" s="517">
        <v>22952.879999999997</v>
      </c>
      <c r="M19" s="517">
        <v>22952.879999999997</v>
      </c>
    </row>
    <row r="20" spans="1:13">
      <c r="A20">
        <f>+'q22'!$C$4</f>
        <v>2013</v>
      </c>
      <c r="B20" t="str">
        <f>+Aux!$A$29</f>
        <v>P - Educação</v>
      </c>
      <c r="C20" t="str">
        <f t="shared" si="0"/>
        <v>P</v>
      </c>
      <c r="D20" s="456" t="s">
        <v>296</v>
      </c>
      <c r="E20" s="517">
        <f>+'q22'!$C$45</f>
        <v>1137.03</v>
      </c>
    </row>
    <row r="21" spans="1:13">
      <c r="A21">
        <f>+'q22'!$C$4</f>
        <v>2013</v>
      </c>
      <c r="B21" t="str">
        <f>+Aux!$A$30</f>
        <v>Q - Ativ. de saúde humana e apoio social</v>
      </c>
      <c r="C21" t="str">
        <f t="shared" si="0"/>
        <v>Q</v>
      </c>
      <c r="D21" s="456" t="s">
        <v>296</v>
      </c>
      <c r="E21" s="517">
        <f>+'q22'!$C$46</f>
        <v>820.32</v>
      </c>
    </row>
    <row r="22" spans="1:13">
      <c r="A22">
        <f>+'q22'!$C$4</f>
        <v>2013</v>
      </c>
      <c r="B22" t="str">
        <f>+Aux!$A$31</f>
        <v>R - Atividades artísticas, de espectáculos, desp. e recreativas</v>
      </c>
      <c r="C22" t="str">
        <f t="shared" si="0"/>
        <v>R</v>
      </c>
      <c r="D22" s="456" t="s">
        <v>296</v>
      </c>
      <c r="E22" s="517">
        <f>+'q22'!$C$47</f>
        <v>1457.95</v>
      </c>
    </row>
    <row r="23" spans="1:13">
      <c r="A23">
        <f>+'q22'!$C$4</f>
        <v>2013</v>
      </c>
      <c r="B23" t="str">
        <f>+Aux!$A$32</f>
        <v>S - Outras atividades de serviços</v>
      </c>
      <c r="C23" t="str">
        <f t="shared" si="0"/>
        <v>S</v>
      </c>
      <c r="D23" s="456" t="s">
        <v>296</v>
      </c>
      <c r="E23" s="517">
        <f>+'q22'!$C$48</f>
        <v>843.59</v>
      </c>
    </row>
    <row r="24" spans="1:13">
      <c r="A24">
        <f>+'q22'!$C$4</f>
        <v>2013</v>
      </c>
      <c r="B24" t="str">
        <f>+Aux!$A$33</f>
        <v>U - Ativ. org. interna. e outras instituições extra-territoriais</v>
      </c>
      <c r="C24" t="str">
        <f t="shared" si="0"/>
        <v>U</v>
      </c>
      <c r="D24" s="456" t="s">
        <v>296</v>
      </c>
      <c r="E24" s="517">
        <f>+'q22'!$C$49</f>
        <v>1810.36</v>
      </c>
    </row>
    <row r="25" spans="1:13">
      <c r="A25">
        <f>+'q22'!$D$4</f>
        <v>2014</v>
      </c>
      <c r="B25" t="str">
        <f>+Aux!$A$14</f>
        <v xml:space="preserve">A - Agricultura, produção animal, caça, floresta e pesca </v>
      </c>
      <c r="C25" t="str">
        <f t="shared" si="0"/>
        <v>A</v>
      </c>
      <c r="D25" s="456" t="s">
        <v>296</v>
      </c>
      <c r="E25" s="517">
        <f>+'q22'!$D$6</f>
        <v>687.92</v>
      </c>
      <c r="I25" s="480" t="s">
        <v>292</v>
      </c>
      <c r="J25" s="480" t="s">
        <v>274</v>
      </c>
    </row>
    <row r="26" spans="1:13">
      <c r="A26">
        <f>+'q22'!$D$4</f>
        <v>2014</v>
      </c>
      <c r="B26" t="str">
        <f>+Aux!$A$15</f>
        <v>B - Indústrias extrativas</v>
      </c>
      <c r="C26" t="str">
        <f t="shared" si="0"/>
        <v>B</v>
      </c>
      <c r="D26" s="456" t="s">
        <v>296</v>
      </c>
      <c r="E26" s="517">
        <f>+'q22'!$D$7</f>
        <v>934.74</v>
      </c>
      <c r="I26" s="480" t="s">
        <v>272</v>
      </c>
      <c r="J26" t="s">
        <v>296</v>
      </c>
      <c r="K26" t="s">
        <v>297</v>
      </c>
      <c r="L26" t="s">
        <v>273</v>
      </c>
    </row>
    <row r="27" spans="1:13">
      <c r="A27">
        <f>+'q22'!$D$4</f>
        <v>2014</v>
      </c>
      <c r="B27" t="str">
        <f>+Aux!$A$16</f>
        <v>C - Ind. transf.</v>
      </c>
      <c r="C27" t="str">
        <f t="shared" si="0"/>
        <v>C</v>
      </c>
      <c r="D27" s="456" t="s">
        <v>296</v>
      </c>
      <c r="E27" s="517">
        <f>+'q22'!$D$8</f>
        <v>844.01</v>
      </c>
      <c r="I27" s="481">
        <v>2013</v>
      </c>
      <c r="J27" s="517">
        <v>861.47</v>
      </c>
      <c r="K27" s="517">
        <v>1013.46</v>
      </c>
      <c r="L27" s="517">
        <v>1874.93</v>
      </c>
    </row>
    <row r="28" spans="1:13">
      <c r="A28">
        <f>+'q22'!$D$4</f>
        <v>2014</v>
      </c>
      <c r="B28" t="str">
        <f>+Aux!$A$17</f>
        <v>D - Eletricidade, gás, vapor, água quente e fria e ar frio</v>
      </c>
      <c r="C28" t="str">
        <f t="shared" si="0"/>
        <v>D</v>
      </c>
      <c r="D28" s="456" t="s">
        <v>296</v>
      </c>
      <c r="E28" s="517">
        <f>+'q22'!$D$33</f>
        <v>2065.0700000000002</v>
      </c>
      <c r="I28" s="481">
        <v>2014</v>
      </c>
      <c r="J28" s="517">
        <v>862.67</v>
      </c>
      <c r="K28" s="517">
        <v>1014.14</v>
      </c>
      <c r="L28" s="517">
        <v>1876.81</v>
      </c>
    </row>
    <row r="29" spans="1:13">
      <c r="A29">
        <f>+'q22'!$D$4</f>
        <v>2014</v>
      </c>
      <c r="B29" t="str">
        <f>+Aux!$A$18</f>
        <v>E - Captação, trat. e dist. água; saneam., gest. resíduos e desp.</v>
      </c>
      <c r="C29" t="str">
        <f t="shared" si="0"/>
        <v>E</v>
      </c>
      <c r="D29" s="456" t="s">
        <v>296</v>
      </c>
      <c r="E29" s="517">
        <f>+'q22'!$D$34</f>
        <v>885.35</v>
      </c>
      <c r="I29" s="481">
        <v>2015</v>
      </c>
      <c r="J29" s="517">
        <v>867.89</v>
      </c>
      <c r="K29" s="517">
        <v>1022.01</v>
      </c>
      <c r="L29" s="517">
        <v>1889.9</v>
      </c>
    </row>
    <row r="30" spans="1:13">
      <c r="A30">
        <f>+'q22'!$D$4</f>
        <v>2014</v>
      </c>
      <c r="B30" t="str">
        <f>+Aux!$A$19</f>
        <v>F - Construção</v>
      </c>
      <c r="C30" t="str">
        <f t="shared" si="0"/>
        <v>F</v>
      </c>
      <c r="D30" s="456" t="s">
        <v>296</v>
      </c>
      <c r="E30" s="517">
        <f>+'q22'!$D$35</f>
        <v>800.21</v>
      </c>
      <c r="I30" s="481">
        <v>2016</v>
      </c>
      <c r="J30" s="517">
        <v>881.9</v>
      </c>
      <c r="K30" s="517">
        <v>1039.55</v>
      </c>
      <c r="L30" s="517">
        <v>1921.4499999999998</v>
      </c>
    </row>
    <row r="31" spans="1:13">
      <c r="A31">
        <f>+'q22'!$D$4</f>
        <v>2014</v>
      </c>
      <c r="B31" t="str">
        <f>+Aux!$A$20</f>
        <v>G - Com. por grosso e ret. (…)</v>
      </c>
      <c r="C31" t="str">
        <f t="shared" si="0"/>
        <v>G</v>
      </c>
      <c r="D31" s="456" t="s">
        <v>296</v>
      </c>
      <c r="E31" s="517">
        <f>+'q22'!$D$36</f>
        <v>862.67</v>
      </c>
      <c r="I31" s="481">
        <v>2017</v>
      </c>
      <c r="J31" s="517">
        <v>900.4</v>
      </c>
      <c r="K31" s="517">
        <v>1066.6400000000001</v>
      </c>
      <c r="L31" s="517">
        <v>1967.04</v>
      </c>
    </row>
    <row r="32" spans="1:13">
      <c r="A32">
        <f>+'q22'!$D$4</f>
        <v>2014</v>
      </c>
      <c r="B32" t="str">
        <f>+Aux!$A$21</f>
        <v>H - Transportes e armazenagem</v>
      </c>
      <c r="C32" t="str">
        <f t="shared" si="0"/>
        <v>H</v>
      </c>
      <c r="D32" s="456" t="s">
        <v>296</v>
      </c>
      <c r="E32" s="517">
        <f>+'q22'!$D$37</f>
        <v>977.22</v>
      </c>
      <c r="I32" s="481">
        <v>2018</v>
      </c>
      <c r="J32" s="517">
        <v>924.91</v>
      </c>
      <c r="K32" s="517">
        <v>1099.03</v>
      </c>
      <c r="L32" s="517">
        <v>2023.94</v>
      </c>
    </row>
    <row r="33" spans="1:12">
      <c r="A33">
        <f>+'q22'!$D$4</f>
        <v>2014</v>
      </c>
      <c r="B33" t="str">
        <f>+Aux!$A$22</f>
        <v>I - Alojamento, rest. e sim.</v>
      </c>
      <c r="C33" t="str">
        <f t="shared" si="0"/>
        <v>I</v>
      </c>
      <c r="D33" s="456" t="s">
        <v>296</v>
      </c>
      <c r="E33" s="517">
        <f>+'q22'!$D$38</f>
        <v>669.99</v>
      </c>
      <c r="I33" s="481">
        <v>2019</v>
      </c>
      <c r="J33" s="517">
        <v>959.33</v>
      </c>
      <c r="K33" s="517">
        <v>1140.32</v>
      </c>
      <c r="L33" s="517">
        <v>2099.65</v>
      </c>
    </row>
    <row r="34" spans="1:12">
      <c r="A34">
        <f>+'q22'!$D$4</f>
        <v>2014</v>
      </c>
      <c r="B34" t="str">
        <f>+Aux!$A$23</f>
        <v>J - Atividades de informação e de comunicação</v>
      </c>
      <c r="C34" t="str">
        <f t="shared" si="0"/>
        <v>J</v>
      </c>
      <c r="D34" s="456" t="s">
        <v>296</v>
      </c>
      <c r="E34" s="517">
        <f>+'q22'!$D$39</f>
        <v>1500.69</v>
      </c>
      <c r="I34" s="481">
        <v>2020</v>
      </c>
      <c r="J34" s="517">
        <v>989.91</v>
      </c>
      <c r="K34" s="517">
        <v>1176.33</v>
      </c>
      <c r="L34" s="517">
        <v>2166.2399999999998</v>
      </c>
    </row>
    <row r="35" spans="1:12">
      <c r="A35">
        <f>+'q22'!$D$4</f>
        <v>2014</v>
      </c>
      <c r="B35" t="str">
        <f>+Aux!$A$24</f>
        <v>K - Atividades financeiras e de seguros</v>
      </c>
      <c r="C35" t="str">
        <f t="shared" si="0"/>
        <v>K</v>
      </c>
      <c r="D35" s="456" t="s">
        <v>296</v>
      </c>
      <c r="E35" s="517">
        <f>+'q22'!$D$40</f>
        <v>1572.96</v>
      </c>
      <c r="I35" s="481">
        <v>2021</v>
      </c>
      <c r="J35" s="517">
        <v>1031.8499999999999</v>
      </c>
      <c r="K35" s="517">
        <v>1224.17</v>
      </c>
      <c r="L35" s="517">
        <v>2256.02</v>
      </c>
    </row>
    <row r="36" spans="1:12">
      <c r="A36">
        <f>+'q22'!$D$4</f>
        <v>2014</v>
      </c>
      <c r="B36" t="str">
        <f>+Aux!$A$25</f>
        <v>L - Atividades imobiliárias</v>
      </c>
      <c r="C36" t="str">
        <f t="shared" si="0"/>
        <v>L</v>
      </c>
      <c r="D36" s="456" t="s">
        <v>296</v>
      </c>
      <c r="E36" s="517">
        <f>+'q22'!$D$41</f>
        <v>951.85</v>
      </c>
      <c r="I36" s="481">
        <v>2022</v>
      </c>
      <c r="J36" s="517">
        <v>1075.5999999999999</v>
      </c>
      <c r="K36" s="517">
        <v>1280.54</v>
      </c>
      <c r="L36" s="517">
        <v>2356.14</v>
      </c>
    </row>
    <row r="37" spans="1:12">
      <c r="A37">
        <f>+'q22'!$D$4</f>
        <v>2014</v>
      </c>
      <c r="B37" t="str">
        <f>+Aux!$A$26</f>
        <v>M - Atividades de consultoria, científicas, técnicas e similares</v>
      </c>
      <c r="C37" t="str">
        <f t="shared" si="0"/>
        <v>M</v>
      </c>
      <c r="D37" s="456" t="s">
        <v>296</v>
      </c>
      <c r="E37" s="517">
        <f>+'q22'!$D$42</f>
        <v>1170.25</v>
      </c>
      <c r="I37" s="481">
        <v>2023</v>
      </c>
      <c r="J37" s="517">
        <v>1146.8499999999999</v>
      </c>
      <c r="K37" s="517">
        <v>1373.91</v>
      </c>
      <c r="L37" s="517">
        <v>2520.7600000000002</v>
      </c>
    </row>
    <row r="38" spans="1:12">
      <c r="A38">
        <f>+'q22'!$D$4</f>
        <v>2014</v>
      </c>
      <c r="B38" t="str">
        <f>+Aux!$A$27</f>
        <v>N - Ativ. Admin. e dos serv. apoio</v>
      </c>
      <c r="C38" t="str">
        <f t="shared" si="0"/>
        <v>N</v>
      </c>
      <c r="D38" s="456" t="s">
        <v>296</v>
      </c>
      <c r="E38" s="517">
        <f>+'q22'!$D$43</f>
        <v>772.15</v>
      </c>
      <c r="I38" s="481" t="s">
        <v>273</v>
      </c>
      <c r="J38" s="517">
        <v>10502.78</v>
      </c>
      <c r="K38" s="517">
        <v>12450.099999999999</v>
      </c>
      <c r="L38" s="517">
        <v>22952.879999999997</v>
      </c>
    </row>
    <row r="39" spans="1:12">
      <c r="A39">
        <f>+'q22'!$D$4</f>
        <v>2014</v>
      </c>
      <c r="B39" t="str">
        <f>+Aux!$A$28</f>
        <v>O - Administração pública e defesa; segurança social obrigatória</v>
      </c>
      <c r="C39" t="str">
        <f t="shared" si="0"/>
        <v>O</v>
      </c>
      <c r="D39" s="456" t="s">
        <v>296</v>
      </c>
      <c r="E39" s="517">
        <f>+'q22'!$D$44</f>
        <v>880.99</v>
      </c>
    </row>
    <row r="40" spans="1:12">
      <c r="A40">
        <f>+'q22'!$D$4</f>
        <v>2014</v>
      </c>
      <c r="B40" t="str">
        <f>+Aux!$A$29</f>
        <v>P - Educação</v>
      </c>
      <c r="C40" t="str">
        <f t="shared" si="0"/>
        <v>P</v>
      </c>
      <c r="D40" s="456" t="s">
        <v>296</v>
      </c>
      <c r="E40" s="517">
        <f>+'q22'!$D$45</f>
        <v>1119.54</v>
      </c>
    </row>
    <row r="41" spans="1:12">
      <c r="A41">
        <f>+'q22'!$D$4</f>
        <v>2014</v>
      </c>
      <c r="B41" t="str">
        <f>+Aux!$A$30</f>
        <v>Q - Ativ. de saúde humana e apoio social</v>
      </c>
      <c r="C41" t="str">
        <f t="shared" si="0"/>
        <v>Q</v>
      </c>
      <c r="D41" s="456" t="s">
        <v>296</v>
      </c>
      <c r="E41" s="517">
        <f>+'q22'!$D$46</f>
        <v>821.86</v>
      </c>
      <c r="I41" s="480" t="s">
        <v>287</v>
      </c>
      <c r="J41" t="s">
        <v>755</v>
      </c>
    </row>
    <row r="42" spans="1:12">
      <c r="A42">
        <f>+'q22'!$D$4</f>
        <v>2014</v>
      </c>
      <c r="B42" t="str">
        <f>+Aux!$A$31</f>
        <v>R - Atividades artísticas, de espectáculos, desp. e recreativas</v>
      </c>
      <c r="C42" t="str">
        <f t="shared" si="0"/>
        <v>R</v>
      </c>
      <c r="D42" s="456" t="s">
        <v>296</v>
      </c>
      <c r="E42" s="517">
        <f>+'q22'!$D$47</f>
        <v>1383.37</v>
      </c>
    </row>
    <row r="43" spans="1:12">
      <c r="A43">
        <f>+'q22'!$D$4</f>
        <v>2014</v>
      </c>
      <c r="B43" t="str">
        <f>+Aux!$A$32</f>
        <v>S - Outras atividades de serviços</v>
      </c>
      <c r="C43" t="str">
        <f t="shared" si="0"/>
        <v>S</v>
      </c>
      <c r="D43" s="456" t="s">
        <v>296</v>
      </c>
      <c r="E43" s="517">
        <f>+'q22'!$D$48</f>
        <v>847.6</v>
      </c>
      <c r="I43" s="480" t="s">
        <v>292</v>
      </c>
      <c r="J43" s="480" t="s">
        <v>274</v>
      </c>
    </row>
    <row r="44" spans="1:12">
      <c r="A44">
        <f>+'q22'!$D$4</f>
        <v>2014</v>
      </c>
      <c r="B44" t="str">
        <f>+Aux!$A$33</f>
        <v>U - Ativ. org. interna. e outras instituições extra-territoriais</v>
      </c>
      <c r="C44" t="str">
        <f t="shared" si="0"/>
        <v>U</v>
      </c>
      <c r="D44" s="456" t="s">
        <v>296</v>
      </c>
      <c r="E44" s="517">
        <f>+'q22'!$D$49</f>
        <v>1772.71</v>
      </c>
      <c r="I44" s="480" t="s">
        <v>272</v>
      </c>
    </row>
    <row r="45" spans="1:12">
      <c r="A45">
        <f>+'q22'!$E$4</f>
        <v>2015</v>
      </c>
      <c r="B45" t="str">
        <f>+Aux!$A$14</f>
        <v xml:space="preserve">A - Agricultura, produção animal, caça, floresta e pesca </v>
      </c>
      <c r="C45" t="str">
        <f t="shared" si="0"/>
        <v>A</v>
      </c>
      <c r="D45" s="456" t="s">
        <v>296</v>
      </c>
      <c r="E45" s="517">
        <f>+'q22'!$E$6</f>
        <v>701.34</v>
      </c>
    </row>
    <row r="46" spans="1:12">
      <c r="A46">
        <f>+'q22'!$E$4</f>
        <v>2015</v>
      </c>
      <c r="B46" t="str">
        <f>+Aux!$A$15</f>
        <v>B - Indústrias extrativas</v>
      </c>
      <c r="C46" t="str">
        <f t="shared" si="0"/>
        <v>B</v>
      </c>
      <c r="D46" s="456" t="s">
        <v>296</v>
      </c>
      <c r="E46" s="517">
        <f>+'q22'!$E$7</f>
        <v>937.81</v>
      </c>
    </row>
    <row r="47" spans="1:12">
      <c r="A47">
        <f>+'q22'!$E$4</f>
        <v>2015</v>
      </c>
      <c r="B47" t="str">
        <f>+Aux!$A$16</f>
        <v>C - Ind. transf.</v>
      </c>
      <c r="C47" t="str">
        <f t="shared" si="0"/>
        <v>C</v>
      </c>
      <c r="D47" s="456" t="s">
        <v>296</v>
      </c>
      <c r="E47" s="517">
        <f>+'q22'!$E$8</f>
        <v>856.12</v>
      </c>
    </row>
    <row r="48" spans="1:12">
      <c r="A48">
        <f>+'q22'!$E$4</f>
        <v>2015</v>
      </c>
      <c r="B48" t="str">
        <f>+Aux!$A$17</f>
        <v>D - Eletricidade, gás, vapor, água quente e fria e ar frio</v>
      </c>
      <c r="C48" t="str">
        <f t="shared" si="0"/>
        <v>D</v>
      </c>
      <c r="D48" s="456" t="s">
        <v>296</v>
      </c>
      <c r="E48" s="517">
        <f>+'q22'!$E$33</f>
        <v>2091.5</v>
      </c>
    </row>
    <row r="49" spans="1:5">
      <c r="A49">
        <f>+'q22'!$E$4</f>
        <v>2015</v>
      </c>
      <c r="B49" t="str">
        <f>+Aux!$A$18</f>
        <v>E - Captação, trat. e dist. água; saneam., gest. resíduos e desp.</v>
      </c>
      <c r="C49" t="str">
        <f t="shared" si="0"/>
        <v>E</v>
      </c>
      <c r="D49" s="456" t="s">
        <v>296</v>
      </c>
      <c r="E49" s="517">
        <f>+'q22'!$E$34</f>
        <v>893.71</v>
      </c>
    </row>
    <row r="50" spans="1:5">
      <c r="A50">
        <f>+'q22'!$E$4</f>
        <v>2015</v>
      </c>
      <c r="B50" t="str">
        <f>+Aux!$A$19</f>
        <v>F - Construção</v>
      </c>
      <c r="C50" t="str">
        <f t="shared" si="0"/>
        <v>F</v>
      </c>
      <c r="D50" s="456" t="s">
        <v>296</v>
      </c>
      <c r="E50" s="517">
        <f>+'q22'!$E$35</f>
        <v>796.22</v>
      </c>
    </row>
    <row r="51" spans="1:5">
      <c r="A51">
        <f>+'q22'!$E$4</f>
        <v>2015</v>
      </c>
      <c r="B51" t="str">
        <f>+Aux!$A$20</f>
        <v>G - Com. por grosso e ret. (…)</v>
      </c>
      <c r="C51" t="str">
        <f t="shared" si="0"/>
        <v>G</v>
      </c>
      <c r="D51" s="456" t="s">
        <v>296</v>
      </c>
      <c r="E51" s="517">
        <f>+'q22'!$E$36</f>
        <v>867.89</v>
      </c>
    </row>
    <row r="52" spans="1:5">
      <c r="A52">
        <f>+'q22'!$E$4</f>
        <v>2015</v>
      </c>
      <c r="B52" t="str">
        <f>+Aux!$A$21</f>
        <v>H - Transportes e armazenagem</v>
      </c>
      <c r="C52" t="str">
        <f t="shared" si="0"/>
        <v>H</v>
      </c>
      <c r="D52" s="456" t="s">
        <v>296</v>
      </c>
      <c r="E52" s="517">
        <f>+'q22'!$E$37</f>
        <v>988.25</v>
      </c>
    </row>
    <row r="53" spans="1:5">
      <c r="A53">
        <f>+'q22'!$E$4</f>
        <v>2015</v>
      </c>
      <c r="B53" t="str">
        <f>+Aux!$A$22</f>
        <v>I - Alojamento, rest. e sim.</v>
      </c>
      <c r="C53" t="str">
        <f t="shared" si="0"/>
        <v>I</v>
      </c>
      <c r="D53" s="456" t="s">
        <v>296</v>
      </c>
      <c r="E53" s="517">
        <f>+'q22'!$E$38</f>
        <v>673.94</v>
      </c>
    </row>
    <row r="54" spans="1:5">
      <c r="A54">
        <f>+'q22'!$E$4</f>
        <v>2015</v>
      </c>
      <c r="B54" t="str">
        <f>+Aux!$A$23</f>
        <v>J - Atividades de informação e de comunicação</v>
      </c>
      <c r="C54" t="str">
        <f t="shared" si="0"/>
        <v>J</v>
      </c>
      <c r="D54" s="456" t="s">
        <v>296</v>
      </c>
      <c r="E54" s="517">
        <f>+'q22'!$E$39</f>
        <v>1488.73</v>
      </c>
    </row>
    <row r="55" spans="1:5">
      <c r="A55">
        <f>+'q22'!$E$4</f>
        <v>2015</v>
      </c>
      <c r="B55" t="str">
        <f>+Aux!$A$24</f>
        <v>K - Atividades financeiras e de seguros</v>
      </c>
      <c r="C55" t="str">
        <f t="shared" si="0"/>
        <v>K</v>
      </c>
      <c r="D55" s="456" t="s">
        <v>296</v>
      </c>
      <c r="E55" s="517">
        <f>+'q22'!$E$40</f>
        <v>1571.12</v>
      </c>
    </row>
    <row r="56" spans="1:5">
      <c r="A56">
        <f>+'q22'!$E$4</f>
        <v>2015</v>
      </c>
      <c r="B56" t="str">
        <f>+Aux!$A$25</f>
        <v>L - Atividades imobiliárias</v>
      </c>
      <c r="C56" t="str">
        <f t="shared" si="0"/>
        <v>L</v>
      </c>
      <c r="D56" s="456" t="s">
        <v>296</v>
      </c>
      <c r="E56" s="517">
        <f>+'q22'!$E$41</f>
        <v>945.14</v>
      </c>
    </row>
    <row r="57" spans="1:5">
      <c r="A57">
        <f>+'q22'!$E$4</f>
        <v>2015</v>
      </c>
      <c r="B57" t="str">
        <f>+Aux!$A$26</f>
        <v>M - Atividades de consultoria, científicas, técnicas e similares</v>
      </c>
      <c r="C57" t="str">
        <f t="shared" si="0"/>
        <v>M</v>
      </c>
      <c r="D57" s="456" t="s">
        <v>296</v>
      </c>
      <c r="E57" s="517">
        <f>+'q22'!$E$42</f>
        <v>1171.06</v>
      </c>
    </row>
    <row r="58" spans="1:5">
      <c r="A58">
        <f>+'q22'!$E$4</f>
        <v>2015</v>
      </c>
      <c r="B58" t="str">
        <f>+Aux!$A$27</f>
        <v>N - Ativ. Admin. e dos serv. apoio</v>
      </c>
      <c r="C58" t="str">
        <f t="shared" si="0"/>
        <v>N</v>
      </c>
      <c r="D58" s="456" t="s">
        <v>296</v>
      </c>
      <c r="E58" s="517">
        <f>+'q22'!$E$43</f>
        <v>768.27</v>
      </c>
    </row>
    <row r="59" spans="1:5">
      <c r="A59">
        <f>+'q22'!$E$4</f>
        <v>2015</v>
      </c>
      <c r="B59" t="str">
        <f>+Aux!$A$28</f>
        <v>O - Administração pública e defesa; segurança social obrigatória</v>
      </c>
      <c r="C59" t="str">
        <f t="shared" si="0"/>
        <v>O</v>
      </c>
      <c r="D59" s="456" t="s">
        <v>296</v>
      </c>
      <c r="E59" s="517">
        <f>+'q22'!$E$44</f>
        <v>849.2</v>
      </c>
    </row>
    <row r="60" spans="1:5">
      <c r="A60">
        <f>+'q22'!$E$4</f>
        <v>2015</v>
      </c>
      <c r="B60" t="str">
        <f>+Aux!$A$29</f>
        <v>P - Educação</v>
      </c>
      <c r="C60" t="str">
        <f t="shared" si="0"/>
        <v>P</v>
      </c>
      <c r="D60" s="456" t="s">
        <v>296</v>
      </c>
      <c r="E60" s="517">
        <f>+'q22'!$E$45</f>
        <v>1118.44</v>
      </c>
    </row>
    <row r="61" spans="1:5">
      <c r="A61">
        <f>+'q22'!$E$4</f>
        <v>2015</v>
      </c>
      <c r="B61" t="str">
        <f>+Aux!$A$30</f>
        <v>Q - Ativ. de saúde humana e apoio social</v>
      </c>
      <c r="C61" t="str">
        <f t="shared" si="0"/>
        <v>Q</v>
      </c>
      <c r="D61" s="456" t="s">
        <v>296</v>
      </c>
      <c r="E61" s="517">
        <f>+'q22'!$E$46</f>
        <v>833.44</v>
      </c>
    </row>
    <row r="62" spans="1:5">
      <c r="A62">
        <f>+'q22'!$E$4</f>
        <v>2015</v>
      </c>
      <c r="B62" t="str">
        <f>+Aux!$A$31</f>
        <v>R - Atividades artísticas, de espectáculos, desp. e recreativas</v>
      </c>
      <c r="C62" t="str">
        <f t="shared" si="0"/>
        <v>R</v>
      </c>
      <c r="D62" s="456" t="s">
        <v>296</v>
      </c>
      <c r="E62" s="517">
        <f>+'q22'!$E$47</f>
        <v>1514.4</v>
      </c>
    </row>
    <row r="63" spans="1:5">
      <c r="A63">
        <f>+'q22'!$E$4</f>
        <v>2015</v>
      </c>
      <c r="B63" t="str">
        <f>+Aux!$A$32</f>
        <v>S - Outras atividades de serviços</v>
      </c>
      <c r="C63" t="str">
        <f t="shared" si="0"/>
        <v>S</v>
      </c>
      <c r="D63" s="456" t="s">
        <v>296</v>
      </c>
      <c r="E63" s="517">
        <f>+'q22'!$E$48</f>
        <v>847.05</v>
      </c>
    </row>
    <row r="64" spans="1:5">
      <c r="A64">
        <f>+'q22'!$E$4</f>
        <v>2015</v>
      </c>
      <c r="B64" t="str">
        <f>+Aux!$A$33</f>
        <v>U - Ativ. org. interna. e outras instituições extra-territoriais</v>
      </c>
      <c r="C64" t="str">
        <f t="shared" si="0"/>
        <v>U</v>
      </c>
      <c r="D64" s="456" t="s">
        <v>296</v>
      </c>
      <c r="E64" s="517">
        <f>+'q22'!$E$49</f>
        <v>1910.54</v>
      </c>
    </row>
    <row r="65" spans="1:16">
      <c r="A65">
        <f>+'q22'!$F$4</f>
        <v>2016</v>
      </c>
      <c r="B65" t="str">
        <f>+Aux!$A$14</f>
        <v xml:space="preserve">A - Agricultura, produção animal, caça, floresta e pesca </v>
      </c>
      <c r="C65" t="str">
        <f t="shared" si="0"/>
        <v>A</v>
      </c>
      <c r="D65" s="456" t="s">
        <v>296</v>
      </c>
      <c r="E65" s="517">
        <f>+'q22'!$F$6</f>
        <v>726.49</v>
      </c>
    </row>
    <row r="66" spans="1:16">
      <c r="A66">
        <f>+'q22'!$F$4</f>
        <v>2016</v>
      </c>
      <c r="B66" t="str">
        <f>+Aux!$A$15</f>
        <v>B - Indústrias extrativas</v>
      </c>
      <c r="C66" t="str">
        <f t="shared" si="0"/>
        <v>B</v>
      </c>
      <c r="D66" s="456" t="s">
        <v>296</v>
      </c>
      <c r="E66" s="517">
        <f>+'q22'!$F$7</f>
        <v>958.1</v>
      </c>
    </row>
    <row r="67" spans="1:16">
      <c r="A67">
        <f>+'q22'!$F$4</f>
        <v>2016</v>
      </c>
      <c r="B67" t="str">
        <f>+Aux!$A$16</f>
        <v>C - Ind. transf.</v>
      </c>
      <c r="C67" t="str">
        <f t="shared" si="0"/>
        <v>C</v>
      </c>
      <c r="D67" s="456" t="s">
        <v>296</v>
      </c>
      <c r="E67" s="517">
        <f>+'q22'!$F$8</f>
        <v>870.08</v>
      </c>
    </row>
    <row r="68" spans="1:16">
      <c r="A68">
        <f>+'q22'!$F$4</f>
        <v>2016</v>
      </c>
      <c r="B68" t="str">
        <f>+Aux!$A$17</f>
        <v>D - Eletricidade, gás, vapor, água quente e fria e ar frio</v>
      </c>
      <c r="C68" t="str">
        <f t="shared" si="0"/>
        <v>D</v>
      </c>
      <c r="D68" s="456" t="s">
        <v>296</v>
      </c>
      <c r="E68" s="517">
        <f>+'q22'!$F$33</f>
        <v>2075.64</v>
      </c>
    </row>
    <row r="69" spans="1:16">
      <c r="A69">
        <f>+'q22'!$F$4</f>
        <v>2016</v>
      </c>
      <c r="B69" t="str">
        <f>+Aux!$A$18</f>
        <v>E - Captação, trat. e dist. água; saneam., gest. resíduos e desp.</v>
      </c>
      <c r="C69" t="str">
        <f t="shared" si="0"/>
        <v>E</v>
      </c>
      <c r="D69" s="456" t="s">
        <v>296</v>
      </c>
      <c r="E69" s="517">
        <f>+'q22'!$F$34</f>
        <v>883.84</v>
      </c>
      <c r="I69" s="456"/>
    </row>
    <row r="70" spans="1:16">
      <c r="A70">
        <f>+'q22'!$F$4</f>
        <v>2016</v>
      </c>
      <c r="B70" t="str">
        <f>+Aux!$A$19</f>
        <v>F - Construção</v>
      </c>
      <c r="C70" t="str">
        <f t="shared" ref="C70:C133" si="1">+LEFT(B70,1)</f>
        <v>F</v>
      </c>
      <c r="D70" s="456" t="s">
        <v>296</v>
      </c>
      <c r="E70" s="517">
        <f>+'q22'!$F$35</f>
        <v>798.87</v>
      </c>
    </row>
    <row r="71" spans="1:16">
      <c r="A71">
        <f>+'q22'!$F$4</f>
        <v>2016</v>
      </c>
      <c r="B71" t="str">
        <f>+Aux!$A$20</f>
        <v>G - Com. por grosso e ret. (…)</v>
      </c>
      <c r="C71" t="str">
        <f t="shared" si="1"/>
        <v>G</v>
      </c>
      <c r="D71" s="456" t="s">
        <v>296</v>
      </c>
      <c r="E71" s="517">
        <f>+'q22'!$F$36</f>
        <v>881.9</v>
      </c>
    </row>
    <row r="72" spans="1:16">
      <c r="A72">
        <f>+'q22'!$F$4</f>
        <v>2016</v>
      </c>
      <c r="B72" t="str">
        <f>+Aux!$A$21</f>
        <v>H - Transportes e armazenagem</v>
      </c>
      <c r="C72" t="str">
        <f t="shared" si="1"/>
        <v>H</v>
      </c>
      <c r="D72" s="456" t="s">
        <v>296</v>
      </c>
      <c r="E72" s="517">
        <f>+'q22'!$F$37</f>
        <v>994.98</v>
      </c>
      <c r="P72" s="516"/>
    </row>
    <row r="73" spans="1:16">
      <c r="A73">
        <f>+'q22'!$F$4</f>
        <v>2016</v>
      </c>
      <c r="B73" t="str">
        <f>+Aux!$A$22</f>
        <v>I - Alojamento, rest. e sim.</v>
      </c>
      <c r="C73" t="str">
        <f t="shared" si="1"/>
        <v>I</v>
      </c>
      <c r="D73" s="456" t="s">
        <v>296</v>
      </c>
      <c r="E73" s="517">
        <f>+'q22'!$F$38</f>
        <v>690.54</v>
      </c>
    </row>
    <row r="74" spans="1:16">
      <c r="A74">
        <f>+'q22'!$F$4</f>
        <v>2016</v>
      </c>
      <c r="B74" t="str">
        <f>+Aux!$A$23</f>
        <v>J - Atividades de informação e de comunicação</v>
      </c>
      <c r="C74" t="str">
        <f t="shared" si="1"/>
        <v>J</v>
      </c>
      <c r="D74" s="456" t="s">
        <v>296</v>
      </c>
      <c r="E74" s="517">
        <f>+'q22'!$F$39</f>
        <v>1520.09</v>
      </c>
    </row>
    <row r="75" spans="1:16">
      <c r="A75">
        <f>+'q22'!$F$4</f>
        <v>2016</v>
      </c>
      <c r="B75" t="str">
        <f>+Aux!$A$24</f>
        <v>K - Atividades financeiras e de seguros</v>
      </c>
      <c r="C75" t="str">
        <f t="shared" si="1"/>
        <v>K</v>
      </c>
      <c r="D75" s="456" t="s">
        <v>296</v>
      </c>
      <c r="E75" s="517">
        <f>+'q22'!$F$40</f>
        <v>1585.29</v>
      </c>
    </row>
    <row r="76" spans="1:16">
      <c r="A76">
        <f>+'q22'!$F$4</f>
        <v>2016</v>
      </c>
      <c r="B76" t="str">
        <f>+Aux!$A$25</f>
        <v>L - Atividades imobiliárias</v>
      </c>
      <c r="C76" t="str">
        <f t="shared" si="1"/>
        <v>L</v>
      </c>
      <c r="D76" s="456" t="s">
        <v>296</v>
      </c>
      <c r="E76" s="517">
        <f>+'q22'!$F$41</f>
        <v>969.55</v>
      </c>
    </row>
    <row r="77" spans="1:16">
      <c r="A77">
        <f>+'q22'!$F$4</f>
        <v>2016</v>
      </c>
      <c r="B77" t="str">
        <f>+Aux!$A$26</f>
        <v>M - Atividades de consultoria, científicas, técnicas e similares</v>
      </c>
      <c r="C77" t="str">
        <f t="shared" si="1"/>
        <v>M</v>
      </c>
      <c r="D77" s="456" t="s">
        <v>296</v>
      </c>
      <c r="E77" s="517">
        <f>+'q22'!$F$42</f>
        <v>1183.3900000000001</v>
      </c>
    </row>
    <row r="78" spans="1:16">
      <c r="A78">
        <f>+'q22'!$F$4</f>
        <v>2016</v>
      </c>
      <c r="B78" t="str">
        <f>+Aux!$A$27</f>
        <v>N - Ativ. Admin. e dos serv. apoio</v>
      </c>
      <c r="C78" t="str">
        <f t="shared" si="1"/>
        <v>N</v>
      </c>
      <c r="D78" s="456" t="s">
        <v>296</v>
      </c>
      <c r="E78" s="517">
        <f>+'q22'!$F$43</f>
        <v>772.59</v>
      </c>
    </row>
    <row r="79" spans="1:16">
      <c r="A79">
        <f>+'q22'!$F$4</f>
        <v>2016</v>
      </c>
      <c r="B79" t="str">
        <f>+Aux!$A$28</f>
        <v>O - Administração pública e defesa; segurança social obrigatória</v>
      </c>
      <c r="C79" t="str">
        <f t="shared" si="1"/>
        <v>O</v>
      </c>
      <c r="D79" s="456" t="s">
        <v>296</v>
      </c>
      <c r="E79" s="517">
        <f>+'q22'!$F$44</f>
        <v>848.71</v>
      </c>
    </row>
    <row r="80" spans="1:16">
      <c r="A80">
        <f>+'q22'!$F$4</f>
        <v>2016</v>
      </c>
      <c r="B80" t="str">
        <f>+Aux!$A$29</f>
        <v>P - Educação</v>
      </c>
      <c r="C80" t="str">
        <f t="shared" si="1"/>
        <v>P</v>
      </c>
      <c r="D80" s="456" t="s">
        <v>296</v>
      </c>
      <c r="E80" s="517">
        <f>+'q22'!$F$45</f>
        <v>1121.57</v>
      </c>
    </row>
    <row r="81" spans="1:9">
      <c r="A81">
        <f>+'q22'!$F$4</f>
        <v>2016</v>
      </c>
      <c r="B81" t="str">
        <f>+Aux!$A$30</f>
        <v>Q - Ativ. de saúde humana e apoio social</v>
      </c>
      <c r="C81" t="str">
        <f t="shared" si="1"/>
        <v>Q</v>
      </c>
      <c r="D81" s="456" t="s">
        <v>296</v>
      </c>
      <c r="E81" s="517">
        <f>+'q22'!$F$46</f>
        <v>851.36</v>
      </c>
    </row>
    <row r="82" spans="1:9">
      <c r="A82">
        <f>+'q22'!$F$4</f>
        <v>2016</v>
      </c>
      <c r="B82" t="str">
        <f>+Aux!$A$31</f>
        <v>R - Atividades artísticas, de espectáculos, desp. e recreativas</v>
      </c>
      <c r="C82" t="str">
        <f t="shared" si="1"/>
        <v>R</v>
      </c>
      <c r="D82" s="456" t="s">
        <v>296</v>
      </c>
      <c r="E82" s="517">
        <f>+'q22'!$F$47</f>
        <v>1537.25</v>
      </c>
    </row>
    <row r="83" spans="1:9">
      <c r="A83">
        <f>+'q22'!$F$4</f>
        <v>2016</v>
      </c>
      <c r="B83" t="str">
        <f>+Aux!$A$32</f>
        <v>S - Outras atividades de serviços</v>
      </c>
      <c r="C83" t="str">
        <f t="shared" si="1"/>
        <v>S</v>
      </c>
      <c r="D83" s="456" t="s">
        <v>296</v>
      </c>
      <c r="E83" s="517">
        <f>+'q22'!$F$48</f>
        <v>857.44</v>
      </c>
      <c r="I83" s="612" t="s">
        <v>500</v>
      </c>
    </row>
    <row r="84" spans="1:9">
      <c r="A84">
        <f>+'q22'!$F$4</f>
        <v>2016</v>
      </c>
      <c r="B84" t="str">
        <f>+Aux!$A$33</f>
        <v>U - Ativ. org. interna. e outras instituições extra-territoriais</v>
      </c>
      <c r="C84" t="str">
        <f t="shared" si="1"/>
        <v>U</v>
      </c>
      <c r="D84" s="456" t="s">
        <v>296</v>
      </c>
      <c r="E84" s="517">
        <f>+'q22'!$F$49</f>
        <v>2028.96</v>
      </c>
      <c r="I84" s="612" t="s">
        <v>498</v>
      </c>
    </row>
    <row r="85" spans="1:9">
      <c r="A85">
        <f>+'q22'!$G$4</f>
        <v>2017</v>
      </c>
      <c r="B85" t="str">
        <f>+Aux!$A$14</f>
        <v xml:space="preserve">A - Agricultura, produção animal, caça, floresta e pesca </v>
      </c>
      <c r="C85" t="str">
        <f t="shared" si="1"/>
        <v>A</v>
      </c>
      <c r="D85" s="456" t="s">
        <v>296</v>
      </c>
      <c r="E85" s="517">
        <f>+'q22'!$G$6</f>
        <v>738.39</v>
      </c>
    </row>
    <row r="86" spans="1:9">
      <c r="A86">
        <f>+'q22'!$G$4</f>
        <v>2017</v>
      </c>
      <c r="B86" t="str">
        <f>+Aux!$A$15</f>
        <v>B - Indústrias extrativas</v>
      </c>
      <c r="C86" t="str">
        <f t="shared" si="1"/>
        <v>B</v>
      </c>
      <c r="D86" s="456" t="s">
        <v>296</v>
      </c>
      <c r="E86" s="517">
        <f>+'q22'!$G$7</f>
        <v>986.18</v>
      </c>
    </row>
    <row r="87" spans="1:9">
      <c r="A87">
        <f>+'q22'!$G$4</f>
        <v>2017</v>
      </c>
      <c r="B87" t="str">
        <f>+Aux!$A$16</f>
        <v>C - Ind. transf.</v>
      </c>
      <c r="C87" t="str">
        <f t="shared" si="1"/>
        <v>C</v>
      </c>
      <c r="D87" s="456" t="s">
        <v>296</v>
      </c>
      <c r="E87" s="517">
        <f>+'q22'!$G$8</f>
        <v>895.89</v>
      </c>
    </row>
    <row r="88" spans="1:9">
      <c r="A88">
        <f>+'q22'!$G$4</f>
        <v>2017</v>
      </c>
      <c r="B88" t="str">
        <f>+Aux!$A$17</f>
        <v>D - Eletricidade, gás, vapor, água quente e fria e ar frio</v>
      </c>
      <c r="C88" t="str">
        <f t="shared" si="1"/>
        <v>D</v>
      </c>
      <c r="D88" s="456" t="s">
        <v>296</v>
      </c>
      <c r="E88" s="517">
        <f>+'q22'!$G$33</f>
        <v>2070.14</v>
      </c>
    </row>
    <row r="89" spans="1:9">
      <c r="A89">
        <f>+'q22'!$G$4</f>
        <v>2017</v>
      </c>
      <c r="B89" t="str">
        <f>+Aux!$A$18</f>
        <v>E - Captação, trat. e dist. água; saneam., gest. resíduos e desp.</v>
      </c>
      <c r="C89" t="str">
        <f t="shared" si="1"/>
        <v>E</v>
      </c>
      <c r="D89" s="456" t="s">
        <v>296</v>
      </c>
      <c r="E89" s="517">
        <f>+'q22'!$G$34</f>
        <v>891.49</v>
      </c>
    </row>
    <row r="90" spans="1:9">
      <c r="A90">
        <f>+'q22'!$G$4</f>
        <v>2017</v>
      </c>
      <c r="B90" t="str">
        <f>+Aux!$A$19</f>
        <v>F - Construção</v>
      </c>
      <c r="C90" t="str">
        <f t="shared" si="1"/>
        <v>F</v>
      </c>
      <c r="D90" s="456" t="s">
        <v>296</v>
      </c>
      <c r="E90" s="517">
        <f>+'q22'!$G$35</f>
        <v>808.62</v>
      </c>
    </row>
    <row r="91" spans="1:9">
      <c r="A91">
        <f>+'q22'!$G$4</f>
        <v>2017</v>
      </c>
      <c r="B91" t="str">
        <f>+Aux!$A$20</f>
        <v>G - Com. por grosso e ret. (…)</v>
      </c>
      <c r="C91" t="str">
        <f t="shared" si="1"/>
        <v>G</v>
      </c>
      <c r="D91" s="456" t="s">
        <v>296</v>
      </c>
      <c r="E91" s="517">
        <f>+'q22'!$G$36</f>
        <v>900.4</v>
      </c>
    </row>
    <row r="92" spans="1:9">
      <c r="A92">
        <f>+'q22'!$G$4</f>
        <v>2017</v>
      </c>
      <c r="B92" t="str">
        <f>+Aux!$A$21</f>
        <v>H - Transportes e armazenagem</v>
      </c>
      <c r="C92" t="str">
        <f t="shared" si="1"/>
        <v>H</v>
      </c>
      <c r="D92" s="456" t="s">
        <v>296</v>
      </c>
      <c r="E92" s="517">
        <f>+'q22'!$G$37</f>
        <v>1002.64</v>
      </c>
    </row>
    <row r="93" spans="1:9">
      <c r="A93">
        <f>+'q22'!$G$4</f>
        <v>2017</v>
      </c>
      <c r="B93" t="str">
        <f>+Aux!$A$22</f>
        <v>I - Alojamento, rest. e sim.</v>
      </c>
      <c r="C93" t="str">
        <f t="shared" si="1"/>
        <v>I</v>
      </c>
      <c r="D93" s="456" t="s">
        <v>296</v>
      </c>
      <c r="E93" s="517">
        <f>+'q22'!$G$38</f>
        <v>713.45</v>
      </c>
    </row>
    <row r="94" spans="1:9">
      <c r="A94">
        <f>+'q22'!$G$4</f>
        <v>2017</v>
      </c>
      <c r="B94" t="str">
        <f>+Aux!$A$23</f>
        <v>J - Atividades de informação e de comunicação</v>
      </c>
      <c r="C94" t="str">
        <f t="shared" si="1"/>
        <v>J</v>
      </c>
      <c r="D94" s="456" t="s">
        <v>296</v>
      </c>
      <c r="E94" s="517">
        <f>+'q22'!$G$39</f>
        <v>1522.79</v>
      </c>
    </row>
    <row r="95" spans="1:9">
      <c r="A95">
        <f>+'q22'!$G$4</f>
        <v>2017</v>
      </c>
      <c r="B95" t="str">
        <f>+Aux!$A$24</f>
        <v>K - Atividades financeiras e de seguros</v>
      </c>
      <c r="C95" t="str">
        <f t="shared" si="1"/>
        <v>K</v>
      </c>
      <c r="D95" s="456" t="s">
        <v>296</v>
      </c>
      <c r="E95" s="517">
        <f>+'q22'!$G$40</f>
        <v>1592.44</v>
      </c>
    </row>
    <row r="96" spans="1:9">
      <c r="A96">
        <f>+'q22'!$G$4</f>
        <v>2017</v>
      </c>
      <c r="B96" t="str">
        <f>+Aux!$A$25</f>
        <v>L - Atividades imobiliárias</v>
      </c>
      <c r="C96" t="str">
        <f t="shared" si="1"/>
        <v>L</v>
      </c>
      <c r="D96" s="456" t="s">
        <v>296</v>
      </c>
      <c r="E96" s="517">
        <f>+'q22'!$G$41</f>
        <v>978.99</v>
      </c>
    </row>
    <row r="97" spans="1:12">
      <c r="A97">
        <f>+'q22'!$G$4</f>
        <v>2017</v>
      </c>
      <c r="B97" t="str">
        <f>+Aux!$A$26</f>
        <v>M - Atividades de consultoria, científicas, técnicas e similares</v>
      </c>
      <c r="C97" t="str">
        <f t="shared" si="1"/>
        <v>M</v>
      </c>
      <c r="D97" s="456" t="s">
        <v>296</v>
      </c>
      <c r="E97" s="517">
        <f>+'q22'!$G$42</f>
        <v>1225.58</v>
      </c>
    </row>
    <row r="98" spans="1:12">
      <c r="A98">
        <f>+'q22'!$G$4</f>
        <v>2017</v>
      </c>
      <c r="B98" t="str">
        <f>+Aux!$A$27</f>
        <v>N - Ativ. Admin. e dos serv. apoio</v>
      </c>
      <c r="C98" t="str">
        <f t="shared" si="1"/>
        <v>N</v>
      </c>
      <c r="D98" s="456" t="s">
        <v>296</v>
      </c>
      <c r="E98" s="517">
        <f>+'q22'!$G$43</f>
        <v>787.93</v>
      </c>
    </row>
    <row r="99" spans="1:12">
      <c r="A99">
        <f>+'q22'!$G$4</f>
        <v>2017</v>
      </c>
      <c r="B99" t="str">
        <f>+Aux!$A$28</f>
        <v>O - Administração pública e defesa; segurança social obrigatória</v>
      </c>
      <c r="C99" t="str">
        <f t="shared" si="1"/>
        <v>O</v>
      </c>
      <c r="D99" s="456" t="s">
        <v>296</v>
      </c>
      <c r="E99" s="517">
        <f>+'q22'!$G$44</f>
        <v>866.69</v>
      </c>
    </row>
    <row r="100" spans="1:12">
      <c r="A100">
        <f>+'q22'!$G$4</f>
        <v>2017</v>
      </c>
      <c r="B100" t="str">
        <f>+Aux!$A$29</f>
        <v>P - Educação</v>
      </c>
      <c r="C100" t="str">
        <f t="shared" si="1"/>
        <v>P</v>
      </c>
      <c r="D100" s="456" t="s">
        <v>296</v>
      </c>
      <c r="E100" s="517">
        <f>+'q22'!$G$45</f>
        <v>1136.27</v>
      </c>
    </row>
    <row r="101" spans="1:12">
      <c r="A101">
        <f>+'q22'!$G$4</f>
        <v>2017</v>
      </c>
      <c r="B101" t="str">
        <f>+Aux!$A$30</f>
        <v>Q - Ativ. de saúde humana e apoio social</v>
      </c>
      <c r="C101" t="str">
        <f t="shared" si="1"/>
        <v>Q</v>
      </c>
      <c r="D101" s="456" t="s">
        <v>296</v>
      </c>
      <c r="E101" s="517">
        <f>+'q22'!$G$46</f>
        <v>871</v>
      </c>
    </row>
    <row r="102" spans="1:12">
      <c r="A102">
        <f>+'q22'!$G$4</f>
        <v>2017</v>
      </c>
      <c r="B102" t="str">
        <f>+Aux!$A$31</f>
        <v>R - Atividades artísticas, de espectáculos, desp. e recreativas</v>
      </c>
      <c r="C102" t="str">
        <f t="shared" si="1"/>
        <v>R</v>
      </c>
      <c r="D102" s="456" t="s">
        <v>296</v>
      </c>
      <c r="E102" s="517">
        <f>+'q22'!$G$47</f>
        <v>1612.9</v>
      </c>
      <c r="I102" s="480" t="s">
        <v>287</v>
      </c>
      <c r="J102" t="s">
        <v>499</v>
      </c>
    </row>
    <row r="103" spans="1:12">
      <c r="A103">
        <f>+'q22'!$G$4</f>
        <v>2017</v>
      </c>
      <c r="B103" t="str">
        <f>+Aux!$A$32</f>
        <v>S - Outras atividades de serviços</v>
      </c>
      <c r="C103" t="str">
        <f t="shared" si="1"/>
        <v>S</v>
      </c>
      <c r="D103" s="456" t="s">
        <v>296</v>
      </c>
      <c r="E103" s="517">
        <f>+'q22'!$G$48</f>
        <v>877.34</v>
      </c>
    </row>
    <row r="104" spans="1:12">
      <c r="A104">
        <f>+'q22'!$G$4</f>
        <v>2017</v>
      </c>
      <c r="B104" t="str">
        <f>+Aux!$A$33</f>
        <v>U - Ativ. org. interna. e outras instituições extra-territoriais</v>
      </c>
      <c r="C104" t="str">
        <f t="shared" si="1"/>
        <v>U</v>
      </c>
      <c r="D104" s="456" t="s">
        <v>296</v>
      </c>
      <c r="E104" s="517">
        <f>+'q22'!$G$49</f>
        <v>1986.43</v>
      </c>
      <c r="I104" s="480" t="s">
        <v>292</v>
      </c>
      <c r="J104" s="480" t="s">
        <v>274</v>
      </c>
    </row>
    <row r="105" spans="1:12">
      <c r="A105">
        <f>+'q22'!$H$4</f>
        <v>2018</v>
      </c>
      <c r="B105" t="str">
        <f>+Aux!$A$14</f>
        <v xml:space="preserve">A - Agricultura, produção animal, caça, floresta e pesca </v>
      </c>
      <c r="C105" t="str">
        <f t="shared" si="1"/>
        <v>A</v>
      </c>
      <c r="D105" s="456" t="s">
        <v>296</v>
      </c>
      <c r="E105" s="517">
        <f>+'q22'!$H$6</f>
        <v>773.22</v>
      </c>
      <c r="I105" s="480" t="s">
        <v>272</v>
      </c>
      <c r="J105" t="s">
        <v>73</v>
      </c>
      <c r="K105" t="s">
        <v>74</v>
      </c>
      <c r="L105" t="s">
        <v>273</v>
      </c>
    </row>
    <row r="106" spans="1:12">
      <c r="A106">
        <f>+'q22'!$H$4</f>
        <v>2018</v>
      </c>
      <c r="B106" t="str">
        <f>+Aux!$A$15</f>
        <v>B - Indústrias extrativas</v>
      </c>
      <c r="C106" t="str">
        <f t="shared" si="1"/>
        <v>B</v>
      </c>
      <c r="D106" s="456" t="s">
        <v>296</v>
      </c>
      <c r="E106" s="517">
        <f>+'q22'!$H$7</f>
        <v>1036.73</v>
      </c>
      <c r="I106" s="481">
        <v>2013</v>
      </c>
      <c r="J106" s="482">
        <v>1473.93</v>
      </c>
      <c r="K106" s="482">
        <v>2135.4299999999998</v>
      </c>
      <c r="L106" s="482">
        <v>3609.3599999999997</v>
      </c>
    </row>
    <row r="107" spans="1:12">
      <c r="A107">
        <f>+'q22'!$H$4</f>
        <v>2018</v>
      </c>
      <c r="B107" t="str">
        <f>+Aux!$A$16</f>
        <v>C - Ind. transf.</v>
      </c>
      <c r="C107" t="str">
        <f t="shared" si="1"/>
        <v>C</v>
      </c>
      <c r="D107" s="456" t="s">
        <v>296</v>
      </c>
      <c r="E107" s="517">
        <f>+'q22'!$H$8</f>
        <v>929.15</v>
      </c>
      <c r="I107" s="481">
        <v>2014</v>
      </c>
      <c r="J107" s="482">
        <v>1482.55</v>
      </c>
      <c r="K107" s="482">
        <v>2187.9300000000003</v>
      </c>
      <c r="L107" s="482">
        <v>3670.4800000000005</v>
      </c>
    </row>
    <row r="108" spans="1:12">
      <c r="A108">
        <f>+'q22'!$H$4</f>
        <v>2018</v>
      </c>
      <c r="B108" t="str">
        <f>+Aux!$A$17</f>
        <v>D - Eletricidade, gás, vapor, água quente e fria e ar frio</v>
      </c>
      <c r="C108" t="str">
        <f t="shared" si="1"/>
        <v>D</v>
      </c>
      <c r="D108" s="456" t="s">
        <v>296</v>
      </c>
      <c r="E108" s="517">
        <f>+'q22'!$H$33</f>
        <v>2080.65</v>
      </c>
      <c r="I108" s="481">
        <v>2015</v>
      </c>
      <c r="J108" s="482">
        <v>1504.02</v>
      </c>
      <c r="K108" s="482">
        <v>2191.92</v>
      </c>
      <c r="L108" s="482">
        <v>3695.94</v>
      </c>
    </row>
    <row r="109" spans="1:12">
      <c r="A109">
        <f>+'q22'!$H$4</f>
        <v>2018</v>
      </c>
      <c r="B109" t="str">
        <f>+Aux!$A$18</f>
        <v>E - Captação, trat. e dist. água; saneam., gest. resíduos e desp.</v>
      </c>
      <c r="C109" t="str">
        <f t="shared" si="1"/>
        <v>E</v>
      </c>
      <c r="D109" s="456" t="s">
        <v>296</v>
      </c>
      <c r="E109" s="517">
        <f>+'q22'!$H$34</f>
        <v>920.04</v>
      </c>
      <c r="I109" s="481">
        <v>2016</v>
      </c>
      <c r="J109" s="482">
        <v>1559.29</v>
      </c>
      <c r="K109" s="482">
        <v>2244.88</v>
      </c>
      <c r="L109" s="482">
        <v>3804.17</v>
      </c>
    </row>
    <row r="110" spans="1:12">
      <c r="A110">
        <f>+'q22'!$H$4</f>
        <v>2018</v>
      </c>
      <c r="B110" t="str">
        <f>+Aux!$A$19</f>
        <v>F - Construção</v>
      </c>
      <c r="C110" t="str">
        <f t="shared" si="1"/>
        <v>F</v>
      </c>
      <c r="D110" s="456" t="s">
        <v>296</v>
      </c>
      <c r="E110" s="517">
        <f>+'q22'!$H$35</f>
        <v>824.76</v>
      </c>
      <c r="I110" s="481">
        <v>2017</v>
      </c>
      <c r="J110" s="482">
        <v>1588.79</v>
      </c>
      <c r="K110" s="482">
        <v>2282.2199999999998</v>
      </c>
      <c r="L110" s="482">
        <v>3871.0099999999998</v>
      </c>
    </row>
    <row r="111" spans="1:12">
      <c r="A111">
        <f>+'q22'!$H$4</f>
        <v>2018</v>
      </c>
      <c r="B111" t="str">
        <f>+Aux!$A$20</f>
        <v>G - Com. por grosso e ret. (…)</v>
      </c>
      <c r="C111" t="str">
        <f t="shared" si="1"/>
        <v>G</v>
      </c>
      <c r="D111" s="456" t="s">
        <v>296</v>
      </c>
      <c r="E111" s="517">
        <f>+'q22'!$H$36</f>
        <v>924.91</v>
      </c>
      <c r="I111" s="481">
        <v>2018</v>
      </c>
      <c r="J111" s="482">
        <v>1669.65</v>
      </c>
      <c r="K111" s="482">
        <v>2439.96</v>
      </c>
      <c r="L111" s="482">
        <v>4109.6100000000006</v>
      </c>
    </row>
    <row r="112" spans="1:12">
      <c r="A112">
        <f>+'q22'!$H$4</f>
        <v>2018</v>
      </c>
      <c r="B112" t="str">
        <f>+Aux!$A$21</f>
        <v>H - Transportes e armazenagem</v>
      </c>
      <c r="C112" t="str">
        <f t="shared" si="1"/>
        <v>H</v>
      </c>
      <c r="D112" s="456" t="s">
        <v>296</v>
      </c>
      <c r="E112" s="517">
        <f>+'q22'!$H$37</f>
        <v>1033.97</v>
      </c>
      <c r="I112" s="481">
        <v>2019</v>
      </c>
      <c r="J112" s="482">
        <v>1768.6399999999999</v>
      </c>
      <c r="K112" s="482">
        <v>2542.35</v>
      </c>
      <c r="L112" s="482">
        <v>4310.99</v>
      </c>
    </row>
    <row r="113" spans="1:12">
      <c r="A113">
        <f>+'q22'!$H$4</f>
        <v>2018</v>
      </c>
      <c r="B113" t="str">
        <f>+Aux!$A$22</f>
        <v>I - Alojamento, rest. e sim.</v>
      </c>
      <c r="C113" t="str">
        <f t="shared" si="1"/>
        <v>I</v>
      </c>
      <c r="D113" s="456" t="s">
        <v>296</v>
      </c>
      <c r="E113" s="517">
        <f>+'q22'!$H$38</f>
        <v>739.37</v>
      </c>
      <c r="I113" s="481">
        <v>2020</v>
      </c>
      <c r="J113" s="482">
        <v>1772.81</v>
      </c>
      <c r="K113" s="482">
        <v>2599.8199999999997</v>
      </c>
      <c r="L113" s="482">
        <v>4372.6299999999992</v>
      </c>
    </row>
    <row r="114" spans="1:12">
      <c r="A114">
        <f>+'q22'!$H$4</f>
        <v>2018</v>
      </c>
      <c r="B114" t="str">
        <f>+Aux!$A$23</f>
        <v>J - Atividades de informação e de comunicação</v>
      </c>
      <c r="C114" t="str">
        <f t="shared" si="1"/>
        <v>J</v>
      </c>
      <c r="D114" s="456" t="s">
        <v>296</v>
      </c>
      <c r="E114" s="517">
        <f>+'q22'!$H$39</f>
        <v>1562.86</v>
      </c>
      <c r="I114" s="481">
        <v>2021</v>
      </c>
      <c r="J114" s="482">
        <v>1884.11</v>
      </c>
      <c r="K114" s="482">
        <v>2755.48</v>
      </c>
      <c r="L114" s="482">
        <v>4639.59</v>
      </c>
    </row>
    <row r="115" spans="1:12">
      <c r="A115">
        <f>+'q22'!$H$4</f>
        <v>2018</v>
      </c>
      <c r="B115" t="str">
        <f>+Aux!$A$24</f>
        <v>K - Atividades financeiras e de seguros</v>
      </c>
      <c r="C115" t="str">
        <f t="shared" si="1"/>
        <v>K</v>
      </c>
      <c r="D115" s="456" t="s">
        <v>296</v>
      </c>
      <c r="E115" s="517">
        <f>+'q22'!$H$40</f>
        <v>1601.12</v>
      </c>
      <c r="I115" s="481">
        <v>2022</v>
      </c>
      <c r="J115" s="482">
        <v>1974.56</v>
      </c>
      <c r="K115" s="482">
        <v>2923.31</v>
      </c>
      <c r="L115" s="482">
        <v>4897.87</v>
      </c>
    </row>
    <row r="116" spans="1:12">
      <c r="A116">
        <f>+'q22'!$H$4</f>
        <v>2018</v>
      </c>
      <c r="B116" t="str">
        <f>+Aux!$A$25</f>
        <v>L - Atividades imobiliárias</v>
      </c>
      <c r="C116" t="str">
        <f t="shared" si="1"/>
        <v>L</v>
      </c>
      <c r="D116" s="456" t="s">
        <v>296</v>
      </c>
      <c r="E116" s="517">
        <f>+'q22'!$H$41</f>
        <v>1001.04</v>
      </c>
      <c r="I116" s="481">
        <v>2023</v>
      </c>
      <c r="J116" s="482">
        <v>2095.38</v>
      </c>
      <c r="K116" s="482">
        <v>3286.19</v>
      </c>
      <c r="L116" s="482">
        <v>5381.57</v>
      </c>
    </row>
    <row r="117" spans="1:12">
      <c r="A117">
        <f>+'q22'!$H$4</f>
        <v>2018</v>
      </c>
      <c r="B117" t="str">
        <f>+Aux!$A$26</f>
        <v>M - Atividades de consultoria, científicas, técnicas e similares</v>
      </c>
      <c r="C117" t="str">
        <f t="shared" si="1"/>
        <v>M</v>
      </c>
      <c r="D117" s="456" t="s">
        <v>296</v>
      </c>
      <c r="E117" s="517">
        <f>+'q22'!$H$42</f>
        <v>1249.78</v>
      </c>
      <c r="I117" s="481" t="s">
        <v>273</v>
      </c>
      <c r="J117" s="482">
        <v>18773.73</v>
      </c>
      <c r="K117" s="482">
        <v>27589.49</v>
      </c>
      <c r="L117" s="482">
        <v>46363.22</v>
      </c>
    </row>
    <row r="118" spans="1:12">
      <c r="A118">
        <f>+'q22'!$H$4</f>
        <v>2018</v>
      </c>
      <c r="B118" t="str">
        <f>+Aux!$A$27</f>
        <v>N - Ativ. Admin. e dos serv. apoio</v>
      </c>
      <c r="C118" t="str">
        <f t="shared" si="1"/>
        <v>N</v>
      </c>
      <c r="D118" s="456" t="s">
        <v>296</v>
      </c>
      <c r="E118" s="517">
        <f>+'q22'!$H$43</f>
        <v>807.44</v>
      </c>
    </row>
    <row r="119" spans="1:12">
      <c r="A119">
        <f>+'q22'!$H$4</f>
        <v>2018</v>
      </c>
      <c r="B119" t="str">
        <f>+Aux!$A$28</f>
        <v>O - Administração pública e defesa; segurança social obrigatória</v>
      </c>
      <c r="C119" t="str">
        <f t="shared" si="1"/>
        <v>O</v>
      </c>
      <c r="D119" s="456" t="s">
        <v>296</v>
      </c>
      <c r="E119" s="517">
        <f>+'q22'!$H$44</f>
        <v>895.16</v>
      </c>
    </row>
    <row r="120" spans="1:12">
      <c r="A120">
        <f>+'q22'!$H$4</f>
        <v>2018</v>
      </c>
      <c r="B120" t="str">
        <f>+Aux!$A$29</f>
        <v>P - Educação</v>
      </c>
      <c r="C120" t="str">
        <f t="shared" si="1"/>
        <v>P</v>
      </c>
      <c r="D120" s="456" t="s">
        <v>296</v>
      </c>
      <c r="E120" s="517">
        <f>+'q22'!$H$45</f>
        <v>1161.1400000000001</v>
      </c>
    </row>
    <row r="121" spans="1:12">
      <c r="A121">
        <f>+'q22'!$H$4</f>
        <v>2018</v>
      </c>
      <c r="B121" t="str">
        <f>+Aux!$A$30</f>
        <v>Q - Ativ. de saúde humana e apoio social</v>
      </c>
      <c r="C121" t="str">
        <f t="shared" si="1"/>
        <v>Q</v>
      </c>
      <c r="D121" s="456" t="s">
        <v>296</v>
      </c>
      <c r="E121" s="517">
        <f>+'q22'!$H$46</f>
        <v>891.94</v>
      </c>
    </row>
    <row r="122" spans="1:12">
      <c r="A122">
        <f>+'q22'!$H$4</f>
        <v>2018</v>
      </c>
      <c r="B122" t="str">
        <f>+Aux!$A$31</f>
        <v>R - Atividades artísticas, de espectáculos, desp. e recreativas</v>
      </c>
      <c r="C122" t="str">
        <f t="shared" si="1"/>
        <v>R</v>
      </c>
      <c r="D122" s="456" t="s">
        <v>296</v>
      </c>
      <c r="E122" s="517">
        <f>+'q22'!$H$47</f>
        <v>1607.95</v>
      </c>
    </row>
    <row r="123" spans="1:12">
      <c r="A123">
        <f>+'q22'!$H$4</f>
        <v>2018</v>
      </c>
      <c r="B123" t="str">
        <f>+Aux!$A$32</f>
        <v>S - Outras atividades de serviços</v>
      </c>
      <c r="C123" t="str">
        <f t="shared" si="1"/>
        <v>S</v>
      </c>
      <c r="D123" s="456" t="s">
        <v>296</v>
      </c>
      <c r="E123" s="517">
        <f>+'q22'!$H$48</f>
        <v>901.62</v>
      </c>
    </row>
    <row r="124" spans="1:12">
      <c r="A124">
        <f>+'q22'!$H$4</f>
        <v>2018</v>
      </c>
      <c r="B124" t="str">
        <f>+Aux!$A$33</f>
        <v>U - Ativ. org. interna. e outras instituições extra-territoriais</v>
      </c>
      <c r="C124" t="str">
        <f t="shared" si="1"/>
        <v>U</v>
      </c>
      <c r="D124" s="456" t="s">
        <v>296</v>
      </c>
      <c r="E124" s="517">
        <f>+'q22'!$H$49</f>
        <v>2136.13</v>
      </c>
    </row>
    <row r="125" spans="1:12">
      <c r="A125">
        <f>+'q22'!$I$4</f>
        <v>2019</v>
      </c>
      <c r="B125" t="str">
        <f>+Aux!$A$14</f>
        <v xml:space="preserve">A - Agricultura, produção animal, caça, floresta e pesca </v>
      </c>
      <c r="C125" t="str">
        <f t="shared" si="1"/>
        <v>A</v>
      </c>
      <c r="D125" s="456" t="s">
        <v>296</v>
      </c>
      <c r="E125" s="517">
        <f>+'q22'!$I$6</f>
        <v>823.08</v>
      </c>
    </row>
    <row r="126" spans="1:12">
      <c r="A126">
        <f>+'q22'!$I$4</f>
        <v>2019</v>
      </c>
      <c r="B126" t="str">
        <f>+Aux!$A$15</f>
        <v>B - Indústrias extrativas</v>
      </c>
      <c r="C126" t="str">
        <f t="shared" si="1"/>
        <v>B</v>
      </c>
      <c r="D126" s="456" t="s">
        <v>296</v>
      </c>
      <c r="E126" s="517">
        <f>+'q22'!$I$7</f>
        <v>1083.24</v>
      </c>
    </row>
    <row r="127" spans="1:12">
      <c r="A127">
        <f>+'q22'!$I$4</f>
        <v>2019</v>
      </c>
      <c r="B127" t="str">
        <f>+Aux!$A$16</f>
        <v>C - Ind. transf.</v>
      </c>
      <c r="C127" t="str">
        <f t="shared" si="1"/>
        <v>C</v>
      </c>
      <c r="D127" s="456" t="s">
        <v>296</v>
      </c>
      <c r="E127" s="517">
        <f>+'q22'!$I$8</f>
        <v>964.71</v>
      </c>
    </row>
    <row r="128" spans="1:12">
      <c r="A128">
        <f>+'q22'!$I$4</f>
        <v>2019</v>
      </c>
      <c r="B128" t="str">
        <f>+Aux!$A$17</f>
        <v>D - Eletricidade, gás, vapor, água quente e fria e ar frio</v>
      </c>
      <c r="C128" t="str">
        <f t="shared" si="1"/>
        <v>D</v>
      </c>
      <c r="D128" s="456" t="s">
        <v>296</v>
      </c>
      <c r="E128" s="517">
        <f>+'q22'!$I$33</f>
        <v>2086.9</v>
      </c>
    </row>
    <row r="129" spans="1:5">
      <c r="A129">
        <f>+'q22'!$I$4</f>
        <v>2019</v>
      </c>
      <c r="B129" t="str">
        <f>+Aux!$A$18</f>
        <v>E - Captação, trat. e dist. água; saneam., gest. resíduos e desp.</v>
      </c>
      <c r="C129" t="str">
        <f t="shared" si="1"/>
        <v>E</v>
      </c>
      <c r="D129" s="456" t="s">
        <v>296</v>
      </c>
      <c r="E129" s="517">
        <f>+'q22'!$I$34</f>
        <v>936.67</v>
      </c>
    </row>
    <row r="130" spans="1:5">
      <c r="A130">
        <f>+'q22'!$I$4</f>
        <v>2019</v>
      </c>
      <c r="B130" t="str">
        <f>+Aux!$A$19</f>
        <v>F - Construção</v>
      </c>
      <c r="C130" t="str">
        <f t="shared" si="1"/>
        <v>F</v>
      </c>
      <c r="D130" s="456" t="s">
        <v>296</v>
      </c>
      <c r="E130" s="517">
        <f>+'q22'!$I$35</f>
        <v>853.92</v>
      </c>
    </row>
    <row r="131" spans="1:5">
      <c r="A131">
        <f>+'q22'!$I$4</f>
        <v>2019</v>
      </c>
      <c r="B131" t="str">
        <f>+Aux!$A$20</f>
        <v>G - Com. por grosso e ret. (…)</v>
      </c>
      <c r="C131" t="str">
        <f t="shared" si="1"/>
        <v>G</v>
      </c>
      <c r="D131" s="456" t="s">
        <v>296</v>
      </c>
      <c r="E131" s="517">
        <f>+'q22'!$I$36</f>
        <v>959.33</v>
      </c>
    </row>
    <row r="132" spans="1:5">
      <c r="A132">
        <f>+'q22'!$I$4</f>
        <v>2019</v>
      </c>
      <c r="B132" t="str">
        <f>+Aux!$A$21</f>
        <v>H - Transportes e armazenagem</v>
      </c>
      <c r="C132" t="str">
        <f t="shared" si="1"/>
        <v>H</v>
      </c>
      <c r="D132" s="456" t="s">
        <v>296</v>
      </c>
      <c r="E132" s="517">
        <f>+'q22'!$I$37</f>
        <v>1071.3699999999999</v>
      </c>
    </row>
    <row r="133" spans="1:5">
      <c r="A133">
        <f>+'q22'!$I$4</f>
        <v>2019</v>
      </c>
      <c r="B133" t="str">
        <f>+Aux!$A$22</f>
        <v>I - Alojamento, rest. e sim.</v>
      </c>
      <c r="C133" t="str">
        <f t="shared" si="1"/>
        <v>I</v>
      </c>
      <c r="D133" s="456" t="s">
        <v>296</v>
      </c>
      <c r="E133" s="517">
        <f>+'q22'!$I$38</f>
        <v>764.08</v>
      </c>
    </row>
    <row r="134" spans="1:5">
      <c r="A134">
        <f>+'q22'!$I$4</f>
        <v>2019</v>
      </c>
      <c r="B134" t="str">
        <f>+Aux!$A$23</f>
        <v>J - Atividades de informação e de comunicação</v>
      </c>
      <c r="C134" t="str">
        <f t="shared" ref="C134:C197" si="2">+LEFT(B134,1)</f>
        <v>J</v>
      </c>
      <c r="D134" s="456" t="s">
        <v>296</v>
      </c>
      <c r="E134" s="517">
        <f>+'q22'!$I$39</f>
        <v>1614.97</v>
      </c>
    </row>
    <row r="135" spans="1:5">
      <c r="A135">
        <f>+'q22'!$I$4</f>
        <v>2019</v>
      </c>
      <c r="B135" t="str">
        <f>+Aux!$A$24</f>
        <v>K - Atividades financeiras e de seguros</v>
      </c>
      <c r="C135" t="str">
        <f t="shared" si="2"/>
        <v>K</v>
      </c>
      <c r="D135" s="456" t="s">
        <v>296</v>
      </c>
      <c r="E135" s="517">
        <f>+'q22'!$I$40</f>
        <v>1632.26</v>
      </c>
    </row>
    <row r="136" spans="1:5">
      <c r="A136">
        <f>+'q22'!$I$4</f>
        <v>2019</v>
      </c>
      <c r="B136" t="str">
        <f>+Aux!$A$25</f>
        <v>L - Atividades imobiliárias</v>
      </c>
      <c r="C136" t="str">
        <f t="shared" si="2"/>
        <v>L</v>
      </c>
      <c r="D136" s="456" t="s">
        <v>296</v>
      </c>
      <c r="E136" s="517">
        <f>+'q22'!$I$41</f>
        <v>1045.96</v>
      </c>
    </row>
    <row r="137" spans="1:5">
      <c r="A137">
        <f>+'q22'!$I$4</f>
        <v>2019</v>
      </c>
      <c r="B137" t="str">
        <f>+Aux!$A$26</f>
        <v>M - Atividades de consultoria, científicas, técnicas e similares</v>
      </c>
      <c r="C137" t="str">
        <f t="shared" si="2"/>
        <v>M</v>
      </c>
      <c r="D137" s="456" t="s">
        <v>296</v>
      </c>
      <c r="E137" s="517">
        <f>+'q22'!$I$42</f>
        <v>1288.0899999999999</v>
      </c>
    </row>
    <row r="138" spans="1:5">
      <c r="A138">
        <f>+'q22'!$I$4</f>
        <v>2019</v>
      </c>
      <c r="B138" t="str">
        <f>+Aux!$A$27</f>
        <v>N - Ativ. Admin. e dos serv. apoio</v>
      </c>
      <c r="C138" t="str">
        <f t="shared" si="2"/>
        <v>N</v>
      </c>
      <c r="D138" s="456" t="s">
        <v>296</v>
      </c>
      <c r="E138" s="517">
        <f>+'q22'!$I$43</f>
        <v>842.48</v>
      </c>
    </row>
    <row r="139" spans="1:5">
      <c r="A139">
        <f>+'q22'!$I$4</f>
        <v>2019</v>
      </c>
      <c r="B139" t="str">
        <f>+Aux!$A$28</f>
        <v>O - Administração pública e defesa; segurança social obrigatória</v>
      </c>
      <c r="C139" t="str">
        <f t="shared" si="2"/>
        <v>O</v>
      </c>
      <c r="D139" s="456" t="s">
        <v>296</v>
      </c>
      <c r="E139" s="517">
        <f>+'q22'!$I$44</f>
        <v>950.41</v>
      </c>
    </row>
    <row r="140" spans="1:5">
      <c r="A140">
        <f>+'q22'!$I$4</f>
        <v>2019</v>
      </c>
      <c r="B140" t="str">
        <f>+Aux!$A$29</f>
        <v>P - Educação</v>
      </c>
      <c r="C140" t="str">
        <f t="shared" si="2"/>
        <v>P</v>
      </c>
      <c r="D140" s="456" t="s">
        <v>296</v>
      </c>
      <c r="E140" s="517">
        <f>+'q22'!$I$45</f>
        <v>1219.79</v>
      </c>
    </row>
    <row r="141" spans="1:5">
      <c r="A141">
        <f>+'q22'!$I$4</f>
        <v>2019</v>
      </c>
      <c r="B141" t="str">
        <f>+Aux!$A$30</f>
        <v>Q - Ativ. de saúde humana e apoio social</v>
      </c>
      <c r="C141" t="str">
        <f t="shared" si="2"/>
        <v>Q</v>
      </c>
      <c r="D141" s="456" t="s">
        <v>296</v>
      </c>
      <c r="E141" s="517">
        <f>+'q22'!$I$46</f>
        <v>923.59</v>
      </c>
    </row>
    <row r="142" spans="1:5">
      <c r="A142">
        <f>+'q22'!$I$4</f>
        <v>2019</v>
      </c>
      <c r="B142" t="str">
        <f>+Aux!$A$31</f>
        <v>R - Atividades artísticas, de espectáculos, desp. e recreativas</v>
      </c>
      <c r="C142" t="str">
        <f t="shared" si="2"/>
        <v>R</v>
      </c>
      <c r="D142" s="456" t="s">
        <v>296</v>
      </c>
      <c r="E142" s="517">
        <f>+'q22'!$I$47</f>
        <v>1645.66</v>
      </c>
    </row>
    <row r="143" spans="1:5">
      <c r="A143">
        <f>+'q22'!$I$4</f>
        <v>2019</v>
      </c>
      <c r="B143" t="str">
        <f>+Aux!$A$32</f>
        <v>S - Outras atividades de serviços</v>
      </c>
      <c r="C143" t="str">
        <f t="shared" si="2"/>
        <v>S</v>
      </c>
      <c r="D143" s="456" t="s">
        <v>296</v>
      </c>
      <c r="E143" s="517">
        <f>+'q22'!$I$48</f>
        <v>932.37</v>
      </c>
    </row>
    <row r="144" spans="1:5">
      <c r="A144">
        <f>+'q22'!$I$4</f>
        <v>2019</v>
      </c>
      <c r="B144" t="str">
        <f>+Aux!$A$33</f>
        <v>U - Ativ. org. interna. e outras instituições extra-territoriais</v>
      </c>
      <c r="C144" t="str">
        <f t="shared" si="2"/>
        <v>U</v>
      </c>
      <c r="D144" s="456" t="s">
        <v>296</v>
      </c>
      <c r="E144" s="517">
        <f>+'q22'!$I$49</f>
        <v>2160.36</v>
      </c>
    </row>
    <row r="145" spans="1:5">
      <c r="A145">
        <f>+'q22'!$J$4</f>
        <v>2020</v>
      </c>
      <c r="B145" t="str">
        <f>+Aux!$A$14</f>
        <v xml:space="preserve">A - Agricultura, produção animal, caça, floresta e pesca </v>
      </c>
      <c r="C145" t="str">
        <f t="shared" si="2"/>
        <v>A</v>
      </c>
      <c r="D145" s="456" t="s">
        <v>296</v>
      </c>
      <c r="E145" s="517">
        <f>+'q22'!$J$6</f>
        <v>823.12</v>
      </c>
    </row>
    <row r="146" spans="1:5">
      <c r="A146">
        <f>+'q22'!$J$4</f>
        <v>2020</v>
      </c>
      <c r="B146" t="str">
        <f>+Aux!$A$15</f>
        <v>B - Indústrias extrativas</v>
      </c>
      <c r="C146" t="str">
        <f t="shared" si="2"/>
        <v>B</v>
      </c>
      <c r="D146" s="456" t="s">
        <v>296</v>
      </c>
      <c r="E146" s="517">
        <f>+'q22'!$J$7</f>
        <v>1099.73</v>
      </c>
    </row>
    <row r="147" spans="1:5">
      <c r="A147">
        <f>+'q22'!$J$4</f>
        <v>2020</v>
      </c>
      <c r="B147" t="str">
        <f>+Aux!$A$16</f>
        <v>C - Ind. transf.</v>
      </c>
      <c r="C147" t="str">
        <f t="shared" si="2"/>
        <v>C</v>
      </c>
      <c r="D147" s="456" t="s">
        <v>296</v>
      </c>
      <c r="E147" s="517">
        <f>+'q22'!$J$8</f>
        <v>1003.21</v>
      </c>
    </row>
    <row r="148" spans="1:5">
      <c r="A148">
        <f>+'q22'!$J$4</f>
        <v>2020</v>
      </c>
      <c r="B148" t="str">
        <f>+Aux!$A$17</f>
        <v>D - Eletricidade, gás, vapor, água quente e fria e ar frio</v>
      </c>
      <c r="C148" t="str">
        <f t="shared" si="2"/>
        <v>D</v>
      </c>
      <c r="D148" s="456" t="s">
        <v>296</v>
      </c>
      <c r="E148" s="517">
        <f>+'q22'!$J$33</f>
        <v>2128.4699999999998</v>
      </c>
    </row>
    <row r="149" spans="1:5">
      <c r="A149">
        <f>+'q22'!$J$4</f>
        <v>2020</v>
      </c>
      <c r="B149" t="str">
        <f>+Aux!$A$18</f>
        <v>E - Captação, trat. e dist. água; saneam., gest. resíduos e desp.</v>
      </c>
      <c r="C149" t="str">
        <f t="shared" si="2"/>
        <v>E</v>
      </c>
      <c r="D149" s="456" t="s">
        <v>296</v>
      </c>
      <c r="E149" s="517">
        <f>+'q22'!$J$34</f>
        <v>970.37</v>
      </c>
    </row>
    <row r="150" spans="1:5">
      <c r="A150">
        <f>+'q22'!$J$4</f>
        <v>2020</v>
      </c>
      <c r="B150" t="str">
        <f>+Aux!$A$19</f>
        <v>F - Construção</v>
      </c>
      <c r="C150" t="str">
        <f t="shared" si="2"/>
        <v>F</v>
      </c>
      <c r="D150" s="456" t="s">
        <v>296</v>
      </c>
      <c r="E150" s="517">
        <f>+'q22'!$J$35</f>
        <v>880.77</v>
      </c>
    </row>
    <row r="151" spans="1:5">
      <c r="A151">
        <f>+'q22'!$J$4</f>
        <v>2020</v>
      </c>
      <c r="B151" t="str">
        <f>+Aux!$A$20</f>
        <v>G - Com. por grosso e ret. (…)</v>
      </c>
      <c r="C151" t="str">
        <f t="shared" si="2"/>
        <v>G</v>
      </c>
      <c r="D151" s="456" t="s">
        <v>296</v>
      </c>
      <c r="E151" s="517">
        <f>+'q22'!$J$36</f>
        <v>989.91</v>
      </c>
    </row>
    <row r="152" spans="1:5">
      <c r="A152">
        <f>+'q22'!$J$4</f>
        <v>2020</v>
      </c>
      <c r="B152" t="str">
        <f>+Aux!$A$21</f>
        <v>H - Transportes e armazenagem</v>
      </c>
      <c r="C152" t="str">
        <f t="shared" si="2"/>
        <v>H</v>
      </c>
      <c r="D152" s="456" t="s">
        <v>296</v>
      </c>
      <c r="E152" s="517">
        <f>+'q22'!$J$37</f>
        <v>1033.25</v>
      </c>
    </row>
    <row r="153" spans="1:5">
      <c r="A153">
        <f>+'q22'!$J$4</f>
        <v>2020</v>
      </c>
      <c r="B153" t="str">
        <f>+Aux!$A$22</f>
        <v>I - Alojamento, rest. e sim.</v>
      </c>
      <c r="C153" t="str">
        <f t="shared" si="2"/>
        <v>I</v>
      </c>
      <c r="D153" s="456" t="s">
        <v>296</v>
      </c>
      <c r="E153" s="517">
        <f>+'q22'!$J$38</f>
        <v>780.14</v>
      </c>
    </row>
    <row r="154" spans="1:5">
      <c r="A154">
        <f>+'q22'!$J$4</f>
        <v>2020</v>
      </c>
      <c r="B154" t="str">
        <f>+Aux!$A$23</f>
        <v>J - Atividades de informação e de comunicação</v>
      </c>
      <c r="C154" t="str">
        <f t="shared" si="2"/>
        <v>J</v>
      </c>
      <c r="D154" s="456" t="s">
        <v>296</v>
      </c>
      <c r="E154" s="517">
        <f>+'q22'!$J$39</f>
        <v>1668.12</v>
      </c>
    </row>
    <row r="155" spans="1:5">
      <c r="A155">
        <f>+'q22'!$J$4</f>
        <v>2020</v>
      </c>
      <c r="B155" t="str">
        <f>+Aux!$A$24</f>
        <v>K - Atividades financeiras e de seguros</v>
      </c>
      <c r="C155" t="str">
        <f t="shared" si="2"/>
        <v>K</v>
      </c>
      <c r="D155" s="456" t="s">
        <v>296</v>
      </c>
      <c r="E155" s="517">
        <f>+'q22'!$J$40</f>
        <v>1651.3</v>
      </c>
    </row>
    <row r="156" spans="1:5">
      <c r="A156">
        <f>+'q22'!$J$4</f>
        <v>2020</v>
      </c>
      <c r="B156" t="str">
        <f>+Aux!$A$25</f>
        <v>L - Atividades imobiliárias</v>
      </c>
      <c r="C156" t="str">
        <f t="shared" si="2"/>
        <v>L</v>
      </c>
      <c r="D156" s="456" t="s">
        <v>296</v>
      </c>
      <c r="E156" s="517">
        <f>+'q22'!$J$41</f>
        <v>1091.6400000000001</v>
      </c>
    </row>
    <row r="157" spans="1:5">
      <c r="A157">
        <f>+'q22'!$J$4</f>
        <v>2020</v>
      </c>
      <c r="B157" t="str">
        <f>+Aux!$A$26</f>
        <v>M - Atividades de consultoria, científicas, técnicas e similares</v>
      </c>
      <c r="C157" t="str">
        <f t="shared" si="2"/>
        <v>M</v>
      </c>
      <c r="D157" s="456" t="s">
        <v>296</v>
      </c>
      <c r="E157" s="517">
        <f>+'q22'!$J$42</f>
        <v>1335.14</v>
      </c>
    </row>
    <row r="158" spans="1:5">
      <c r="A158">
        <f>+'q22'!$J$4</f>
        <v>2020</v>
      </c>
      <c r="B158" t="str">
        <f>+Aux!$A$27</f>
        <v>N - Ativ. Admin. e dos serv. apoio</v>
      </c>
      <c r="C158" t="str">
        <f t="shared" si="2"/>
        <v>N</v>
      </c>
      <c r="D158" s="456" t="s">
        <v>296</v>
      </c>
      <c r="E158" s="517">
        <f>+'q22'!$J$43</f>
        <v>864.18</v>
      </c>
    </row>
    <row r="159" spans="1:5">
      <c r="A159">
        <f>+'q22'!$J$4</f>
        <v>2020</v>
      </c>
      <c r="B159" t="str">
        <f>+Aux!$A$28</f>
        <v>O - Administração pública e defesa; segurança social obrigatória</v>
      </c>
      <c r="C159" t="str">
        <f t="shared" si="2"/>
        <v>O</v>
      </c>
      <c r="D159" s="456" t="s">
        <v>296</v>
      </c>
      <c r="E159" s="517">
        <f>+'q22'!$J$44</f>
        <v>990.79</v>
      </c>
    </row>
    <row r="160" spans="1:5">
      <c r="A160">
        <f>+'q22'!$J$4</f>
        <v>2020</v>
      </c>
      <c r="B160" t="str">
        <f>+Aux!$A$29</f>
        <v>P - Educação</v>
      </c>
      <c r="C160" t="str">
        <f t="shared" si="2"/>
        <v>P</v>
      </c>
      <c r="D160" s="456" t="s">
        <v>296</v>
      </c>
      <c r="E160" s="517">
        <f>+'q22'!$J$45</f>
        <v>1259.28</v>
      </c>
    </row>
    <row r="161" spans="1:5">
      <c r="A161">
        <f>+'q22'!$J$4</f>
        <v>2020</v>
      </c>
      <c r="B161" t="str">
        <f>+Aux!$A$30</f>
        <v>Q - Ativ. de saúde humana e apoio social</v>
      </c>
      <c r="C161" t="str">
        <f t="shared" si="2"/>
        <v>Q</v>
      </c>
      <c r="D161" s="456" t="s">
        <v>296</v>
      </c>
      <c r="E161" s="517">
        <f>+'q22'!$J$46</f>
        <v>942.71</v>
      </c>
    </row>
    <row r="162" spans="1:5">
      <c r="A162">
        <f>+'q22'!$J$4</f>
        <v>2020</v>
      </c>
      <c r="B162" t="str">
        <f>+Aux!$A$31</f>
        <v>R - Atividades artísticas, de espectáculos, desp. e recreativas</v>
      </c>
      <c r="C162" t="str">
        <f t="shared" si="2"/>
        <v>R</v>
      </c>
      <c r="D162" s="456" t="s">
        <v>296</v>
      </c>
      <c r="E162" s="517">
        <f>+'q22'!$J$47</f>
        <v>1838.97</v>
      </c>
    </row>
    <row r="163" spans="1:5">
      <c r="A163">
        <f>+'q22'!$J$4</f>
        <v>2020</v>
      </c>
      <c r="B163" t="str">
        <f>+Aux!$A$32</f>
        <v>S - Outras atividades de serviços</v>
      </c>
      <c r="C163" t="str">
        <f t="shared" si="2"/>
        <v>S</v>
      </c>
      <c r="D163" s="456" t="s">
        <v>296</v>
      </c>
      <c r="E163" s="517">
        <f>+'q22'!$J$48</f>
        <v>987.51</v>
      </c>
    </row>
    <row r="164" spans="1:5">
      <c r="A164">
        <f>+'q22'!$J$4</f>
        <v>2020</v>
      </c>
      <c r="B164" t="str">
        <f>+Aux!$A$33</f>
        <v>U - Ativ. org. interna. e outras instituições extra-territoriais</v>
      </c>
      <c r="C164" t="str">
        <f t="shared" si="2"/>
        <v>U</v>
      </c>
      <c r="D164" s="456" t="s">
        <v>296</v>
      </c>
      <c r="E164" s="517">
        <f>+'q22'!$J$49</f>
        <v>1978.98</v>
      </c>
    </row>
    <row r="165" spans="1:5">
      <c r="A165">
        <f>+'q22'!$K$4</f>
        <v>2021</v>
      </c>
      <c r="B165" t="str">
        <f>+Aux!$A$14</f>
        <v xml:space="preserve">A - Agricultura, produção animal, caça, floresta e pesca </v>
      </c>
      <c r="C165" t="str">
        <f t="shared" si="2"/>
        <v>A</v>
      </c>
      <c r="D165" s="456" t="s">
        <v>296</v>
      </c>
      <c r="E165" s="517">
        <f>+'q22'!$K$6</f>
        <v>872.68</v>
      </c>
    </row>
    <row r="166" spans="1:5">
      <c r="A166">
        <f>+'q22'!$K$4</f>
        <v>2021</v>
      </c>
      <c r="B166" t="str">
        <f>+Aux!$A$15</f>
        <v>B - Indústrias extrativas</v>
      </c>
      <c r="C166" t="str">
        <f t="shared" si="2"/>
        <v>B</v>
      </c>
      <c r="D166" s="456" t="s">
        <v>296</v>
      </c>
      <c r="E166" s="517">
        <f>+'q22'!$K$7</f>
        <v>1159.45</v>
      </c>
    </row>
    <row r="167" spans="1:5">
      <c r="A167">
        <f>+'q22'!$K$4</f>
        <v>2021</v>
      </c>
      <c r="B167" t="str">
        <f>+Aux!$A$16</f>
        <v>C - Ind. transf.</v>
      </c>
      <c r="C167" t="str">
        <f t="shared" si="2"/>
        <v>C</v>
      </c>
      <c r="D167" s="456" t="s">
        <v>296</v>
      </c>
      <c r="E167" s="517">
        <f>+'q22'!$K$8</f>
        <v>1031.03</v>
      </c>
    </row>
    <row r="168" spans="1:5">
      <c r="A168">
        <f>+'q22'!$K$4</f>
        <v>2021</v>
      </c>
      <c r="B168" t="str">
        <f>+Aux!$A$17</f>
        <v>D - Eletricidade, gás, vapor, água quente e fria e ar frio</v>
      </c>
      <c r="C168" t="str">
        <f t="shared" si="2"/>
        <v>D</v>
      </c>
      <c r="D168" s="456" t="s">
        <v>296</v>
      </c>
      <c r="E168" s="517">
        <f>+'q22'!$K$33</f>
        <v>2156.69</v>
      </c>
    </row>
    <row r="169" spans="1:5">
      <c r="A169">
        <f>+'q22'!$K$4</f>
        <v>2021</v>
      </c>
      <c r="B169" t="str">
        <f>+Aux!$A$18</f>
        <v>E - Captação, trat. e dist. água; saneam., gest. resíduos e desp.</v>
      </c>
      <c r="C169" t="str">
        <f t="shared" si="2"/>
        <v>E</v>
      </c>
      <c r="D169" s="456" t="s">
        <v>296</v>
      </c>
      <c r="E169" s="517">
        <f>+'q22'!$K$34</f>
        <v>989.79</v>
      </c>
    </row>
    <row r="170" spans="1:5">
      <c r="A170">
        <f>+'q22'!$K$4</f>
        <v>2021</v>
      </c>
      <c r="B170" t="str">
        <f>+Aux!$A$19</f>
        <v>F - Construção</v>
      </c>
      <c r="C170" t="str">
        <f t="shared" si="2"/>
        <v>F</v>
      </c>
      <c r="D170" s="456" t="s">
        <v>296</v>
      </c>
      <c r="E170" s="517">
        <f>+'q22'!$K$35</f>
        <v>934.51</v>
      </c>
    </row>
    <row r="171" spans="1:5">
      <c r="A171">
        <f>+'q22'!$K$4</f>
        <v>2021</v>
      </c>
      <c r="B171" t="str">
        <f>+Aux!$A$20</f>
        <v>G - Com. por grosso e ret. (…)</v>
      </c>
      <c r="C171" t="str">
        <f t="shared" si="2"/>
        <v>G</v>
      </c>
      <c r="D171" s="456" t="s">
        <v>296</v>
      </c>
      <c r="E171" s="517">
        <f>+'q22'!$K$36</f>
        <v>1031.8499999999999</v>
      </c>
    </row>
    <row r="172" spans="1:5">
      <c r="A172">
        <f>+'q22'!$K$4</f>
        <v>2021</v>
      </c>
      <c r="B172" t="str">
        <f>+Aux!$A$21</f>
        <v>H - Transportes e armazenagem</v>
      </c>
      <c r="C172" t="str">
        <f t="shared" si="2"/>
        <v>H</v>
      </c>
      <c r="D172" s="456" t="s">
        <v>296</v>
      </c>
      <c r="E172" s="517">
        <f>+'q22'!$K$37</f>
        <v>1056.1199999999999</v>
      </c>
    </row>
    <row r="173" spans="1:5">
      <c r="A173">
        <f>+'q22'!$K$4</f>
        <v>2021</v>
      </c>
      <c r="B173" t="str">
        <f>+Aux!$A$22</f>
        <v>I - Alojamento, rest. e sim.</v>
      </c>
      <c r="C173" t="str">
        <f t="shared" si="2"/>
        <v>I</v>
      </c>
      <c r="D173" s="456" t="s">
        <v>296</v>
      </c>
      <c r="E173" s="517">
        <f>+'q22'!$K$38</f>
        <v>822.39</v>
      </c>
    </row>
    <row r="174" spans="1:5">
      <c r="A174">
        <f>+'q22'!$K$4</f>
        <v>2021</v>
      </c>
      <c r="B174" t="str">
        <f>+Aux!$A$23</f>
        <v>J - Atividades de informação e de comunicação</v>
      </c>
      <c r="C174" t="str">
        <f t="shared" si="2"/>
        <v>J</v>
      </c>
      <c r="D174" s="456" t="s">
        <v>296</v>
      </c>
      <c r="E174" s="517">
        <f>+'q22'!$K$39</f>
        <v>1748.11</v>
      </c>
    </row>
    <row r="175" spans="1:5">
      <c r="A175">
        <f>+'q22'!$K$4</f>
        <v>2021</v>
      </c>
      <c r="B175" t="str">
        <f>+Aux!$A$24</f>
        <v>K - Atividades financeiras e de seguros</v>
      </c>
      <c r="C175" t="str">
        <f t="shared" si="2"/>
        <v>K</v>
      </c>
      <c r="D175" s="456" t="s">
        <v>296</v>
      </c>
      <c r="E175" s="517">
        <f>+'q22'!$K$40</f>
        <v>1674.12</v>
      </c>
    </row>
    <row r="176" spans="1:5">
      <c r="A176">
        <f>+'q22'!$K$4</f>
        <v>2021</v>
      </c>
      <c r="B176" t="str">
        <f>+Aux!$A$25</f>
        <v>L - Atividades imobiliárias</v>
      </c>
      <c r="C176" t="str">
        <f t="shared" si="2"/>
        <v>L</v>
      </c>
      <c r="D176" s="456" t="s">
        <v>296</v>
      </c>
      <c r="E176" s="517">
        <f>+'q22'!$K$41</f>
        <v>1129.19</v>
      </c>
    </row>
    <row r="177" spans="1:5">
      <c r="A177">
        <f>+'q22'!$K$4</f>
        <v>2021</v>
      </c>
      <c r="B177" t="str">
        <f>+Aux!$A$26</f>
        <v>M - Atividades de consultoria, científicas, técnicas e similares</v>
      </c>
      <c r="C177" t="str">
        <f t="shared" si="2"/>
        <v>M</v>
      </c>
      <c r="D177" s="456" t="s">
        <v>296</v>
      </c>
      <c r="E177" s="517">
        <f>+'q22'!$K$42</f>
        <v>1403.13</v>
      </c>
    </row>
    <row r="178" spans="1:5">
      <c r="A178">
        <f>+'q22'!$K$4</f>
        <v>2021</v>
      </c>
      <c r="B178" t="str">
        <f>+Aux!$A$27</f>
        <v>N - Ativ. Admin. e dos serv. apoio</v>
      </c>
      <c r="C178" t="str">
        <f t="shared" si="2"/>
        <v>N</v>
      </c>
      <c r="D178" s="456" t="s">
        <v>296</v>
      </c>
      <c r="E178" s="517">
        <f>+'q22'!$K$43</f>
        <v>916.97</v>
      </c>
    </row>
    <row r="179" spans="1:5">
      <c r="A179">
        <f>+'q22'!$K$4</f>
        <v>2021</v>
      </c>
      <c r="B179" t="str">
        <f>+Aux!$A$28</f>
        <v>O - Administração pública e defesa; segurança social obrigatória</v>
      </c>
      <c r="C179" t="str">
        <f t="shared" si="2"/>
        <v>O</v>
      </c>
      <c r="D179" s="456" t="s">
        <v>296</v>
      </c>
      <c r="E179" s="517">
        <f>+'q22'!$K$44</f>
        <v>1027.51</v>
      </c>
    </row>
    <row r="180" spans="1:5">
      <c r="A180">
        <f>+'q22'!$K$4</f>
        <v>2021</v>
      </c>
      <c r="B180" t="str">
        <f>+Aux!$A$29</f>
        <v>P - Educação</v>
      </c>
      <c r="C180" t="str">
        <f t="shared" si="2"/>
        <v>P</v>
      </c>
      <c r="D180" s="456" t="s">
        <v>296</v>
      </c>
      <c r="E180" s="517">
        <f>+'q22'!$K$45</f>
        <v>1296.72</v>
      </c>
    </row>
    <row r="181" spans="1:5">
      <c r="A181">
        <f>+'q22'!$K$4</f>
        <v>2021</v>
      </c>
      <c r="B181" t="str">
        <f>+Aux!$A$30</f>
        <v>Q - Ativ. de saúde humana e apoio social</v>
      </c>
      <c r="C181" t="str">
        <f t="shared" si="2"/>
        <v>Q</v>
      </c>
      <c r="D181" s="456" t="s">
        <v>296</v>
      </c>
      <c r="E181" s="517">
        <f>+'q22'!$K$46</f>
        <v>974.58</v>
      </c>
    </row>
    <row r="182" spans="1:5">
      <c r="A182">
        <f>+'q22'!$K$4</f>
        <v>2021</v>
      </c>
      <c r="B182" t="str">
        <f>+Aux!$A$31</f>
        <v>R - Atividades artísticas, de espectáculos, desp. e recreativas</v>
      </c>
      <c r="C182" t="str">
        <f t="shared" si="2"/>
        <v>R</v>
      </c>
      <c r="D182" s="456" t="s">
        <v>296</v>
      </c>
      <c r="E182" s="517">
        <f>+'q22'!$K$47</f>
        <v>1780.1</v>
      </c>
    </row>
    <row r="183" spans="1:5">
      <c r="A183">
        <f>+'q22'!$K$4</f>
        <v>2021</v>
      </c>
      <c r="B183" t="str">
        <f>+Aux!$A$32</f>
        <v>S - Outras atividades de serviços</v>
      </c>
      <c r="C183" t="str">
        <f t="shared" si="2"/>
        <v>S</v>
      </c>
      <c r="D183" s="456" t="s">
        <v>296</v>
      </c>
      <c r="E183" s="517">
        <f>+'q22'!$K$48</f>
        <v>1012.59</v>
      </c>
    </row>
    <row r="184" spans="1:5">
      <c r="A184">
        <f>+'q22'!$K$4</f>
        <v>2021</v>
      </c>
      <c r="B184" t="str">
        <f>+Aux!$A$33</f>
        <v>U - Ativ. org. interna. e outras instituições extra-territoriais</v>
      </c>
      <c r="C184" t="str">
        <f t="shared" si="2"/>
        <v>U</v>
      </c>
      <c r="D184" s="456" t="s">
        <v>296</v>
      </c>
      <c r="E184" s="517">
        <f>+'q22'!$K$49</f>
        <v>1886.51</v>
      </c>
    </row>
    <row r="185" spans="1:5">
      <c r="A185">
        <f>+'q22'!$L$4</f>
        <v>2022</v>
      </c>
      <c r="B185" t="str">
        <f>+Aux!$A$14</f>
        <v xml:space="preserve">A - Agricultura, produção animal, caça, floresta e pesca </v>
      </c>
      <c r="C185" t="str">
        <f t="shared" si="2"/>
        <v>A</v>
      </c>
      <c r="D185" s="456" t="s">
        <v>296</v>
      </c>
      <c r="E185" s="517">
        <f>+'q22'!$L$6</f>
        <v>916.19</v>
      </c>
    </row>
    <row r="186" spans="1:5">
      <c r="A186">
        <f>+'q22'!$L$4</f>
        <v>2022</v>
      </c>
      <c r="B186" t="str">
        <f>+Aux!$A$15</f>
        <v>B - Indústrias extrativas</v>
      </c>
      <c r="C186" t="str">
        <f t="shared" si="2"/>
        <v>B</v>
      </c>
      <c r="D186" s="456" t="s">
        <v>296</v>
      </c>
      <c r="E186" s="517">
        <f>+'q22'!$L$7</f>
        <v>1221.07</v>
      </c>
    </row>
    <row r="187" spans="1:5">
      <c r="A187">
        <f>+'q22'!$L$4</f>
        <v>2022</v>
      </c>
      <c r="B187" t="str">
        <f>+Aux!$A$16</f>
        <v>C - Ind. transf.</v>
      </c>
      <c r="C187" t="str">
        <f t="shared" si="2"/>
        <v>C</v>
      </c>
      <c r="D187" s="456" t="s">
        <v>296</v>
      </c>
      <c r="E187" s="517">
        <f>+'q22'!$L$8</f>
        <v>1095.17</v>
      </c>
    </row>
    <row r="188" spans="1:5">
      <c r="A188">
        <f>+'q22'!$L$4</f>
        <v>2022</v>
      </c>
      <c r="B188" t="str">
        <f>+Aux!$A$17</f>
        <v>D - Eletricidade, gás, vapor, água quente e fria e ar frio</v>
      </c>
      <c r="C188" t="str">
        <f t="shared" si="2"/>
        <v>D</v>
      </c>
      <c r="D188" s="456" t="s">
        <v>296</v>
      </c>
      <c r="E188" s="517">
        <f>+'q22'!$L$33</f>
        <v>2243.09</v>
      </c>
    </row>
    <row r="189" spans="1:5">
      <c r="A189">
        <f>+'q22'!$L$4</f>
        <v>2022</v>
      </c>
      <c r="B189" t="str">
        <f>+Aux!$A$18</f>
        <v>E - Captação, trat. e dist. água; saneam., gest. resíduos e desp.</v>
      </c>
      <c r="C189" t="str">
        <f t="shared" si="2"/>
        <v>E</v>
      </c>
      <c r="D189" s="456" t="s">
        <v>296</v>
      </c>
      <c r="E189" s="517">
        <f>+'q22'!$L$34</f>
        <v>1034.78</v>
      </c>
    </row>
    <row r="190" spans="1:5">
      <c r="A190">
        <f>+'q22'!$L$4</f>
        <v>2022</v>
      </c>
      <c r="B190" t="str">
        <f>+Aux!$A$19</f>
        <v>F - Construção</v>
      </c>
      <c r="C190" t="str">
        <f t="shared" si="2"/>
        <v>F</v>
      </c>
      <c r="D190" s="456" t="s">
        <v>296</v>
      </c>
      <c r="E190" s="517">
        <f>+'q22'!$L$35</f>
        <v>973.22</v>
      </c>
    </row>
    <row r="191" spans="1:5">
      <c r="A191">
        <f>+'q22'!$L$4</f>
        <v>2022</v>
      </c>
      <c r="B191" t="str">
        <f>+Aux!$A$20</f>
        <v>G - Com. por grosso e ret. (…)</v>
      </c>
      <c r="C191" t="str">
        <f t="shared" si="2"/>
        <v>G</v>
      </c>
      <c r="D191" s="456" t="s">
        <v>296</v>
      </c>
      <c r="E191" s="517">
        <f>+'q22'!$L$36</f>
        <v>1075.5999999999999</v>
      </c>
    </row>
    <row r="192" spans="1:5">
      <c r="A192">
        <f>+'q22'!$L$4</f>
        <v>2022</v>
      </c>
      <c r="B192" t="str">
        <f>+Aux!$A$21</f>
        <v>H - Transportes e armazenagem</v>
      </c>
      <c r="C192" t="str">
        <f t="shared" si="2"/>
        <v>H</v>
      </c>
      <c r="D192" s="456" t="s">
        <v>296</v>
      </c>
      <c r="E192" s="517">
        <f>+'q22'!$L$37</f>
        <v>1184.24</v>
      </c>
    </row>
    <row r="193" spans="1:5">
      <c r="A193">
        <f>+'q22'!$L$4</f>
        <v>2022</v>
      </c>
      <c r="B193" t="str">
        <f>+Aux!$A$22</f>
        <v>I - Alojamento, rest. e sim.</v>
      </c>
      <c r="C193" t="str">
        <f t="shared" si="2"/>
        <v>I</v>
      </c>
      <c r="D193" s="456" t="s">
        <v>296</v>
      </c>
      <c r="E193" s="517">
        <f>+'q22'!$L$38</f>
        <v>872.72</v>
      </c>
    </row>
    <row r="194" spans="1:5">
      <c r="A194">
        <f>+'q22'!$L$4</f>
        <v>2022</v>
      </c>
      <c r="B194" t="str">
        <f>+Aux!$A$23</f>
        <v>J - Atividades de informação e de comunicação</v>
      </c>
      <c r="C194" t="str">
        <f t="shared" si="2"/>
        <v>J</v>
      </c>
      <c r="D194" s="456" t="s">
        <v>296</v>
      </c>
      <c r="E194" s="517">
        <f>+'q22'!$L$39</f>
        <v>1915.45</v>
      </c>
    </row>
    <row r="195" spans="1:5">
      <c r="A195">
        <f>+'q22'!$L$4</f>
        <v>2022</v>
      </c>
      <c r="B195" t="str">
        <f>+Aux!$A$24</f>
        <v>K - Atividades financeiras e de seguros</v>
      </c>
      <c r="C195" t="str">
        <f t="shared" si="2"/>
        <v>K</v>
      </c>
      <c r="D195" s="456" t="s">
        <v>296</v>
      </c>
      <c r="E195" s="517">
        <f>+'q22'!$L$40</f>
        <v>1705.23</v>
      </c>
    </row>
    <row r="196" spans="1:5">
      <c r="A196">
        <f>+'q22'!$L$4</f>
        <v>2022</v>
      </c>
      <c r="B196" t="str">
        <f>+Aux!$A$25</f>
        <v>L - Atividades imobiliárias</v>
      </c>
      <c r="C196" t="str">
        <f t="shared" si="2"/>
        <v>L</v>
      </c>
      <c r="D196" s="456" t="s">
        <v>296</v>
      </c>
      <c r="E196" s="517">
        <f>+'q22'!$L$41</f>
        <v>1185.33</v>
      </c>
    </row>
    <row r="197" spans="1:5">
      <c r="A197">
        <f>+'q22'!$L$4</f>
        <v>2022</v>
      </c>
      <c r="B197" t="str">
        <f>+Aux!$A$26</f>
        <v>M - Atividades de consultoria, científicas, técnicas e similares</v>
      </c>
      <c r="C197" t="str">
        <f t="shared" si="2"/>
        <v>M</v>
      </c>
      <c r="D197" s="456" t="s">
        <v>296</v>
      </c>
      <c r="E197" s="517">
        <f>+'q22'!$L$42</f>
        <v>1491.97</v>
      </c>
    </row>
    <row r="198" spans="1:5">
      <c r="A198">
        <f>+'q22'!$L$4</f>
        <v>2022</v>
      </c>
      <c r="B198" t="str">
        <f>+Aux!$A$27</f>
        <v>N - Ativ. Admin. e dos serv. apoio</v>
      </c>
      <c r="C198" t="str">
        <f t="shared" ref="C198:C261" si="3">+LEFT(B198,1)</f>
        <v>N</v>
      </c>
      <c r="D198" s="456" t="s">
        <v>296</v>
      </c>
      <c r="E198" s="517">
        <f>+'q22'!$L$43</f>
        <v>970.39</v>
      </c>
    </row>
    <row r="199" spans="1:5">
      <c r="A199">
        <f>+'q22'!$L$4</f>
        <v>2022</v>
      </c>
      <c r="B199" t="str">
        <f>+Aux!$A$28</f>
        <v>O - Administração pública e defesa; segurança social obrigatória</v>
      </c>
      <c r="C199" t="str">
        <f t="shared" si="3"/>
        <v>O</v>
      </c>
      <c r="D199" s="456" t="s">
        <v>296</v>
      </c>
      <c r="E199" s="517">
        <f>+'q22'!$L$44</f>
        <v>1035.5</v>
      </c>
    </row>
    <row r="200" spans="1:5">
      <c r="A200">
        <f>+'q22'!$L$4</f>
        <v>2022</v>
      </c>
      <c r="B200" t="str">
        <f>+Aux!$A$29</f>
        <v>P - Educação</v>
      </c>
      <c r="C200" t="str">
        <f t="shared" si="3"/>
        <v>P</v>
      </c>
      <c r="D200" s="456" t="s">
        <v>296</v>
      </c>
      <c r="E200" s="517">
        <f>+'q22'!$L$45</f>
        <v>1348.73</v>
      </c>
    </row>
    <row r="201" spans="1:5">
      <c r="A201">
        <f>+'q22'!$L$4</f>
        <v>2022</v>
      </c>
      <c r="B201" t="str">
        <f>+Aux!$A$30</f>
        <v>Q - Ativ. de saúde humana e apoio social</v>
      </c>
      <c r="C201" t="str">
        <f t="shared" si="3"/>
        <v>Q</v>
      </c>
      <c r="D201" s="456" t="s">
        <v>296</v>
      </c>
      <c r="E201" s="517">
        <f>+'q22'!$L$46</f>
        <v>1004.81</v>
      </c>
    </row>
    <row r="202" spans="1:5">
      <c r="A202">
        <f>+'q22'!$L$4</f>
        <v>2022</v>
      </c>
      <c r="B202" t="str">
        <f>+Aux!$A$31</f>
        <v>R - Atividades artísticas, de espectáculos, desp. e recreativas</v>
      </c>
      <c r="C202" t="str">
        <f t="shared" si="3"/>
        <v>R</v>
      </c>
      <c r="D202" s="456" t="s">
        <v>296</v>
      </c>
      <c r="E202" s="517">
        <f>+'q22'!$L$47</f>
        <v>1789.86</v>
      </c>
    </row>
    <row r="203" spans="1:5">
      <c r="A203">
        <f>+'q22'!$L$4</f>
        <v>2022</v>
      </c>
      <c r="B203" t="str">
        <f>+Aux!$A$32</f>
        <v>S - Outras atividades de serviços</v>
      </c>
      <c r="C203" t="str">
        <f t="shared" si="3"/>
        <v>S</v>
      </c>
      <c r="D203" s="456" t="s">
        <v>296</v>
      </c>
      <c r="E203" s="517">
        <f>+'q22'!$L$48</f>
        <v>1053.43</v>
      </c>
    </row>
    <row r="204" spans="1:5">
      <c r="A204">
        <f>+'q22'!$L$4</f>
        <v>2022</v>
      </c>
      <c r="B204" t="str">
        <f>+Aux!$A$33</f>
        <v>U - Ativ. org. interna. e outras instituições extra-territoriais</v>
      </c>
      <c r="C204" t="str">
        <f t="shared" si="3"/>
        <v>U</v>
      </c>
      <c r="D204" s="456" t="s">
        <v>296</v>
      </c>
      <c r="E204" s="517">
        <f>+'q22'!$L$49</f>
        <v>3156.84</v>
      </c>
    </row>
    <row r="205" spans="1:5">
      <c r="A205">
        <f>+'q22'!$M$4</f>
        <v>2023</v>
      </c>
      <c r="B205" t="str">
        <f>+Aux!$A$14</f>
        <v xml:space="preserve">A - Agricultura, produção animal, caça, floresta e pesca </v>
      </c>
      <c r="C205" t="str">
        <f t="shared" si="3"/>
        <v>A</v>
      </c>
      <c r="D205" s="456" t="s">
        <v>296</v>
      </c>
      <c r="E205" s="517">
        <f>+'q22'!$M$6</f>
        <v>969.65</v>
      </c>
    </row>
    <row r="206" spans="1:5">
      <c r="A206">
        <f>+'q22'!$M$4</f>
        <v>2023</v>
      </c>
      <c r="B206" t="str">
        <f>+Aux!$A$15</f>
        <v>B - Indústrias extrativas</v>
      </c>
      <c r="C206" t="str">
        <f t="shared" si="3"/>
        <v>B</v>
      </c>
      <c r="D206" s="456" t="s">
        <v>296</v>
      </c>
      <c r="E206" s="517">
        <f>+'q22'!$M$7</f>
        <v>1316.39</v>
      </c>
    </row>
    <row r="207" spans="1:5">
      <c r="A207">
        <f>+'q22'!$M$4</f>
        <v>2023</v>
      </c>
      <c r="B207" t="str">
        <f>+Aux!$A$16</f>
        <v>C - Ind. transf.</v>
      </c>
      <c r="C207" t="str">
        <f t="shared" si="3"/>
        <v>C</v>
      </c>
      <c r="D207" s="456" t="s">
        <v>296</v>
      </c>
      <c r="E207" s="517">
        <f>+'q22'!$M$8</f>
        <v>1172.58</v>
      </c>
    </row>
    <row r="208" spans="1:5">
      <c r="A208">
        <f>+'q22'!$M$4</f>
        <v>2023</v>
      </c>
      <c r="B208" t="str">
        <f>+Aux!$A$17</f>
        <v>D - Eletricidade, gás, vapor, água quente e fria e ar frio</v>
      </c>
      <c r="C208" t="str">
        <f t="shared" si="3"/>
        <v>D</v>
      </c>
      <c r="D208" s="456" t="s">
        <v>296</v>
      </c>
      <c r="E208" s="517">
        <f>+'q22'!$M$33</f>
        <v>2384.1999999999998</v>
      </c>
    </row>
    <row r="209" spans="1:5">
      <c r="A209">
        <f>+'q22'!$M$4</f>
        <v>2023</v>
      </c>
      <c r="B209" t="str">
        <f>+Aux!$A$18</f>
        <v>E - Captação, trat. e dist. água; saneam., gest. resíduos e desp.</v>
      </c>
      <c r="C209" t="str">
        <f t="shared" si="3"/>
        <v>E</v>
      </c>
      <c r="D209" s="456" t="s">
        <v>296</v>
      </c>
      <c r="E209" s="517">
        <f>+'q22'!$M$34</f>
        <v>1116.05</v>
      </c>
    </row>
    <row r="210" spans="1:5">
      <c r="A210">
        <f>+'q22'!$M$4</f>
        <v>2023</v>
      </c>
      <c r="B210" t="str">
        <f>+Aux!$A$19</f>
        <v>F - Construção</v>
      </c>
      <c r="C210" t="str">
        <f t="shared" si="3"/>
        <v>F</v>
      </c>
      <c r="D210" s="456" t="s">
        <v>296</v>
      </c>
      <c r="E210" s="517">
        <f>+'q22'!$M$35</f>
        <v>1035.72</v>
      </c>
    </row>
    <row r="211" spans="1:5">
      <c r="A211">
        <f>+'q22'!$M$4</f>
        <v>2023</v>
      </c>
      <c r="B211" t="str">
        <f>+Aux!$A$20</f>
        <v>G - Com. por grosso e ret. (…)</v>
      </c>
      <c r="C211" t="str">
        <f t="shared" si="3"/>
        <v>G</v>
      </c>
      <c r="D211" s="456" t="s">
        <v>296</v>
      </c>
      <c r="E211" s="517">
        <f>+'q22'!$M$36</f>
        <v>1146.8499999999999</v>
      </c>
    </row>
    <row r="212" spans="1:5">
      <c r="A212">
        <f>+'q22'!$M$4</f>
        <v>2023</v>
      </c>
      <c r="B212" t="str">
        <f>+Aux!$A$21</f>
        <v>H - Transportes e armazenagem</v>
      </c>
      <c r="C212" t="str">
        <f t="shared" si="3"/>
        <v>H</v>
      </c>
      <c r="D212" s="456" t="s">
        <v>296</v>
      </c>
      <c r="E212" s="517">
        <f>+'q22'!$M$37</f>
        <v>1269.02</v>
      </c>
    </row>
    <row r="213" spans="1:5">
      <c r="A213">
        <f>+'q22'!$M$4</f>
        <v>2023</v>
      </c>
      <c r="B213" t="str">
        <f>+Aux!$A$22</f>
        <v>I - Alojamento, rest. e sim.</v>
      </c>
      <c r="C213" t="str">
        <f t="shared" si="3"/>
        <v>I</v>
      </c>
      <c r="D213" s="456" t="s">
        <v>296</v>
      </c>
      <c r="E213" s="517">
        <f>+'q22'!$M$38</f>
        <v>929.8</v>
      </c>
    </row>
    <row r="214" spans="1:5">
      <c r="A214">
        <f>+'q22'!$M$4</f>
        <v>2023</v>
      </c>
      <c r="B214" t="str">
        <f>+Aux!$A$23</f>
        <v>J - Atividades de informação e de comunicação</v>
      </c>
      <c r="C214" t="str">
        <f t="shared" si="3"/>
        <v>J</v>
      </c>
      <c r="D214" s="456" t="s">
        <v>296</v>
      </c>
      <c r="E214" s="517">
        <f>+'q22'!$M$39</f>
        <v>2022.39</v>
      </c>
    </row>
    <row r="215" spans="1:5">
      <c r="A215">
        <f>+'q22'!$M$4</f>
        <v>2023</v>
      </c>
      <c r="B215" t="str">
        <f>+Aux!$A$24</f>
        <v>K - Atividades financeiras e de seguros</v>
      </c>
      <c r="C215" t="str">
        <f t="shared" si="3"/>
        <v>K</v>
      </c>
      <c r="D215" s="456" t="s">
        <v>296</v>
      </c>
      <c r="E215" s="517">
        <f>+'q22'!$M$40</f>
        <v>1801.31</v>
      </c>
    </row>
    <row r="216" spans="1:5">
      <c r="A216">
        <f>+'q22'!$M$4</f>
        <v>2023</v>
      </c>
      <c r="B216" t="str">
        <f>+Aux!$A$25</f>
        <v>L - Atividades imobiliárias</v>
      </c>
      <c r="C216" t="str">
        <f t="shared" si="3"/>
        <v>L</v>
      </c>
      <c r="D216" s="456" t="s">
        <v>296</v>
      </c>
      <c r="E216" s="517">
        <f>+'q22'!$M$41</f>
        <v>1267.8800000000001</v>
      </c>
    </row>
    <row r="217" spans="1:5">
      <c r="A217">
        <f>+'q22'!$M$4</f>
        <v>2023</v>
      </c>
      <c r="B217" t="str">
        <f>+Aux!$A$26</f>
        <v>M - Atividades de consultoria, científicas, técnicas e similares</v>
      </c>
      <c r="C217" t="str">
        <f t="shared" si="3"/>
        <v>M</v>
      </c>
      <c r="D217" s="456" t="s">
        <v>296</v>
      </c>
      <c r="E217" s="517">
        <f>+'q22'!$M$42</f>
        <v>1607.85</v>
      </c>
    </row>
    <row r="218" spans="1:5">
      <c r="A218">
        <f>+'q22'!$M$4</f>
        <v>2023</v>
      </c>
      <c r="B218" t="str">
        <f>+Aux!$A$27</f>
        <v>N - Ativ. Admin. e dos serv. apoio</v>
      </c>
      <c r="C218" t="str">
        <f t="shared" si="3"/>
        <v>N</v>
      </c>
      <c r="D218" s="456" t="s">
        <v>296</v>
      </c>
      <c r="E218" s="517">
        <f>+'q22'!$M$43</f>
        <v>1056.28</v>
      </c>
    </row>
    <row r="219" spans="1:5">
      <c r="A219">
        <f>+'q22'!$M$4</f>
        <v>2023</v>
      </c>
      <c r="B219" t="str">
        <f>+Aux!$A$28</f>
        <v>O - Administração pública e defesa; segurança social obrigatória</v>
      </c>
      <c r="C219" t="str">
        <f t="shared" si="3"/>
        <v>O</v>
      </c>
      <c r="D219" s="456" t="s">
        <v>296</v>
      </c>
      <c r="E219" s="517">
        <f>+'q22'!$M$44</f>
        <v>1098.71</v>
      </c>
    </row>
    <row r="220" spans="1:5">
      <c r="A220">
        <f>+'q22'!$M$4</f>
        <v>2023</v>
      </c>
      <c r="B220" t="str">
        <f>+Aux!$A$29</f>
        <v>P - Educação</v>
      </c>
      <c r="C220" t="str">
        <f t="shared" si="3"/>
        <v>P</v>
      </c>
      <c r="D220" s="456" t="s">
        <v>296</v>
      </c>
      <c r="E220" s="517">
        <f>+'q22'!$M$45</f>
        <v>1435.78</v>
      </c>
    </row>
    <row r="221" spans="1:5">
      <c r="A221">
        <f>+'q22'!$M$4</f>
        <v>2023</v>
      </c>
      <c r="B221" t="str">
        <f>+Aux!$A$30</f>
        <v>Q - Ativ. de saúde humana e apoio social</v>
      </c>
      <c r="C221" t="str">
        <f t="shared" si="3"/>
        <v>Q</v>
      </c>
      <c r="D221" s="456" t="s">
        <v>296</v>
      </c>
      <c r="E221" s="517">
        <f>+'q22'!$M$46</f>
        <v>1055.5</v>
      </c>
    </row>
    <row r="222" spans="1:5">
      <c r="A222">
        <f>+'q22'!$M$4</f>
        <v>2023</v>
      </c>
      <c r="B222" t="str">
        <f>+Aux!$A$31</f>
        <v>R - Atividades artísticas, de espectáculos, desp. e recreativas</v>
      </c>
      <c r="C222" t="str">
        <f t="shared" si="3"/>
        <v>R</v>
      </c>
      <c r="D222" s="456" t="s">
        <v>296</v>
      </c>
      <c r="E222" s="517">
        <f>+'q22'!$M$47</f>
        <v>1903.38</v>
      </c>
    </row>
    <row r="223" spans="1:5">
      <c r="A223">
        <f>+'q22'!$M$4</f>
        <v>2023</v>
      </c>
      <c r="B223" t="str">
        <f>+Aux!$A$32</f>
        <v>S - Outras atividades de serviços</v>
      </c>
      <c r="C223" t="str">
        <f t="shared" si="3"/>
        <v>S</v>
      </c>
      <c r="D223" s="456" t="s">
        <v>296</v>
      </c>
      <c r="E223" s="517">
        <f>+'q22'!$M$48</f>
        <v>1105.46</v>
      </c>
    </row>
    <row r="224" spans="1:5">
      <c r="A224">
        <f>+'q22'!$M$4</f>
        <v>2023</v>
      </c>
      <c r="B224" t="str">
        <f>+Aux!$A$33</f>
        <v>U - Ativ. org. interna. e outras instituições extra-territoriais</v>
      </c>
      <c r="C224" t="str">
        <f t="shared" si="3"/>
        <v>U</v>
      </c>
      <c r="D224" s="456" t="s">
        <v>296</v>
      </c>
      <c r="E224" s="517">
        <f>+'q22'!$M$49</f>
        <v>3347.61</v>
      </c>
    </row>
    <row r="225" spans="1:5">
      <c r="A225">
        <f>+'q33'!$C$4</f>
        <v>2013</v>
      </c>
      <c r="B225" t="str">
        <f>+Aux!$A$14</f>
        <v xml:space="preserve">A - Agricultura, produção animal, caça, floresta e pesca </v>
      </c>
      <c r="C225" t="str">
        <f t="shared" si="3"/>
        <v>A</v>
      </c>
      <c r="D225" s="456" t="s">
        <v>297</v>
      </c>
      <c r="E225" s="517">
        <f>+'q33'!$C$6</f>
        <v>789.23</v>
      </c>
    </row>
    <row r="226" spans="1:5">
      <c r="A226">
        <f>+'q33'!$C$4</f>
        <v>2013</v>
      </c>
      <c r="B226" t="str">
        <f>+Aux!$A$15</f>
        <v>B - Indústrias extrativas</v>
      </c>
      <c r="C226" t="str">
        <f t="shared" si="3"/>
        <v>B</v>
      </c>
      <c r="D226" s="456" t="s">
        <v>297</v>
      </c>
      <c r="E226" s="517">
        <f>+'q33'!$C$7</f>
        <v>1216.8699999999999</v>
      </c>
    </row>
    <row r="227" spans="1:5">
      <c r="A227">
        <f>+'q33'!$C$4</f>
        <v>2013</v>
      </c>
      <c r="B227" t="str">
        <f>+Aux!$A$16</f>
        <v>C - Ind. transf.</v>
      </c>
      <c r="C227" t="str">
        <f t="shared" si="3"/>
        <v>C</v>
      </c>
      <c r="D227" s="456" t="s">
        <v>297</v>
      </c>
      <c r="E227" s="517">
        <f>+'q33'!$C$8</f>
        <v>996.63</v>
      </c>
    </row>
    <row r="228" spans="1:5">
      <c r="A228">
        <f>+'q33'!$C$4</f>
        <v>2013</v>
      </c>
      <c r="B228" t="str">
        <f>+Aux!$A$17</f>
        <v>D - Eletricidade, gás, vapor, água quente e fria e ar frio</v>
      </c>
      <c r="C228" t="str">
        <f t="shared" si="3"/>
        <v>D</v>
      </c>
      <c r="D228" s="456" t="s">
        <v>297</v>
      </c>
      <c r="E228" s="517">
        <f>+'q33'!$C$33</f>
        <v>2907.1</v>
      </c>
    </row>
    <row r="229" spans="1:5">
      <c r="A229">
        <f>+'q33'!$C$4</f>
        <v>2013</v>
      </c>
      <c r="B229" t="str">
        <f>+Aux!$A$18</f>
        <v>E - Captação, trat. e dist. água; saneam., gest. resíduos e desp.</v>
      </c>
      <c r="C229" t="str">
        <f t="shared" si="3"/>
        <v>E</v>
      </c>
      <c r="D229" s="456" t="s">
        <v>297</v>
      </c>
      <c r="E229" s="517">
        <f>+'q33'!$C$34</f>
        <v>1084.17</v>
      </c>
    </row>
    <row r="230" spans="1:5">
      <c r="A230">
        <f>+'q33'!$C$4</f>
        <v>2013</v>
      </c>
      <c r="B230" t="str">
        <f>+Aux!$A$19</f>
        <v>F - Construção</v>
      </c>
      <c r="C230" t="str">
        <f t="shared" si="3"/>
        <v>F</v>
      </c>
      <c r="D230" s="456" t="s">
        <v>297</v>
      </c>
      <c r="E230" s="517">
        <f>+'q33'!$C$35</f>
        <v>966.06</v>
      </c>
    </row>
    <row r="231" spans="1:5">
      <c r="A231">
        <f>+'q33'!$C$4</f>
        <v>2013</v>
      </c>
      <c r="B231" t="str">
        <f>+Aux!$A$20</f>
        <v>G - Com. por grosso e ret. (…)</v>
      </c>
      <c r="C231" t="str">
        <f t="shared" si="3"/>
        <v>G</v>
      </c>
      <c r="D231" s="456" t="s">
        <v>297</v>
      </c>
      <c r="E231" s="517">
        <f>+'q33'!$C$36</f>
        <v>1013.46</v>
      </c>
    </row>
    <row r="232" spans="1:5">
      <c r="A232">
        <f>+'q33'!$C$4</f>
        <v>2013</v>
      </c>
      <c r="B232" t="str">
        <f>+Aux!$A$21</f>
        <v>H - Transportes e armazenagem</v>
      </c>
      <c r="C232" t="str">
        <f t="shared" si="3"/>
        <v>H</v>
      </c>
      <c r="D232" s="456" t="s">
        <v>297</v>
      </c>
      <c r="E232" s="517">
        <f>+'q33'!$C$37</f>
        <v>1338.08</v>
      </c>
    </row>
    <row r="233" spans="1:5">
      <c r="A233">
        <f>+'q33'!$C$4</f>
        <v>2013</v>
      </c>
      <c r="B233" t="str">
        <f>+Aux!$A$22</f>
        <v>I - Alojamento, rest. e sim.</v>
      </c>
      <c r="C233" t="str">
        <f t="shared" si="3"/>
        <v>I</v>
      </c>
      <c r="D233" s="456" t="s">
        <v>297</v>
      </c>
      <c r="E233" s="517">
        <f>+'q33'!$C$38</f>
        <v>724.31</v>
      </c>
    </row>
    <row r="234" spans="1:5">
      <c r="A234">
        <f>+'q33'!$C$4</f>
        <v>2013</v>
      </c>
      <c r="B234" t="str">
        <f>+Aux!$A$23</f>
        <v>J - Atividades de informação e de comunicação</v>
      </c>
      <c r="C234" t="str">
        <f t="shared" si="3"/>
        <v>J</v>
      </c>
      <c r="D234" s="456" t="s">
        <v>297</v>
      </c>
      <c r="E234" s="517">
        <f>+'q33'!$C$39</f>
        <v>1821.27</v>
      </c>
    </row>
    <row r="235" spans="1:5">
      <c r="A235">
        <f>+'q33'!$C$4</f>
        <v>2013</v>
      </c>
      <c r="B235" t="str">
        <f>+Aux!$A$24</f>
        <v>K - Atividades financeiras e de seguros</v>
      </c>
      <c r="C235" t="str">
        <f t="shared" si="3"/>
        <v>K</v>
      </c>
      <c r="D235" s="456" t="s">
        <v>297</v>
      </c>
      <c r="E235" s="517">
        <f>+'q33'!$C$40</f>
        <v>2302.04</v>
      </c>
    </row>
    <row r="236" spans="1:5">
      <c r="A236">
        <f>+'q33'!$C$4</f>
        <v>2013</v>
      </c>
      <c r="B236" t="str">
        <f>+Aux!$A$25</f>
        <v>L - Atividades imobiliárias</v>
      </c>
      <c r="C236" t="str">
        <f t="shared" si="3"/>
        <v>L</v>
      </c>
      <c r="D236" s="456" t="s">
        <v>297</v>
      </c>
      <c r="E236" s="517">
        <f>+'q33'!$C$41</f>
        <v>1093.47</v>
      </c>
    </row>
    <row r="237" spans="1:5">
      <c r="A237">
        <f>+'q33'!$C$4</f>
        <v>2013</v>
      </c>
      <c r="B237" t="str">
        <f>+Aux!$A$26</f>
        <v>M - Atividades de consultoria, científicas, técnicas e similares</v>
      </c>
      <c r="C237" t="str">
        <f t="shared" si="3"/>
        <v>M</v>
      </c>
      <c r="D237" s="456" t="s">
        <v>297</v>
      </c>
      <c r="E237" s="517">
        <f>+'q33'!$C$42</f>
        <v>1357.69</v>
      </c>
    </row>
    <row r="238" spans="1:5">
      <c r="A238">
        <f>+'q33'!$C$4</f>
        <v>2013</v>
      </c>
      <c r="B238" t="str">
        <f>+Aux!$A$27</f>
        <v>N - Ativ. Admin. e dos serv. apoio</v>
      </c>
      <c r="C238" t="str">
        <f t="shared" si="3"/>
        <v>N</v>
      </c>
      <c r="D238" s="456" t="s">
        <v>297</v>
      </c>
      <c r="E238" s="517">
        <f>+'q33'!$C$43</f>
        <v>910.69</v>
      </c>
    </row>
    <row r="239" spans="1:5">
      <c r="A239">
        <f>+'q33'!$C$4</f>
        <v>2013</v>
      </c>
      <c r="B239" t="str">
        <f>+Aux!$A$28</f>
        <v>O - Administração pública e defesa; segurança social obrigatória</v>
      </c>
      <c r="C239" t="str">
        <f t="shared" si="3"/>
        <v>O</v>
      </c>
      <c r="D239" s="456" t="s">
        <v>297</v>
      </c>
      <c r="E239" s="517">
        <f>+'q33'!$C$44</f>
        <v>1035.2</v>
      </c>
    </row>
    <row r="240" spans="1:5">
      <c r="A240">
        <f>+'q33'!$C$4</f>
        <v>2013</v>
      </c>
      <c r="B240" t="str">
        <f>+Aux!$A$29</f>
        <v>P - Educação</v>
      </c>
      <c r="C240" t="str">
        <f t="shared" si="3"/>
        <v>P</v>
      </c>
      <c r="D240" s="456" t="s">
        <v>297</v>
      </c>
      <c r="E240" s="517">
        <f>+'q33'!$C$45</f>
        <v>1234.6199999999999</v>
      </c>
    </row>
    <row r="241" spans="1:5">
      <c r="A241">
        <f>+'q33'!$C$4</f>
        <v>2013</v>
      </c>
      <c r="B241" t="str">
        <f>+Aux!$A$30</f>
        <v>Q - Ativ. de saúde humana e apoio social</v>
      </c>
      <c r="C241" t="str">
        <f t="shared" si="3"/>
        <v>Q</v>
      </c>
      <c r="D241" s="456" t="s">
        <v>297</v>
      </c>
      <c r="E241" s="517">
        <f>+'q33'!$C$46</f>
        <v>943.76</v>
      </c>
    </row>
    <row r="242" spans="1:5">
      <c r="A242">
        <f>+'q33'!$C$4</f>
        <v>2013</v>
      </c>
      <c r="B242" t="str">
        <f>+Aux!$A$31</f>
        <v>R - Atividades artísticas, de espectáculos, desp. e recreativas</v>
      </c>
      <c r="C242" t="str">
        <f t="shared" si="3"/>
        <v>R</v>
      </c>
      <c r="D242" s="456" t="s">
        <v>297</v>
      </c>
      <c r="E242" s="517">
        <f>+'q33'!$C$47</f>
        <v>1635.47</v>
      </c>
    </row>
    <row r="243" spans="1:5">
      <c r="A243">
        <f>+'q33'!$C$4</f>
        <v>2013</v>
      </c>
      <c r="B243" t="str">
        <f>+Aux!$A$32</f>
        <v>S - Outras atividades de serviços</v>
      </c>
      <c r="C243" t="str">
        <f t="shared" si="3"/>
        <v>S</v>
      </c>
      <c r="D243" s="456" t="s">
        <v>297</v>
      </c>
      <c r="E243" s="517">
        <f>+'q33'!$C$48</f>
        <v>950.59</v>
      </c>
    </row>
    <row r="244" spans="1:5">
      <c r="A244">
        <f>+'q33'!$C$4</f>
        <v>2013</v>
      </c>
      <c r="B244" t="str">
        <f>+Aux!$A$33</f>
        <v>U - Ativ. org. interna. e outras instituições extra-territoriais</v>
      </c>
      <c r="C244" t="str">
        <f t="shared" si="3"/>
        <v>U</v>
      </c>
      <c r="D244" s="456" t="s">
        <v>297</v>
      </c>
      <c r="E244" s="517">
        <f>+'q33'!$C$49</f>
        <v>1896.43</v>
      </c>
    </row>
    <row r="245" spans="1:5">
      <c r="A245">
        <f>+'q33'!$D$4</f>
        <v>2014</v>
      </c>
      <c r="B245" t="str">
        <f>+Aux!$A$14</f>
        <v xml:space="preserve">A - Agricultura, produção animal, caça, floresta e pesca </v>
      </c>
      <c r="C245" t="str">
        <f t="shared" si="3"/>
        <v>A</v>
      </c>
      <c r="D245" s="456" t="s">
        <v>297</v>
      </c>
      <c r="E245" s="517">
        <f>+'q33'!$D$6</f>
        <v>794.63</v>
      </c>
    </row>
    <row r="246" spans="1:5">
      <c r="A246">
        <f>+'q33'!$D$4</f>
        <v>2014</v>
      </c>
      <c r="B246" t="str">
        <f>+Aux!$A$15</f>
        <v>B - Indústrias extrativas</v>
      </c>
      <c r="C246" t="str">
        <f t="shared" si="3"/>
        <v>B</v>
      </c>
      <c r="D246" s="456" t="s">
        <v>297</v>
      </c>
      <c r="E246" s="517">
        <f>+'q33'!$D$7</f>
        <v>1253.19</v>
      </c>
    </row>
    <row r="247" spans="1:5">
      <c r="A247">
        <f>+'q33'!$D$4</f>
        <v>2014</v>
      </c>
      <c r="B247" t="str">
        <f>+Aux!$A$16</f>
        <v>C - Ind. transf.</v>
      </c>
      <c r="C247" t="str">
        <f t="shared" si="3"/>
        <v>C</v>
      </c>
      <c r="D247" s="456" t="s">
        <v>297</v>
      </c>
      <c r="E247" s="517">
        <f>+'q33'!$D$8</f>
        <v>1003.09</v>
      </c>
    </row>
    <row r="248" spans="1:5">
      <c r="A248">
        <f>+'q33'!$D$4</f>
        <v>2014</v>
      </c>
      <c r="B248" t="str">
        <f>+Aux!$A$17</f>
        <v>D - Eletricidade, gás, vapor, água quente e fria e ar frio</v>
      </c>
      <c r="C248" t="str">
        <f t="shared" si="3"/>
        <v>D</v>
      </c>
      <c r="D248" s="456" t="s">
        <v>297</v>
      </c>
      <c r="E248" s="517">
        <f>+'q33'!$D$33</f>
        <v>2899.03</v>
      </c>
    </row>
    <row r="249" spans="1:5">
      <c r="A249">
        <f>+'q33'!$D$4</f>
        <v>2014</v>
      </c>
      <c r="B249" t="str">
        <f>+Aux!$A$18</f>
        <v>E - Captação, trat. e dist. água; saneam., gest. resíduos e desp.</v>
      </c>
      <c r="C249" t="str">
        <f t="shared" si="3"/>
        <v>E</v>
      </c>
      <c r="D249" s="456" t="s">
        <v>297</v>
      </c>
      <c r="E249" s="517">
        <f>+'q33'!$D$34</f>
        <v>1091.92</v>
      </c>
    </row>
    <row r="250" spans="1:5">
      <c r="A250">
        <f>+'q33'!$D$4</f>
        <v>2014</v>
      </c>
      <c r="B250" t="str">
        <f>+Aux!$A$19</f>
        <v>F - Construção</v>
      </c>
      <c r="C250" t="str">
        <f t="shared" si="3"/>
        <v>F</v>
      </c>
      <c r="D250" s="456" t="s">
        <v>297</v>
      </c>
      <c r="E250" s="517">
        <f>+'q33'!$D$35</f>
        <v>962.23</v>
      </c>
    </row>
    <row r="251" spans="1:5">
      <c r="A251">
        <f>+'q33'!$D$4</f>
        <v>2014</v>
      </c>
      <c r="B251" t="str">
        <f>+Aux!$A$20</f>
        <v>G - Com. por grosso e ret. (…)</v>
      </c>
      <c r="C251" t="str">
        <f t="shared" si="3"/>
        <v>G</v>
      </c>
      <c r="D251" s="456" t="s">
        <v>297</v>
      </c>
      <c r="E251" s="517">
        <f>+'q33'!$D$36</f>
        <v>1014.14</v>
      </c>
    </row>
    <row r="252" spans="1:5">
      <c r="A252">
        <f>+'q33'!$D$4</f>
        <v>2014</v>
      </c>
      <c r="B252" t="str">
        <f>+Aux!$A$21</f>
        <v>H - Transportes e armazenagem</v>
      </c>
      <c r="C252" t="str">
        <f t="shared" si="3"/>
        <v>H</v>
      </c>
      <c r="D252" s="456" t="s">
        <v>297</v>
      </c>
      <c r="E252" s="517">
        <f>+'q33'!$D$37</f>
        <v>1335.45</v>
      </c>
    </row>
    <row r="253" spans="1:5">
      <c r="A253">
        <f>+'q33'!$D$4</f>
        <v>2014</v>
      </c>
      <c r="B253" t="str">
        <f>+Aux!$A$22</f>
        <v>I - Alojamento, rest. e sim.</v>
      </c>
      <c r="C253" t="str">
        <f t="shared" si="3"/>
        <v>I</v>
      </c>
      <c r="D253" s="456" t="s">
        <v>297</v>
      </c>
      <c r="E253" s="517">
        <f>+'q33'!$D$38</f>
        <v>734.04</v>
      </c>
    </row>
    <row r="254" spans="1:5">
      <c r="A254">
        <f>+'q33'!$D$4</f>
        <v>2014</v>
      </c>
      <c r="B254" t="str">
        <f>+Aux!$A$23</f>
        <v>J - Atividades de informação e de comunicação</v>
      </c>
      <c r="C254" t="str">
        <f t="shared" si="3"/>
        <v>J</v>
      </c>
      <c r="D254" s="456" t="s">
        <v>297</v>
      </c>
      <c r="E254" s="517">
        <f>+'q33'!$D$39</f>
        <v>1779.88</v>
      </c>
    </row>
    <row r="255" spans="1:5">
      <c r="A255">
        <f>+'q33'!$D$4</f>
        <v>2014</v>
      </c>
      <c r="B255" t="str">
        <f>+Aux!$A$24</f>
        <v>K - Atividades financeiras e de seguros</v>
      </c>
      <c r="C255" t="str">
        <f t="shared" si="3"/>
        <v>K</v>
      </c>
      <c r="D255" s="456" t="s">
        <v>297</v>
      </c>
      <c r="E255" s="517">
        <f>+'q33'!$D$40</f>
        <v>2312.4899999999998</v>
      </c>
    </row>
    <row r="256" spans="1:5">
      <c r="A256">
        <f>+'q33'!$D$4</f>
        <v>2014</v>
      </c>
      <c r="B256" t="str">
        <f>+Aux!$A$25</f>
        <v>L - Atividades imobiliárias</v>
      </c>
      <c r="C256" t="str">
        <f t="shared" si="3"/>
        <v>L</v>
      </c>
      <c r="D256" s="456" t="s">
        <v>297</v>
      </c>
      <c r="E256" s="517">
        <f>+'q33'!$D$41</f>
        <v>1087.28</v>
      </c>
    </row>
    <row r="257" spans="1:5">
      <c r="A257">
        <f>+'q33'!$D$4</f>
        <v>2014</v>
      </c>
      <c r="B257" t="str">
        <f>+Aux!$A$26</f>
        <v>M - Atividades de consultoria, científicas, técnicas e similares</v>
      </c>
      <c r="C257" t="str">
        <f t="shared" si="3"/>
        <v>M</v>
      </c>
      <c r="D257" s="456" t="s">
        <v>297</v>
      </c>
      <c r="E257" s="517">
        <f>+'q33'!$D$42</f>
        <v>1347.85</v>
      </c>
    </row>
    <row r="258" spans="1:5">
      <c r="A258">
        <f>+'q33'!$D$4</f>
        <v>2014</v>
      </c>
      <c r="B258" t="str">
        <f>+Aux!$A$27</f>
        <v>N - Ativ. Admin. e dos serv. apoio</v>
      </c>
      <c r="C258" t="str">
        <f t="shared" si="3"/>
        <v>N</v>
      </c>
      <c r="D258" s="456" t="s">
        <v>297</v>
      </c>
      <c r="E258" s="517">
        <f>+'q33'!$D$43</f>
        <v>915.77</v>
      </c>
    </row>
    <row r="259" spans="1:5">
      <c r="A259">
        <f>+'q33'!$D$4</f>
        <v>2014</v>
      </c>
      <c r="B259" t="str">
        <f>+Aux!$A$28</f>
        <v>O - Administração pública e defesa; segurança social obrigatória</v>
      </c>
      <c r="C259" t="str">
        <f t="shared" si="3"/>
        <v>O</v>
      </c>
      <c r="D259" s="456" t="s">
        <v>297</v>
      </c>
      <c r="E259" s="517">
        <f>+'q33'!$D$44</f>
        <v>1049.32</v>
      </c>
    </row>
    <row r="260" spans="1:5">
      <c r="A260">
        <f>+'q33'!$D$4</f>
        <v>2014</v>
      </c>
      <c r="B260" t="str">
        <f>+Aux!$A$29</f>
        <v>P - Educação</v>
      </c>
      <c r="C260" t="str">
        <f t="shared" si="3"/>
        <v>P</v>
      </c>
      <c r="D260" s="456" t="s">
        <v>297</v>
      </c>
      <c r="E260" s="517">
        <f>+'q33'!$D$45</f>
        <v>1224.42</v>
      </c>
    </row>
    <row r="261" spans="1:5">
      <c r="A261">
        <f>+'q33'!$D$4</f>
        <v>2014</v>
      </c>
      <c r="B261" t="str">
        <f>+Aux!$A$30</f>
        <v>Q - Ativ. de saúde humana e apoio social</v>
      </c>
      <c r="C261" t="str">
        <f t="shared" si="3"/>
        <v>Q</v>
      </c>
      <c r="D261" s="456" t="s">
        <v>297</v>
      </c>
      <c r="E261" s="517">
        <f>+'q33'!$D$46</f>
        <v>941.14</v>
      </c>
    </row>
    <row r="262" spans="1:5">
      <c r="A262">
        <f>+'q33'!$D$4</f>
        <v>2014</v>
      </c>
      <c r="B262" t="str">
        <f>+Aux!$A$31</f>
        <v>R - Atividades artísticas, de espectáculos, desp. e recreativas</v>
      </c>
      <c r="C262" t="str">
        <f t="shared" ref="C262:C325" si="4">+LEFT(B262,1)</f>
        <v>R</v>
      </c>
      <c r="D262" s="456" t="s">
        <v>297</v>
      </c>
      <c r="E262" s="517">
        <f>+'q33'!$D$47</f>
        <v>1556.9</v>
      </c>
    </row>
    <row r="263" spans="1:5">
      <c r="A263">
        <f>+'q33'!$D$4</f>
        <v>2014</v>
      </c>
      <c r="B263" t="str">
        <f>+Aux!$A$32</f>
        <v>S - Outras atividades de serviços</v>
      </c>
      <c r="C263" t="str">
        <f t="shared" si="4"/>
        <v>S</v>
      </c>
      <c r="D263" s="456" t="s">
        <v>297</v>
      </c>
      <c r="E263" s="517">
        <f>+'q33'!$D$48</f>
        <v>957.11</v>
      </c>
    </row>
    <row r="264" spans="1:5">
      <c r="A264">
        <f>+'q33'!$D$4</f>
        <v>2014</v>
      </c>
      <c r="B264" t="str">
        <f>+Aux!$A$33</f>
        <v>U - Ativ. org. interna. e outras instituições extra-territoriais</v>
      </c>
      <c r="C264" t="str">
        <f t="shared" si="4"/>
        <v>U</v>
      </c>
      <c r="D264" s="456" t="s">
        <v>297</v>
      </c>
      <c r="E264" s="517">
        <f>+'q33'!$D$49</f>
        <v>1860.19</v>
      </c>
    </row>
    <row r="265" spans="1:5">
      <c r="A265">
        <f>+'q33'!$E$4</f>
        <v>2015</v>
      </c>
      <c r="B265" t="str">
        <f>+Aux!$A$14</f>
        <v xml:space="preserve">A - Agricultura, produção animal, caça, floresta e pesca </v>
      </c>
      <c r="C265" t="str">
        <f t="shared" si="4"/>
        <v>A</v>
      </c>
      <c r="D265" s="456" t="s">
        <v>297</v>
      </c>
      <c r="E265" s="517">
        <f>+'q33'!$E$6</f>
        <v>802.68</v>
      </c>
    </row>
    <row r="266" spans="1:5">
      <c r="A266">
        <f>+'q33'!$E$4</f>
        <v>2015</v>
      </c>
      <c r="B266" t="str">
        <f>+Aux!$A$15</f>
        <v>B - Indústrias extrativas</v>
      </c>
      <c r="C266" t="str">
        <f t="shared" si="4"/>
        <v>B</v>
      </c>
      <c r="D266" s="456" t="s">
        <v>297</v>
      </c>
      <c r="E266" s="517">
        <f>+'q33'!$E$7</f>
        <v>1254.1099999999999</v>
      </c>
    </row>
    <row r="267" spans="1:5">
      <c r="A267">
        <f>+'q33'!$E$4</f>
        <v>2015</v>
      </c>
      <c r="B267" t="str">
        <f>+Aux!$A$16</f>
        <v>C - Ind. transf.</v>
      </c>
      <c r="C267" t="str">
        <f t="shared" si="4"/>
        <v>C</v>
      </c>
      <c r="D267" s="456" t="s">
        <v>297</v>
      </c>
      <c r="E267" s="517">
        <f>+'q33'!$E$8</f>
        <v>1015.82</v>
      </c>
    </row>
    <row r="268" spans="1:5">
      <c r="A268">
        <f>+'q33'!$E$4</f>
        <v>2015</v>
      </c>
      <c r="B268" t="str">
        <f>+Aux!$A$17</f>
        <v>D - Eletricidade, gás, vapor, água quente e fria e ar frio</v>
      </c>
      <c r="C268" t="str">
        <f t="shared" si="4"/>
        <v>D</v>
      </c>
      <c r="D268" s="456" t="s">
        <v>297</v>
      </c>
      <c r="E268" s="517">
        <f>+'q33'!$E$33</f>
        <v>2923.78</v>
      </c>
    </row>
    <row r="269" spans="1:5">
      <c r="A269">
        <f>+'q33'!$E$4</f>
        <v>2015</v>
      </c>
      <c r="B269" t="str">
        <f>+Aux!$A$18</f>
        <v>E - Captação, trat. e dist. água; saneam., gest. resíduos e desp.</v>
      </c>
      <c r="C269" t="str">
        <f t="shared" si="4"/>
        <v>E</v>
      </c>
      <c r="D269" s="456" t="s">
        <v>297</v>
      </c>
      <c r="E269" s="517">
        <f>+'q33'!$E$34</f>
        <v>1102.67</v>
      </c>
    </row>
    <row r="270" spans="1:5">
      <c r="A270">
        <f>+'q33'!$E$4</f>
        <v>2015</v>
      </c>
      <c r="B270" t="str">
        <f>+Aux!$A$19</f>
        <v>F - Construção</v>
      </c>
      <c r="C270" t="str">
        <f t="shared" si="4"/>
        <v>F</v>
      </c>
      <c r="D270" s="456" t="s">
        <v>297</v>
      </c>
      <c r="E270" s="517">
        <f>+'q33'!$E$35</f>
        <v>958.61</v>
      </c>
    </row>
    <row r="271" spans="1:5">
      <c r="A271">
        <f>+'q33'!$E$4</f>
        <v>2015</v>
      </c>
      <c r="B271" t="str">
        <f>+Aux!$A$20</f>
        <v>G - Com. por grosso e ret. (…)</v>
      </c>
      <c r="C271" t="str">
        <f t="shared" si="4"/>
        <v>G</v>
      </c>
      <c r="D271" s="456" t="s">
        <v>297</v>
      </c>
      <c r="E271" s="517">
        <f>+'q33'!$E$36</f>
        <v>1022.01</v>
      </c>
    </row>
    <row r="272" spans="1:5">
      <c r="A272">
        <f>+'q33'!$E$4</f>
        <v>2015</v>
      </c>
      <c r="B272" t="str">
        <f>+Aux!$A$21</f>
        <v>H - Transportes e armazenagem</v>
      </c>
      <c r="C272" t="str">
        <f t="shared" si="4"/>
        <v>H</v>
      </c>
      <c r="D272" s="456" t="s">
        <v>297</v>
      </c>
      <c r="E272" s="517">
        <f>+'q33'!$E$37</f>
        <v>1342.5</v>
      </c>
    </row>
    <row r="273" spans="1:5">
      <c r="A273">
        <f>+'q33'!$E$4</f>
        <v>2015</v>
      </c>
      <c r="B273" t="str">
        <f>+Aux!$A$22</f>
        <v>I - Alojamento, rest. e sim.</v>
      </c>
      <c r="C273" t="str">
        <f t="shared" si="4"/>
        <v>I</v>
      </c>
      <c r="D273" s="456" t="s">
        <v>297</v>
      </c>
      <c r="E273" s="517">
        <f>+'q33'!$E$38</f>
        <v>736.8</v>
      </c>
    </row>
    <row r="274" spans="1:5">
      <c r="A274">
        <f>+'q33'!$E$4</f>
        <v>2015</v>
      </c>
      <c r="B274" t="str">
        <f>+Aux!$A$23</f>
        <v>J - Atividades de informação e de comunicação</v>
      </c>
      <c r="C274" t="str">
        <f t="shared" si="4"/>
        <v>J</v>
      </c>
      <c r="D274" s="456" t="s">
        <v>297</v>
      </c>
      <c r="E274" s="517">
        <f>+'q33'!$E$39</f>
        <v>1770.68</v>
      </c>
    </row>
    <row r="275" spans="1:5">
      <c r="A275">
        <f>+'q33'!$E$4</f>
        <v>2015</v>
      </c>
      <c r="B275" t="str">
        <f>+Aux!$A$24</f>
        <v>K - Atividades financeiras e de seguros</v>
      </c>
      <c r="C275" t="str">
        <f t="shared" si="4"/>
        <v>K</v>
      </c>
      <c r="D275" s="456" t="s">
        <v>297</v>
      </c>
      <c r="E275" s="517">
        <f>+'q33'!$E$40</f>
        <v>2302.13</v>
      </c>
    </row>
    <row r="276" spans="1:5">
      <c r="A276">
        <f>+'q33'!$E$4</f>
        <v>2015</v>
      </c>
      <c r="B276" t="str">
        <f>+Aux!$A$25</f>
        <v>L - Atividades imobiliárias</v>
      </c>
      <c r="C276" t="str">
        <f t="shared" si="4"/>
        <v>L</v>
      </c>
      <c r="D276" s="456" t="s">
        <v>297</v>
      </c>
      <c r="E276" s="517">
        <f>+'q33'!$E$41</f>
        <v>1080.53</v>
      </c>
    </row>
    <row r="277" spans="1:5">
      <c r="A277">
        <f>+'q33'!$E$4</f>
        <v>2015</v>
      </c>
      <c r="B277" t="str">
        <f>+Aux!$A$26</f>
        <v>M - Atividades de consultoria, científicas, técnicas e similares</v>
      </c>
      <c r="C277" t="str">
        <f t="shared" si="4"/>
        <v>M</v>
      </c>
      <c r="D277" s="456" t="s">
        <v>297</v>
      </c>
      <c r="E277" s="517">
        <f>+'q33'!$E$42</f>
        <v>1352.56</v>
      </c>
    </row>
    <row r="278" spans="1:5">
      <c r="A278">
        <f>+'q33'!$E$4</f>
        <v>2015</v>
      </c>
      <c r="B278" t="str">
        <f>+Aux!$A$27</f>
        <v>N - Ativ. Admin. e dos serv. apoio</v>
      </c>
      <c r="C278" t="str">
        <f t="shared" si="4"/>
        <v>N</v>
      </c>
      <c r="D278" s="456" t="s">
        <v>297</v>
      </c>
      <c r="E278" s="517">
        <f>+'q33'!$E$43</f>
        <v>909.36</v>
      </c>
    </row>
    <row r="279" spans="1:5">
      <c r="A279">
        <f>+'q33'!$E$4</f>
        <v>2015</v>
      </c>
      <c r="B279" t="str">
        <f>+Aux!$A$28</f>
        <v>O - Administração pública e defesa; segurança social obrigatória</v>
      </c>
      <c r="C279" t="str">
        <f t="shared" si="4"/>
        <v>O</v>
      </c>
      <c r="D279" s="456" t="s">
        <v>297</v>
      </c>
      <c r="E279" s="517">
        <f>+'q33'!$E$44</f>
        <v>1055.0899999999999</v>
      </c>
    </row>
    <row r="280" spans="1:5">
      <c r="A280">
        <f>+'q33'!$E$4</f>
        <v>2015</v>
      </c>
      <c r="B280" t="str">
        <f>+Aux!$A$29</f>
        <v>P - Educação</v>
      </c>
      <c r="C280" t="str">
        <f t="shared" si="4"/>
        <v>P</v>
      </c>
      <c r="D280" s="456" t="s">
        <v>297</v>
      </c>
      <c r="E280" s="517">
        <f>+'q33'!$E$45</f>
        <v>1215.92</v>
      </c>
    </row>
    <row r="281" spans="1:5">
      <c r="A281">
        <f>+'q33'!$E$4</f>
        <v>2015</v>
      </c>
      <c r="B281" t="str">
        <f>+Aux!$A$30</f>
        <v>Q - Ativ. de saúde humana e apoio social</v>
      </c>
      <c r="C281" t="str">
        <f t="shared" si="4"/>
        <v>Q</v>
      </c>
      <c r="D281" s="456" t="s">
        <v>297</v>
      </c>
      <c r="E281" s="517">
        <f>+'q33'!$E$46</f>
        <v>957.95</v>
      </c>
    </row>
    <row r="282" spans="1:5">
      <c r="A282">
        <f>+'q33'!$E$4</f>
        <v>2015</v>
      </c>
      <c r="B282" t="str">
        <f>+Aux!$A$31</f>
        <v>R - Atividades artísticas, de espectáculos, desp. e recreativas</v>
      </c>
      <c r="C282" t="str">
        <f t="shared" si="4"/>
        <v>R</v>
      </c>
      <c r="D282" s="456" t="s">
        <v>297</v>
      </c>
      <c r="E282" s="517">
        <f>+'q33'!$E$47</f>
        <v>1683.9</v>
      </c>
    </row>
    <row r="283" spans="1:5">
      <c r="A283">
        <f>+'q33'!$E$4</f>
        <v>2015</v>
      </c>
      <c r="B283" t="str">
        <f>+Aux!$A$32</f>
        <v>S - Outras atividades de serviços</v>
      </c>
      <c r="C283" t="str">
        <f t="shared" si="4"/>
        <v>S</v>
      </c>
      <c r="D283" s="456" t="s">
        <v>297</v>
      </c>
      <c r="E283" s="517">
        <f>+'q33'!$E$48</f>
        <v>956.51</v>
      </c>
    </row>
    <row r="284" spans="1:5">
      <c r="A284">
        <f>+'q33'!$E$4</f>
        <v>2015</v>
      </c>
      <c r="B284" t="str">
        <f>+Aux!$A$33</f>
        <v>U - Ativ. org. interna. e outras instituições extra-territoriais</v>
      </c>
      <c r="C284" t="str">
        <f t="shared" si="4"/>
        <v>U</v>
      </c>
      <c r="D284" s="456" t="s">
        <v>297</v>
      </c>
      <c r="E284" s="517">
        <f>+'q33'!$E$49</f>
        <v>2012.88</v>
      </c>
    </row>
    <row r="285" spans="1:5">
      <c r="A285">
        <f>+'q33'!$F$4</f>
        <v>2016</v>
      </c>
      <c r="B285" t="str">
        <f>+Aux!$A$14</f>
        <v xml:space="preserve">A - Agricultura, produção animal, caça, floresta e pesca </v>
      </c>
      <c r="C285" t="str">
        <f t="shared" si="4"/>
        <v>A</v>
      </c>
      <c r="D285" s="456" t="s">
        <v>297</v>
      </c>
      <c r="E285" s="517">
        <f>+'q33'!$F$6</f>
        <v>832.8</v>
      </c>
    </row>
    <row r="286" spans="1:5">
      <c r="A286">
        <f>+'q33'!$F$4</f>
        <v>2016</v>
      </c>
      <c r="B286" t="str">
        <f>+Aux!$A$15</f>
        <v>B - Indústrias extrativas</v>
      </c>
      <c r="C286" t="str">
        <f t="shared" si="4"/>
        <v>B</v>
      </c>
      <c r="D286" s="456" t="s">
        <v>297</v>
      </c>
      <c r="E286" s="517">
        <f>+'q33'!$F$7</f>
        <v>1286.78</v>
      </c>
    </row>
    <row r="287" spans="1:5">
      <c r="A287">
        <f>+'q33'!$F$4</f>
        <v>2016</v>
      </c>
      <c r="B287" t="str">
        <f>+Aux!$A$16</f>
        <v>C - Ind. transf.</v>
      </c>
      <c r="C287" t="str">
        <f t="shared" si="4"/>
        <v>C</v>
      </c>
      <c r="D287" s="456" t="s">
        <v>297</v>
      </c>
      <c r="E287" s="517">
        <f>+'q33'!$F$8</f>
        <v>1031.5999999999999</v>
      </c>
    </row>
    <row r="288" spans="1:5">
      <c r="A288">
        <f>+'q33'!$F$4</f>
        <v>2016</v>
      </c>
      <c r="B288" t="str">
        <f>+Aux!$A$17</f>
        <v>D - Eletricidade, gás, vapor, água quente e fria e ar frio</v>
      </c>
      <c r="C288" t="str">
        <f t="shared" si="4"/>
        <v>D</v>
      </c>
      <c r="D288" s="456" t="s">
        <v>297</v>
      </c>
      <c r="E288" s="517">
        <f>+'q33'!$F$33</f>
        <v>2941.6</v>
      </c>
    </row>
    <row r="289" spans="1:5">
      <c r="A289">
        <f>+'q33'!$F$4</f>
        <v>2016</v>
      </c>
      <c r="B289" t="str">
        <f>+Aux!$A$18</f>
        <v>E - Captação, trat. e dist. água; saneam., gest. resíduos e desp.</v>
      </c>
      <c r="C289" t="str">
        <f t="shared" si="4"/>
        <v>E</v>
      </c>
      <c r="D289" s="456" t="s">
        <v>297</v>
      </c>
      <c r="E289" s="517">
        <f>+'q33'!$F$34</f>
        <v>1092.5</v>
      </c>
    </row>
    <row r="290" spans="1:5">
      <c r="A290">
        <f>+'q33'!$F$4</f>
        <v>2016</v>
      </c>
      <c r="B290" t="str">
        <f>+Aux!$A$19</f>
        <v>F - Construção</v>
      </c>
      <c r="C290" t="str">
        <f t="shared" si="4"/>
        <v>F</v>
      </c>
      <c r="D290" s="456" t="s">
        <v>297</v>
      </c>
      <c r="E290" s="517">
        <f>+'q33'!$F$35</f>
        <v>955.52</v>
      </c>
    </row>
    <row r="291" spans="1:5">
      <c r="A291">
        <f>+'q33'!$F$4</f>
        <v>2016</v>
      </c>
      <c r="B291" t="str">
        <f>+Aux!$A$20</f>
        <v>G - Com. por grosso e ret. (…)</v>
      </c>
      <c r="C291" t="str">
        <f t="shared" si="4"/>
        <v>G</v>
      </c>
      <c r="D291" s="456" t="s">
        <v>297</v>
      </c>
      <c r="E291" s="517">
        <f>+'q33'!$F$36</f>
        <v>1039.55</v>
      </c>
    </row>
    <row r="292" spans="1:5">
      <c r="A292">
        <f>+'q33'!$F$4</f>
        <v>2016</v>
      </c>
      <c r="B292" t="str">
        <f>+Aux!$A$21</f>
        <v>H - Transportes e armazenagem</v>
      </c>
      <c r="C292" t="str">
        <f t="shared" si="4"/>
        <v>H</v>
      </c>
      <c r="D292" s="456" t="s">
        <v>297</v>
      </c>
      <c r="E292" s="517">
        <f>+'q33'!$F$37</f>
        <v>1359.02</v>
      </c>
    </row>
    <row r="293" spans="1:5">
      <c r="A293">
        <f>+'q33'!$F$4</f>
        <v>2016</v>
      </c>
      <c r="B293" t="str">
        <f>+Aux!$A$22</f>
        <v>I - Alojamento, rest. e sim.</v>
      </c>
      <c r="C293" t="str">
        <f t="shared" si="4"/>
        <v>I</v>
      </c>
      <c r="D293" s="456" t="s">
        <v>297</v>
      </c>
      <c r="E293" s="517">
        <f>+'q33'!$F$38</f>
        <v>758.99</v>
      </c>
    </row>
    <row r="294" spans="1:5">
      <c r="A294">
        <f>+'q33'!$F$4</f>
        <v>2016</v>
      </c>
      <c r="B294" t="str">
        <f>+Aux!$A$23</f>
        <v>J - Atividades de informação e de comunicação</v>
      </c>
      <c r="C294" t="str">
        <f t="shared" si="4"/>
        <v>J</v>
      </c>
      <c r="D294" s="456" t="s">
        <v>297</v>
      </c>
      <c r="E294" s="517">
        <f>+'q33'!$F$39</f>
        <v>1797.94</v>
      </c>
    </row>
    <row r="295" spans="1:5">
      <c r="A295">
        <f>+'q33'!$F$4</f>
        <v>2016</v>
      </c>
      <c r="B295" t="str">
        <f>+Aux!$A$24</f>
        <v>K - Atividades financeiras e de seguros</v>
      </c>
      <c r="C295" t="str">
        <f t="shared" si="4"/>
        <v>K</v>
      </c>
      <c r="D295" s="456" t="s">
        <v>297</v>
      </c>
      <c r="E295" s="517">
        <f>+'q33'!$F$40</f>
        <v>2313.46</v>
      </c>
    </row>
    <row r="296" spans="1:5">
      <c r="A296">
        <f>+'q33'!$F$4</f>
        <v>2016</v>
      </c>
      <c r="B296" t="str">
        <f>+Aux!$A$25</f>
        <v>L - Atividades imobiliárias</v>
      </c>
      <c r="C296" t="str">
        <f t="shared" si="4"/>
        <v>L</v>
      </c>
      <c r="D296" s="456" t="s">
        <v>297</v>
      </c>
      <c r="E296" s="517">
        <f>+'q33'!$F$41</f>
        <v>1101.57</v>
      </c>
    </row>
    <row r="297" spans="1:5">
      <c r="A297">
        <f>+'q33'!$F$4</f>
        <v>2016</v>
      </c>
      <c r="B297" t="str">
        <f>+Aux!$A$26</f>
        <v>M - Atividades de consultoria, científicas, técnicas e similares</v>
      </c>
      <c r="C297" t="str">
        <f t="shared" si="4"/>
        <v>M</v>
      </c>
      <c r="D297" s="456" t="s">
        <v>297</v>
      </c>
      <c r="E297" s="517">
        <f>+'q33'!$F$42</f>
        <v>1358.58</v>
      </c>
    </row>
    <row r="298" spans="1:5">
      <c r="A298">
        <f>+'q33'!$F$4</f>
        <v>2016</v>
      </c>
      <c r="B298" t="str">
        <f>+Aux!$A$27</f>
        <v>N - Ativ. Admin. e dos serv. apoio</v>
      </c>
      <c r="C298" t="str">
        <f t="shared" si="4"/>
        <v>N</v>
      </c>
      <c r="D298" s="456" t="s">
        <v>297</v>
      </c>
      <c r="E298" s="517">
        <f>+'q33'!$F$43</f>
        <v>915.81</v>
      </c>
    </row>
    <row r="299" spans="1:5">
      <c r="A299">
        <f>+'q33'!$F$4</f>
        <v>2016</v>
      </c>
      <c r="B299" t="str">
        <f>+Aux!$A$28</f>
        <v>O - Administração pública e defesa; segurança social obrigatória</v>
      </c>
      <c r="C299" t="str">
        <f t="shared" si="4"/>
        <v>O</v>
      </c>
      <c r="D299" s="456" t="s">
        <v>297</v>
      </c>
      <c r="E299" s="517">
        <f>+'q33'!$F$44</f>
        <v>1031.68</v>
      </c>
    </row>
    <row r="300" spans="1:5">
      <c r="A300">
        <f>+'q33'!$F$4</f>
        <v>2016</v>
      </c>
      <c r="B300" t="str">
        <f>+Aux!$A$29</f>
        <v>P - Educação</v>
      </c>
      <c r="C300" t="str">
        <f t="shared" si="4"/>
        <v>P</v>
      </c>
      <c r="D300" s="456" t="s">
        <v>297</v>
      </c>
      <c r="E300" s="517">
        <f>+'q33'!$F$45</f>
        <v>1218.18</v>
      </c>
    </row>
    <row r="301" spans="1:5">
      <c r="A301">
        <f>+'q33'!$F$4</f>
        <v>2016</v>
      </c>
      <c r="B301" t="str">
        <f>+Aux!$A$30</f>
        <v>Q - Ativ. de saúde humana e apoio social</v>
      </c>
      <c r="C301" t="str">
        <f t="shared" si="4"/>
        <v>Q</v>
      </c>
      <c r="D301" s="456" t="s">
        <v>297</v>
      </c>
      <c r="E301" s="517">
        <f>+'q33'!$F$46</f>
        <v>977.41</v>
      </c>
    </row>
    <row r="302" spans="1:5">
      <c r="A302">
        <f>+'q33'!$F$4</f>
        <v>2016</v>
      </c>
      <c r="B302" t="str">
        <f>+Aux!$A$31</f>
        <v>R - Atividades artísticas, de espectáculos, desp. e recreativas</v>
      </c>
      <c r="C302" t="str">
        <f t="shared" si="4"/>
        <v>R</v>
      </c>
      <c r="D302" s="456" t="s">
        <v>297</v>
      </c>
      <c r="E302" s="517">
        <f>+'q33'!$F$47</f>
        <v>1710.96</v>
      </c>
    </row>
    <row r="303" spans="1:5">
      <c r="A303">
        <f>+'q33'!$F$4</f>
        <v>2016</v>
      </c>
      <c r="B303" t="str">
        <f>+Aux!$A$32</f>
        <v>S - Outras atividades de serviços</v>
      </c>
      <c r="C303" t="str">
        <f t="shared" si="4"/>
        <v>S</v>
      </c>
      <c r="D303" s="456" t="s">
        <v>297</v>
      </c>
      <c r="E303" s="517">
        <f>+'q33'!$F$48</f>
        <v>964.7</v>
      </c>
    </row>
    <row r="304" spans="1:5">
      <c r="A304">
        <f>+'q33'!$F$4</f>
        <v>2016</v>
      </c>
      <c r="B304" t="str">
        <f>+Aux!$A$33</f>
        <v>U - Ativ. org. interna. e outras instituições extra-territoriais</v>
      </c>
      <c r="C304" t="str">
        <f t="shared" si="4"/>
        <v>U</v>
      </c>
      <c r="D304" s="456" t="s">
        <v>297</v>
      </c>
      <c r="E304" s="517">
        <f>+'q33'!$F$49</f>
        <v>2228.17</v>
      </c>
    </row>
    <row r="305" spans="1:5">
      <c r="A305">
        <f>+'q33'!$G$4</f>
        <v>2017</v>
      </c>
      <c r="B305" t="str">
        <f>+Aux!$A$14</f>
        <v xml:space="preserve">A - Agricultura, produção animal, caça, floresta e pesca </v>
      </c>
      <c r="C305" t="str">
        <f t="shared" si="4"/>
        <v>A</v>
      </c>
      <c r="D305" s="456" t="s">
        <v>297</v>
      </c>
      <c r="E305" s="517">
        <f>+'q33'!$G$6</f>
        <v>850.4</v>
      </c>
    </row>
    <row r="306" spans="1:5">
      <c r="A306">
        <f>+'q33'!$G$4</f>
        <v>2017</v>
      </c>
      <c r="B306" t="str">
        <f>+Aux!$A$15</f>
        <v>B - Indústrias extrativas</v>
      </c>
      <c r="C306" t="str">
        <f t="shared" si="4"/>
        <v>B</v>
      </c>
      <c r="D306" s="456" t="s">
        <v>297</v>
      </c>
      <c r="E306" s="517">
        <f>+'q33'!$G$7</f>
        <v>1296.04</v>
      </c>
    </row>
    <row r="307" spans="1:5">
      <c r="A307">
        <f>+'q33'!$G$4</f>
        <v>2017</v>
      </c>
      <c r="B307" t="str">
        <f>+Aux!$A$16</f>
        <v>C - Ind. transf.</v>
      </c>
      <c r="C307" t="str">
        <f t="shared" si="4"/>
        <v>C</v>
      </c>
      <c r="D307" s="456" t="s">
        <v>297</v>
      </c>
      <c r="E307" s="517">
        <f>+'q33'!$G$8</f>
        <v>1068.43</v>
      </c>
    </row>
    <row r="308" spans="1:5">
      <c r="A308">
        <f>+'q33'!$G$4</f>
        <v>2017</v>
      </c>
      <c r="B308" t="str">
        <f>+Aux!$A$17</f>
        <v>D - Eletricidade, gás, vapor, água quente e fria e ar frio</v>
      </c>
      <c r="C308" t="str">
        <f t="shared" si="4"/>
        <v>D</v>
      </c>
      <c r="D308" s="456" t="s">
        <v>297</v>
      </c>
      <c r="E308" s="517">
        <f>+'q33'!$G$33</f>
        <v>2914.67</v>
      </c>
    </row>
    <row r="309" spans="1:5">
      <c r="A309">
        <f>+'q33'!$G$4</f>
        <v>2017</v>
      </c>
      <c r="B309" t="str">
        <f>+Aux!$A$18</f>
        <v>E - Captação, trat. e dist. água; saneam., gest. resíduos e desp.</v>
      </c>
      <c r="C309" t="str">
        <f t="shared" si="4"/>
        <v>E</v>
      </c>
      <c r="D309" s="456" t="s">
        <v>297</v>
      </c>
      <c r="E309" s="517">
        <f>+'q33'!$G$34</f>
        <v>1108.54</v>
      </c>
    </row>
    <row r="310" spans="1:5">
      <c r="A310">
        <f>+'q33'!$G$4</f>
        <v>2017</v>
      </c>
      <c r="B310" t="str">
        <f>+Aux!$A$19</f>
        <v>F - Construção</v>
      </c>
      <c r="C310" t="str">
        <f t="shared" si="4"/>
        <v>F</v>
      </c>
      <c r="D310" s="456" t="s">
        <v>297</v>
      </c>
      <c r="E310" s="517">
        <f>+'q33'!$G$35</f>
        <v>967.03</v>
      </c>
    </row>
    <row r="311" spans="1:5">
      <c r="A311">
        <f>+'q33'!$G$4</f>
        <v>2017</v>
      </c>
      <c r="B311" t="str">
        <f>+Aux!$A$20</f>
        <v>G - Com. por grosso e ret. (…)</v>
      </c>
      <c r="C311" t="str">
        <f t="shared" si="4"/>
        <v>G</v>
      </c>
      <c r="D311" s="456" t="s">
        <v>297</v>
      </c>
      <c r="E311" s="517">
        <f>+'q33'!$G$36</f>
        <v>1066.6400000000001</v>
      </c>
    </row>
    <row r="312" spans="1:5">
      <c r="A312">
        <f>+'q33'!$G$4</f>
        <v>2017</v>
      </c>
      <c r="B312" t="str">
        <f>+Aux!$A$21</f>
        <v>H - Transportes e armazenagem</v>
      </c>
      <c r="C312" t="str">
        <f t="shared" si="4"/>
        <v>H</v>
      </c>
      <c r="D312" s="456" t="s">
        <v>297</v>
      </c>
      <c r="E312" s="517">
        <f>+'q33'!$G$37</f>
        <v>1384.77</v>
      </c>
    </row>
    <row r="313" spans="1:5">
      <c r="A313">
        <f>+'q33'!$G$4</f>
        <v>2017</v>
      </c>
      <c r="B313" t="str">
        <f>+Aux!$A$22</f>
        <v>I - Alojamento, rest. e sim.</v>
      </c>
      <c r="C313" t="str">
        <f t="shared" si="4"/>
        <v>I</v>
      </c>
      <c r="D313" s="456" t="s">
        <v>297</v>
      </c>
      <c r="E313" s="517">
        <f>+'q33'!$G$38</f>
        <v>788.29</v>
      </c>
    </row>
    <row r="314" spans="1:5">
      <c r="A314">
        <f>+'q33'!$G$4</f>
        <v>2017</v>
      </c>
      <c r="B314" t="str">
        <f>+Aux!$A$23</f>
        <v>J - Atividades de informação e de comunicação</v>
      </c>
      <c r="C314" t="str">
        <f t="shared" si="4"/>
        <v>J</v>
      </c>
      <c r="D314" s="456" t="s">
        <v>297</v>
      </c>
      <c r="E314" s="517">
        <f>+'q33'!$G$39</f>
        <v>1808.57</v>
      </c>
    </row>
    <row r="315" spans="1:5">
      <c r="A315">
        <f>+'q33'!$G$4</f>
        <v>2017</v>
      </c>
      <c r="B315" t="str">
        <f>+Aux!$A$24</f>
        <v>K - Atividades financeiras e de seguros</v>
      </c>
      <c r="C315" t="str">
        <f t="shared" si="4"/>
        <v>K</v>
      </c>
      <c r="D315" s="456" t="s">
        <v>297</v>
      </c>
      <c r="E315" s="517">
        <f>+'q33'!$G$40</f>
        <v>2305.21</v>
      </c>
    </row>
    <row r="316" spans="1:5">
      <c r="A316">
        <f>+'q33'!$G$4</f>
        <v>2017</v>
      </c>
      <c r="B316" t="str">
        <f>+Aux!$A$25</f>
        <v>L - Atividades imobiliárias</v>
      </c>
      <c r="C316" t="str">
        <f t="shared" si="4"/>
        <v>L</v>
      </c>
      <c r="D316" s="456" t="s">
        <v>297</v>
      </c>
      <c r="E316" s="517">
        <f>+'q33'!$G$41</f>
        <v>1115</v>
      </c>
    </row>
    <row r="317" spans="1:5">
      <c r="A317">
        <f>+'q33'!$G$4</f>
        <v>2017</v>
      </c>
      <c r="B317" t="str">
        <f>+Aux!$A$26</f>
        <v>M - Atividades de consultoria, científicas, técnicas e similares</v>
      </c>
      <c r="C317" t="str">
        <f t="shared" si="4"/>
        <v>M</v>
      </c>
      <c r="D317" s="456" t="s">
        <v>297</v>
      </c>
      <c r="E317" s="517">
        <f>+'q33'!$G$42</f>
        <v>1414.09</v>
      </c>
    </row>
    <row r="318" spans="1:5">
      <c r="A318">
        <f>+'q33'!$G$4</f>
        <v>2017</v>
      </c>
      <c r="B318" t="str">
        <f>+Aux!$A$27</f>
        <v>N - Ativ. Admin. e dos serv. apoio</v>
      </c>
      <c r="C318" t="str">
        <f t="shared" si="4"/>
        <v>N</v>
      </c>
      <c r="D318" s="456" t="s">
        <v>297</v>
      </c>
      <c r="E318" s="517">
        <f>+'q33'!$G$43</f>
        <v>940.16</v>
      </c>
    </row>
    <row r="319" spans="1:5">
      <c r="A319">
        <f>+'q33'!$G$4</f>
        <v>2017</v>
      </c>
      <c r="B319" t="str">
        <f>+Aux!$A$28</f>
        <v>O - Administração pública e defesa; segurança social obrigatória</v>
      </c>
      <c r="C319" t="str">
        <f t="shared" si="4"/>
        <v>O</v>
      </c>
      <c r="D319" s="456" t="s">
        <v>297</v>
      </c>
      <c r="E319" s="517">
        <f>+'q33'!$G$44</f>
        <v>1056.22</v>
      </c>
    </row>
    <row r="320" spans="1:5">
      <c r="A320">
        <f>+'q33'!$G$4</f>
        <v>2017</v>
      </c>
      <c r="B320" t="str">
        <f>+Aux!$A$29</f>
        <v>P - Educação</v>
      </c>
      <c r="C320" t="str">
        <f t="shared" si="4"/>
        <v>P</v>
      </c>
      <c r="D320" s="456" t="s">
        <v>297</v>
      </c>
      <c r="E320" s="517">
        <f>+'q33'!$G$45</f>
        <v>1243.1300000000001</v>
      </c>
    </row>
    <row r="321" spans="1:5">
      <c r="A321">
        <f>+'q33'!$G$4</f>
        <v>2017</v>
      </c>
      <c r="B321" t="str">
        <f>+Aux!$A$30</f>
        <v>Q - Ativ. de saúde humana e apoio social</v>
      </c>
      <c r="C321" t="str">
        <f t="shared" si="4"/>
        <v>Q</v>
      </c>
      <c r="D321" s="456" t="s">
        <v>297</v>
      </c>
      <c r="E321" s="517">
        <f>+'q33'!$G$46</f>
        <v>1008.97</v>
      </c>
    </row>
    <row r="322" spans="1:5">
      <c r="A322">
        <f>+'q33'!$G$4</f>
        <v>2017</v>
      </c>
      <c r="B322" t="str">
        <f>+Aux!$A$31</f>
        <v>R - Atividades artísticas, de espectáculos, desp. e recreativas</v>
      </c>
      <c r="C322" t="str">
        <f t="shared" si="4"/>
        <v>R</v>
      </c>
      <c r="D322" s="456" t="s">
        <v>297</v>
      </c>
      <c r="E322" s="517">
        <f>+'q33'!$G$47</f>
        <v>1798.97</v>
      </c>
    </row>
    <row r="323" spans="1:5">
      <c r="A323">
        <f>+'q33'!$G$4</f>
        <v>2017</v>
      </c>
      <c r="B323" t="str">
        <f>+Aux!$A$32</f>
        <v>S - Outras atividades de serviços</v>
      </c>
      <c r="C323" t="str">
        <f t="shared" si="4"/>
        <v>S</v>
      </c>
      <c r="D323" s="456" t="s">
        <v>297</v>
      </c>
      <c r="E323" s="517">
        <f>+'q33'!$G$48</f>
        <v>994.49</v>
      </c>
    </row>
    <row r="324" spans="1:5">
      <c r="A324">
        <f>+'q33'!$G$4</f>
        <v>2017</v>
      </c>
      <c r="B324" t="str">
        <f>+Aux!$A$33</f>
        <v>U - Ativ. org. interna. e outras instituições extra-territoriais</v>
      </c>
      <c r="C324" t="str">
        <f t="shared" si="4"/>
        <v>U</v>
      </c>
      <c r="D324" s="456" t="s">
        <v>297</v>
      </c>
      <c r="E324" s="517">
        <f>+'q33'!$G$49</f>
        <v>2104.88</v>
      </c>
    </row>
    <row r="325" spans="1:5">
      <c r="A325">
        <f>+'q33'!$H$4</f>
        <v>2018</v>
      </c>
      <c r="B325" t="str">
        <f>+Aux!$A$14</f>
        <v xml:space="preserve">A - Agricultura, produção animal, caça, floresta e pesca </v>
      </c>
      <c r="C325" t="str">
        <f t="shared" si="4"/>
        <v>A</v>
      </c>
      <c r="D325" s="456" t="s">
        <v>297</v>
      </c>
      <c r="E325" s="517">
        <f>+'q33'!$H$6</f>
        <v>896.43</v>
      </c>
    </row>
    <row r="326" spans="1:5">
      <c r="A326">
        <f>+'q33'!$H$4</f>
        <v>2018</v>
      </c>
      <c r="B326" t="str">
        <f>+Aux!$A$15</f>
        <v>B - Indústrias extrativas</v>
      </c>
      <c r="C326" t="str">
        <f t="shared" ref="C326:C389" si="5">+LEFT(B326,1)</f>
        <v>B</v>
      </c>
      <c r="D326" s="456" t="s">
        <v>297</v>
      </c>
      <c r="E326" s="517">
        <f>+'q33'!$H$7</f>
        <v>1403.23</v>
      </c>
    </row>
    <row r="327" spans="1:5">
      <c r="A327">
        <f>+'q33'!$H$4</f>
        <v>2018</v>
      </c>
      <c r="B327" t="str">
        <f>+Aux!$A$16</f>
        <v>C - Ind. transf.</v>
      </c>
      <c r="C327" t="str">
        <f t="shared" si="5"/>
        <v>C</v>
      </c>
      <c r="D327" s="456" t="s">
        <v>297</v>
      </c>
      <c r="E327" s="517">
        <f>+'q33'!$H$8</f>
        <v>1110.54</v>
      </c>
    </row>
    <row r="328" spans="1:5">
      <c r="A328">
        <f>+'q33'!$H$4</f>
        <v>2018</v>
      </c>
      <c r="B328" t="str">
        <f>+Aux!$A$17</f>
        <v>D - Eletricidade, gás, vapor, água quente e fria e ar frio</v>
      </c>
      <c r="C328" t="str">
        <f t="shared" si="5"/>
        <v>D</v>
      </c>
      <c r="D328" s="456" t="s">
        <v>297</v>
      </c>
      <c r="E328" s="517">
        <f>+'q33'!$H$33</f>
        <v>2948.55</v>
      </c>
    </row>
    <row r="329" spans="1:5">
      <c r="A329">
        <f>+'q33'!$H$4</f>
        <v>2018</v>
      </c>
      <c r="B329" t="str">
        <f>+Aux!$A$18</f>
        <v>E - Captação, trat. e dist. água; saneam., gest. resíduos e desp.</v>
      </c>
      <c r="C329" t="str">
        <f t="shared" si="5"/>
        <v>E</v>
      </c>
      <c r="D329" s="456" t="s">
        <v>297</v>
      </c>
      <c r="E329" s="517">
        <f>+'q33'!$H$34</f>
        <v>1150.68</v>
      </c>
    </row>
    <row r="330" spans="1:5">
      <c r="A330">
        <f>+'q33'!$H$4</f>
        <v>2018</v>
      </c>
      <c r="B330" t="str">
        <f>+Aux!$A$19</f>
        <v>F - Construção</v>
      </c>
      <c r="C330" t="str">
        <f t="shared" si="5"/>
        <v>F</v>
      </c>
      <c r="D330" s="456" t="s">
        <v>297</v>
      </c>
      <c r="E330" s="517">
        <f>+'q33'!$H$35</f>
        <v>993.18</v>
      </c>
    </row>
    <row r="331" spans="1:5">
      <c r="A331">
        <f>+'q33'!$H$4</f>
        <v>2018</v>
      </c>
      <c r="B331" t="str">
        <f>+Aux!$A$20</f>
        <v>G - Com. por grosso e ret. (…)</v>
      </c>
      <c r="C331" t="str">
        <f t="shared" si="5"/>
        <v>G</v>
      </c>
      <c r="D331" s="456" t="s">
        <v>297</v>
      </c>
      <c r="E331" s="517">
        <f>+'q33'!$H$36</f>
        <v>1099.03</v>
      </c>
    </row>
    <row r="332" spans="1:5">
      <c r="A332">
        <f>+'q33'!$H$4</f>
        <v>2018</v>
      </c>
      <c r="B332" t="str">
        <f>+Aux!$A$21</f>
        <v>H - Transportes e armazenagem</v>
      </c>
      <c r="C332" t="str">
        <f t="shared" si="5"/>
        <v>H</v>
      </c>
      <c r="D332" s="456" t="s">
        <v>297</v>
      </c>
      <c r="E332" s="517">
        <f>+'q33'!$H$37</f>
        <v>1425.95</v>
      </c>
    </row>
    <row r="333" spans="1:5">
      <c r="A333">
        <f>+'q33'!$H$4</f>
        <v>2018</v>
      </c>
      <c r="B333" t="str">
        <f>+Aux!$A$22</f>
        <v>I - Alojamento, rest. e sim.</v>
      </c>
      <c r="C333" t="str">
        <f t="shared" si="5"/>
        <v>I</v>
      </c>
      <c r="D333" s="456" t="s">
        <v>297</v>
      </c>
      <c r="E333" s="517">
        <f>+'q33'!$H$38</f>
        <v>820.22</v>
      </c>
    </row>
    <row r="334" spans="1:5">
      <c r="A334">
        <f>+'q33'!$H$4</f>
        <v>2018</v>
      </c>
      <c r="B334" t="str">
        <f>+Aux!$A$23</f>
        <v>J - Atividades de informação e de comunicação</v>
      </c>
      <c r="C334" t="str">
        <f t="shared" si="5"/>
        <v>J</v>
      </c>
      <c r="D334" s="456" t="s">
        <v>297</v>
      </c>
      <c r="E334" s="517">
        <f>+'q33'!$H$39</f>
        <v>1867.06</v>
      </c>
    </row>
    <row r="335" spans="1:5">
      <c r="A335">
        <f>+'q33'!$H$4</f>
        <v>2018</v>
      </c>
      <c r="B335" t="str">
        <f>+Aux!$A$24</f>
        <v>K - Atividades financeiras e de seguros</v>
      </c>
      <c r="C335" t="str">
        <f t="shared" si="5"/>
        <v>K</v>
      </c>
      <c r="D335" s="456" t="s">
        <v>297</v>
      </c>
      <c r="E335" s="517">
        <f>+'q33'!$H$40</f>
        <v>2321.41</v>
      </c>
    </row>
    <row r="336" spans="1:5">
      <c r="A336">
        <f>+'q33'!$H$4</f>
        <v>2018</v>
      </c>
      <c r="B336" t="str">
        <f>+Aux!$A$25</f>
        <v>L - Atividades imobiliárias</v>
      </c>
      <c r="C336" t="str">
        <f t="shared" si="5"/>
        <v>L</v>
      </c>
      <c r="D336" s="456" t="s">
        <v>297</v>
      </c>
      <c r="E336" s="517">
        <f>+'q33'!$H$41</f>
        <v>1148.17</v>
      </c>
    </row>
    <row r="337" spans="1:5">
      <c r="A337">
        <f>+'q33'!$H$4</f>
        <v>2018</v>
      </c>
      <c r="B337" t="str">
        <f>+Aux!$A$26</f>
        <v>M - Atividades de consultoria, científicas, técnicas e similares</v>
      </c>
      <c r="C337" t="str">
        <f t="shared" si="5"/>
        <v>M</v>
      </c>
      <c r="D337" s="456" t="s">
        <v>297</v>
      </c>
      <c r="E337" s="517">
        <f>+'q33'!$H$42</f>
        <v>1446.18</v>
      </c>
    </row>
    <row r="338" spans="1:5">
      <c r="A338">
        <f>+'q33'!$H$4</f>
        <v>2018</v>
      </c>
      <c r="B338" t="str">
        <f>+Aux!$A$27</f>
        <v>N - Ativ. Admin. e dos serv. apoio</v>
      </c>
      <c r="C338" t="str">
        <f t="shared" si="5"/>
        <v>N</v>
      </c>
      <c r="D338" s="456" t="s">
        <v>297</v>
      </c>
      <c r="E338" s="517">
        <f>+'q33'!$H$43</f>
        <v>974.19</v>
      </c>
    </row>
    <row r="339" spans="1:5">
      <c r="A339">
        <f>+'q33'!$H$4</f>
        <v>2018</v>
      </c>
      <c r="B339" t="str">
        <f>+Aux!$A$28</f>
        <v>O - Administração pública e defesa; segurança social obrigatória</v>
      </c>
      <c r="C339" t="str">
        <f t="shared" si="5"/>
        <v>O</v>
      </c>
      <c r="D339" s="456" t="s">
        <v>297</v>
      </c>
      <c r="E339" s="517">
        <f>+'q33'!$H$44</f>
        <v>1099.5999999999999</v>
      </c>
    </row>
    <row r="340" spans="1:5">
      <c r="A340">
        <f>+'q33'!$H$4</f>
        <v>2018</v>
      </c>
      <c r="B340" t="str">
        <f>+Aux!$A$29</f>
        <v>P - Educação</v>
      </c>
      <c r="C340" t="str">
        <f t="shared" si="5"/>
        <v>P</v>
      </c>
      <c r="D340" s="456" t="s">
        <v>297</v>
      </c>
      <c r="E340" s="517">
        <f>+'q33'!$H$45</f>
        <v>1272.3900000000001</v>
      </c>
    </row>
    <row r="341" spans="1:5">
      <c r="A341">
        <f>+'q33'!$H$4</f>
        <v>2018</v>
      </c>
      <c r="B341" t="str">
        <f>+Aux!$A$30</f>
        <v>Q - Ativ. de saúde humana e apoio social</v>
      </c>
      <c r="C341" t="str">
        <f t="shared" si="5"/>
        <v>Q</v>
      </c>
      <c r="D341" s="456" t="s">
        <v>297</v>
      </c>
      <c r="E341" s="517">
        <f>+'q33'!$H$46</f>
        <v>1045.1199999999999</v>
      </c>
    </row>
    <row r="342" spans="1:5">
      <c r="A342">
        <f>+'q33'!$H$4</f>
        <v>2018</v>
      </c>
      <c r="B342" t="str">
        <f>+Aux!$A$31</f>
        <v>R - Atividades artísticas, de espectáculos, desp. e recreativas</v>
      </c>
      <c r="C342" t="str">
        <f t="shared" si="5"/>
        <v>R</v>
      </c>
      <c r="D342" s="456" t="s">
        <v>297</v>
      </c>
      <c r="E342" s="517">
        <f>+'q33'!$H$47</f>
        <v>1800.76</v>
      </c>
    </row>
    <row r="343" spans="1:5">
      <c r="A343">
        <f>+'q33'!$H$4</f>
        <v>2018</v>
      </c>
      <c r="B343" t="str">
        <f>+Aux!$A$32</f>
        <v>S - Outras atividades de serviços</v>
      </c>
      <c r="C343" t="str">
        <f t="shared" si="5"/>
        <v>S</v>
      </c>
      <c r="D343" s="456" t="s">
        <v>297</v>
      </c>
      <c r="E343" s="517">
        <f>+'q33'!$H$48</f>
        <v>1024</v>
      </c>
    </row>
    <row r="344" spans="1:5">
      <c r="A344">
        <f>+'q33'!$H$4</f>
        <v>2018</v>
      </c>
      <c r="B344" t="str">
        <f>+Aux!$A$33</f>
        <v>U - Ativ. org. interna. e outras instituições extra-territoriais</v>
      </c>
      <c r="C344" t="str">
        <f t="shared" si="5"/>
        <v>U</v>
      </c>
      <c r="D344" s="456" t="s">
        <v>297</v>
      </c>
      <c r="E344" s="517">
        <f>+'q33'!$H$49</f>
        <v>2323.9899999999998</v>
      </c>
    </row>
    <row r="345" spans="1:5">
      <c r="A345">
        <f>+'q33'!$I$4</f>
        <v>2019</v>
      </c>
      <c r="B345" t="str">
        <f>+Aux!$A$14</f>
        <v xml:space="preserve">A - Agricultura, produção animal, caça, floresta e pesca </v>
      </c>
      <c r="C345" t="str">
        <f t="shared" si="5"/>
        <v>A</v>
      </c>
      <c r="D345" s="456" t="s">
        <v>297</v>
      </c>
      <c r="E345" s="517">
        <f>+'q33'!$I$6</f>
        <v>945.56</v>
      </c>
    </row>
    <row r="346" spans="1:5">
      <c r="A346">
        <f>+'q33'!$I$4</f>
        <v>2019</v>
      </c>
      <c r="B346" t="str">
        <f>+Aux!$A$15</f>
        <v>B - Indústrias extrativas</v>
      </c>
      <c r="C346" t="str">
        <f t="shared" si="5"/>
        <v>B</v>
      </c>
      <c r="D346" s="456" t="s">
        <v>297</v>
      </c>
      <c r="E346" s="517">
        <f>+'q33'!$I$7</f>
        <v>1459.11</v>
      </c>
    </row>
    <row r="347" spans="1:5">
      <c r="A347">
        <f>+'q33'!$I$4</f>
        <v>2019</v>
      </c>
      <c r="B347" t="str">
        <f>+Aux!$A$16</f>
        <v>C - Ind. transf.</v>
      </c>
      <c r="C347" t="str">
        <f t="shared" si="5"/>
        <v>C</v>
      </c>
      <c r="D347" s="456" t="s">
        <v>297</v>
      </c>
      <c r="E347" s="517">
        <f>+'q33'!$I$8</f>
        <v>1154.94</v>
      </c>
    </row>
    <row r="348" spans="1:5">
      <c r="A348">
        <f>+'q33'!$I$4</f>
        <v>2019</v>
      </c>
      <c r="B348" t="str">
        <f>+Aux!$A$17</f>
        <v>D - Eletricidade, gás, vapor, água quente e fria e ar frio</v>
      </c>
      <c r="C348" t="str">
        <f t="shared" si="5"/>
        <v>D</v>
      </c>
      <c r="D348" s="456" t="s">
        <v>297</v>
      </c>
      <c r="E348" s="517">
        <f>+'q33'!$I$33</f>
        <v>2904.2</v>
      </c>
    </row>
    <row r="349" spans="1:5">
      <c r="A349">
        <f>+'q33'!$I$4</f>
        <v>2019</v>
      </c>
      <c r="B349" t="str">
        <f>+Aux!$A$18</f>
        <v>E - Captação, trat. e dist. água; saneam., gest. resíduos e desp.</v>
      </c>
      <c r="C349" t="str">
        <f t="shared" si="5"/>
        <v>E</v>
      </c>
      <c r="D349" s="456" t="s">
        <v>297</v>
      </c>
      <c r="E349" s="517">
        <f>+'q33'!$I$34</f>
        <v>1174.83</v>
      </c>
    </row>
    <row r="350" spans="1:5">
      <c r="A350">
        <f>+'q33'!$I$4</f>
        <v>2019</v>
      </c>
      <c r="B350" t="str">
        <f>+Aux!$A$19</f>
        <v>F - Construção</v>
      </c>
      <c r="C350" t="str">
        <f t="shared" si="5"/>
        <v>F</v>
      </c>
      <c r="D350" s="456" t="s">
        <v>297</v>
      </c>
      <c r="E350" s="517">
        <f>+'q33'!$I$35</f>
        <v>1025</v>
      </c>
    </row>
    <row r="351" spans="1:5">
      <c r="A351">
        <f>+'q33'!$I$4</f>
        <v>2019</v>
      </c>
      <c r="B351" t="str">
        <f>+Aux!$A$20</f>
        <v>G - Com. por grosso e ret. (…)</v>
      </c>
      <c r="C351" t="str">
        <f t="shared" si="5"/>
        <v>G</v>
      </c>
      <c r="D351" s="456" t="s">
        <v>297</v>
      </c>
      <c r="E351" s="517">
        <f>+'q33'!$I$36</f>
        <v>1140.32</v>
      </c>
    </row>
    <row r="352" spans="1:5">
      <c r="A352">
        <f>+'q33'!$I$4</f>
        <v>2019</v>
      </c>
      <c r="B352" t="str">
        <f>+Aux!$A$21</f>
        <v>H - Transportes e armazenagem</v>
      </c>
      <c r="C352" t="str">
        <f t="shared" si="5"/>
        <v>H</v>
      </c>
      <c r="D352" s="456" t="s">
        <v>297</v>
      </c>
      <c r="E352" s="517">
        <f>+'q33'!$I$37</f>
        <v>1489.52</v>
      </c>
    </row>
    <row r="353" spans="1:5">
      <c r="A353">
        <f>+'q33'!$I$4</f>
        <v>2019</v>
      </c>
      <c r="B353" t="str">
        <f>+Aux!$A$22</f>
        <v>I - Alojamento, rest. e sim.</v>
      </c>
      <c r="C353" t="str">
        <f t="shared" si="5"/>
        <v>I</v>
      </c>
      <c r="D353" s="456" t="s">
        <v>297</v>
      </c>
      <c r="E353" s="517">
        <f>+'q33'!$I$38</f>
        <v>851.31</v>
      </c>
    </row>
    <row r="354" spans="1:5">
      <c r="A354">
        <f>+'q33'!$I$4</f>
        <v>2019</v>
      </c>
      <c r="B354" t="str">
        <f>+Aux!$A$23</f>
        <v>J - Atividades de informação e de comunicação</v>
      </c>
      <c r="C354" t="str">
        <f t="shared" si="5"/>
        <v>J</v>
      </c>
      <c r="D354" s="456" t="s">
        <v>297</v>
      </c>
      <c r="E354" s="517">
        <f>+'q33'!$I$39</f>
        <v>1919.57</v>
      </c>
    </row>
    <row r="355" spans="1:5">
      <c r="A355">
        <f>+'q33'!$I$4</f>
        <v>2019</v>
      </c>
      <c r="B355" t="str">
        <f>+Aux!$A$24</f>
        <v>K - Atividades financeiras e de seguros</v>
      </c>
      <c r="C355" t="str">
        <f t="shared" si="5"/>
        <v>K</v>
      </c>
      <c r="D355" s="456" t="s">
        <v>297</v>
      </c>
      <c r="E355" s="517">
        <f>+'q33'!$I$40</f>
        <v>2330.36</v>
      </c>
    </row>
    <row r="356" spans="1:5">
      <c r="A356">
        <f>+'q33'!$I$4</f>
        <v>2019</v>
      </c>
      <c r="B356" t="str">
        <f>+Aux!$A$25</f>
        <v>L - Atividades imobiliárias</v>
      </c>
      <c r="C356" t="str">
        <f t="shared" si="5"/>
        <v>L</v>
      </c>
      <c r="D356" s="456" t="s">
        <v>297</v>
      </c>
      <c r="E356" s="517">
        <f>+'q33'!$I$41</f>
        <v>1193.98</v>
      </c>
    </row>
    <row r="357" spans="1:5">
      <c r="A357">
        <f>+'q33'!$I$4</f>
        <v>2019</v>
      </c>
      <c r="B357" t="str">
        <f>+Aux!$A$26</f>
        <v>M - Atividades de consultoria, científicas, técnicas e similares</v>
      </c>
      <c r="C357" t="str">
        <f t="shared" si="5"/>
        <v>M</v>
      </c>
      <c r="D357" s="456" t="s">
        <v>297</v>
      </c>
      <c r="E357" s="517">
        <f>+'q33'!$I$42</f>
        <v>1498.25</v>
      </c>
    </row>
    <row r="358" spans="1:5">
      <c r="A358">
        <f>+'q33'!$I$4</f>
        <v>2019</v>
      </c>
      <c r="B358" t="str">
        <f>+Aux!$A$27</f>
        <v>N - Ativ. Admin. e dos serv. apoio</v>
      </c>
      <c r="C358" t="str">
        <f t="shared" si="5"/>
        <v>N</v>
      </c>
      <c r="D358" s="456" t="s">
        <v>297</v>
      </c>
      <c r="E358" s="517">
        <f>+'q33'!$I$43</f>
        <v>1006.82</v>
      </c>
    </row>
    <row r="359" spans="1:5">
      <c r="A359">
        <f>+'q33'!$I$4</f>
        <v>2019</v>
      </c>
      <c r="B359" t="str">
        <f>+Aux!$A$28</f>
        <v>O - Administração pública e defesa; segurança social obrigatória</v>
      </c>
      <c r="C359" t="str">
        <f t="shared" si="5"/>
        <v>O</v>
      </c>
      <c r="D359" s="456" t="s">
        <v>297</v>
      </c>
      <c r="E359" s="517">
        <f>+'q33'!$I$44</f>
        <v>1161.46</v>
      </c>
    </row>
    <row r="360" spans="1:5">
      <c r="A360">
        <f>+'q33'!$I$4</f>
        <v>2019</v>
      </c>
      <c r="B360" t="str">
        <f>+Aux!$A$29</f>
        <v>P - Educação</v>
      </c>
      <c r="C360" t="str">
        <f t="shared" si="5"/>
        <v>P</v>
      </c>
      <c r="D360" s="456" t="s">
        <v>297</v>
      </c>
      <c r="E360" s="517">
        <f>+'q33'!$I$45</f>
        <v>1336.35</v>
      </c>
    </row>
    <row r="361" spans="1:5">
      <c r="A361">
        <f>+'q33'!$I$4</f>
        <v>2019</v>
      </c>
      <c r="B361" t="str">
        <f>+Aux!$A$30</f>
        <v>Q - Ativ. de saúde humana e apoio social</v>
      </c>
      <c r="C361" t="str">
        <f t="shared" si="5"/>
        <v>Q</v>
      </c>
      <c r="D361" s="456" t="s">
        <v>297</v>
      </c>
      <c r="E361" s="517">
        <f>+'q33'!$I$46</f>
        <v>1088.3399999999999</v>
      </c>
    </row>
    <row r="362" spans="1:5">
      <c r="A362">
        <f>+'q33'!$I$4</f>
        <v>2019</v>
      </c>
      <c r="B362" t="str">
        <f>+Aux!$A$31</f>
        <v>R - Atividades artísticas, de espectáculos, desp. e recreativas</v>
      </c>
      <c r="C362" t="str">
        <f t="shared" si="5"/>
        <v>R</v>
      </c>
      <c r="D362" s="456" t="s">
        <v>297</v>
      </c>
      <c r="E362" s="517">
        <f>+'q33'!$I$47</f>
        <v>1856.55</v>
      </c>
    </row>
    <row r="363" spans="1:5">
      <c r="A363">
        <f>+'q33'!$I$4</f>
        <v>2019</v>
      </c>
      <c r="B363" t="str">
        <f>+Aux!$A$32</f>
        <v>S - Outras atividades de serviços</v>
      </c>
      <c r="C363" t="str">
        <f t="shared" si="5"/>
        <v>S</v>
      </c>
      <c r="D363" s="456" t="s">
        <v>297</v>
      </c>
      <c r="E363" s="517">
        <f>+'q33'!$I$48</f>
        <v>1057.8699999999999</v>
      </c>
    </row>
    <row r="364" spans="1:5">
      <c r="A364">
        <f>+'q33'!$I$4</f>
        <v>2019</v>
      </c>
      <c r="B364" t="str">
        <f>+Aux!$A$33</f>
        <v>U - Ativ. org. interna. e outras instituições extra-territoriais</v>
      </c>
      <c r="C364" t="str">
        <f t="shared" si="5"/>
        <v>U</v>
      </c>
      <c r="D364" s="456" t="s">
        <v>297</v>
      </c>
      <c r="E364" s="517">
        <f>+'q33'!$I$49</f>
        <v>2299.36</v>
      </c>
    </row>
    <row r="365" spans="1:5">
      <c r="A365">
        <f>+'q33'!$J$4</f>
        <v>2020</v>
      </c>
      <c r="B365" t="str">
        <f>+Aux!$A$14</f>
        <v xml:space="preserve">A - Agricultura, produção animal, caça, floresta e pesca </v>
      </c>
      <c r="C365" t="str">
        <f t="shared" si="5"/>
        <v>A</v>
      </c>
      <c r="D365" s="456" t="s">
        <v>297</v>
      </c>
      <c r="E365" s="517">
        <f>+'q33'!$J$6</f>
        <v>949.69</v>
      </c>
    </row>
    <row r="366" spans="1:5">
      <c r="A366">
        <f>+'q33'!$J$4</f>
        <v>2020</v>
      </c>
      <c r="B366" t="str">
        <f>+Aux!$A$15</f>
        <v>B - Indústrias extrativas</v>
      </c>
      <c r="C366" t="str">
        <f t="shared" si="5"/>
        <v>B</v>
      </c>
      <c r="D366" s="456" t="s">
        <v>297</v>
      </c>
      <c r="E366" s="517">
        <f>+'q33'!$J$7</f>
        <v>1500.09</v>
      </c>
    </row>
    <row r="367" spans="1:5">
      <c r="A367">
        <f>+'q33'!$J$4</f>
        <v>2020</v>
      </c>
      <c r="B367" t="str">
        <f>+Aux!$A$16</f>
        <v>C - Ind. transf.</v>
      </c>
      <c r="C367" t="str">
        <f t="shared" si="5"/>
        <v>C</v>
      </c>
      <c r="D367" s="456" t="s">
        <v>297</v>
      </c>
      <c r="E367" s="517">
        <f>+'q33'!$J$8</f>
        <v>1198.04</v>
      </c>
    </row>
    <row r="368" spans="1:5">
      <c r="A368">
        <f>+'q33'!$J$4</f>
        <v>2020</v>
      </c>
      <c r="B368" t="str">
        <f>+Aux!$A$17</f>
        <v>D - Eletricidade, gás, vapor, água quente e fria e ar frio</v>
      </c>
      <c r="C368" t="str">
        <f t="shared" si="5"/>
        <v>D</v>
      </c>
      <c r="D368" s="456" t="s">
        <v>297</v>
      </c>
      <c r="E368" s="517">
        <f>+'q33'!$J$33</f>
        <v>2956.05</v>
      </c>
    </row>
    <row r="369" spans="1:5">
      <c r="A369">
        <f>+'q33'!$J$4</f>
        <v>2020</v>
      </c>
      <c r="B369" t="str">
        <f>+Aux!$A$18</f>
        <v>E - Captação, trat. e dist. água; saneam., gest. resíduos e desp.</v>
      </c>
      <c r="C369" t="str">
        <f t="shared" si="5"/>
        <v>E</v>
      </c>
      <c r="D369" s="456" t="s">
        <v>297</v>
      </c>
      <c r="E369" s="517">
        <f>+'q33'!$J$34</f>
        <v>1204.9000000000001</v>
      </c>
    </row>
    <row r="370" spans="1:5">
      <c r="A370">
        <f>+'q33'!$J$4</f>
        <v>2020</v>
      </c>
      <c r="B370" t="str">
        <f>+Aux!$A$19</f>
        <v>F - Construção</v>
      </c>
      <c r="C370" t="str">
        <f t="shared" si="5"/>
        <v>F</v>
      </c>
      <c r="D370" s="456" t="s">
        <v>297</v>
      </c>
      <c r="E370" s="517">
        <f>+'q33'!$J$35</f>
        <v>1042.3699999999999</v>
      </c>
    </row>
    <row r="371" spans="1:5">
      <c r="A371">
        <f>+'q33'!$J$4</f>
        <v>2020</v>
      </c>
      <c r="B371" t="str">
        <f>+Aux!$A$20</f>
        <v>G - Com. por grosso e ret. (…)</v>
      </c>
      <c r="C371" t="str">
        <f t="shared" si="5"/>
        <v>G</v>
      </c>
      <c r="D371" s="456" t="s">
        <v>297</v>
      </c>
      <c r="E371" s="517">
        <f>+'q33'!$J$36</f>
        <v>1176.33</v>
      </c>
    </row>
    <row r="372" spans="1:5">
      <c r="A372">
        <f>+'q33'!$J$4</f>
        <v>2020</v>
      </c>
      <c r="B372" t="str">
        <f>+Aux!$A$21</f>
        <v>H - Transportes e armazenagem</v>
      </c>
      <c r="C372" t="str">
        <f t="shared" si="5"/>
        <v>H</v>
      </c>
      <c r="D372" s="456" t="s">
        <v>297</v>
      </c>
      <c r="E372" s="517">
        <f>+'q33'!$J$37</f>
        <v>1418.68</v>
      </c>
    </row>
    <row r="373" spans="1:5">
      <c r="A373">
        <f>+'q33'!$J$4</f>
        <v>2020</v>
      </c>
      <c r="B373" t="str">
        <f>+Aux!$A$22</f>
        <v>I - Alojamento, rest. e sim.</v>
      </c>
      <c r="C373" t="str">
        <f t="shared" si="5"/>
        <v>I</v>
      </c>
      <c r="D373" s="456" t="s">
        <v>297</v>
      </c>
      <c r="E373" s="517">
        <f>+'q33'!$J$38</f>
        <v>858.93</v>
      </c>
    </row>
    <row r="374" spans="1:5">
      <c r="A374">
        <f>+'q33'!$J$4</f>
        <v>2020</v>
      </c>
      <c r="B374" t="str">
        <f>+Aux!$A$23</f>
        <v>J - Atividades de informação e de comunicação</v>
      </c>
      <c r="C374" t="str">
        <f t="shared" si="5"/>
        <v>J</v>
      </c>
      <c r="D374" s="456" t="s">
        <v>297</v>
      </c>
      <c r="E374" s="517">
        <f>+'q33'!$J$39</f>
        <v>1970.06</v>
      </c>
    </row>
    <row r="375" spans="1:5">
      <c r="A375">
        <f>+'q33'!$J$4</f>
        <v>2020</v>
      </c>
      <c r="B375" t="str">
        <f>+Aux!$A$24</f>
        <v>K - Atividades financeiras e de seguros</v>
      </c>
      <c r="C375" t="str">
        <f t="shared" si="5"/>
        <v>K</v>
      </c>
      <c r="D375" s="456" t="s">
        <v>297</v>
      </c>
      <c r="E375" s="517">
        <f>+'q33'!$J$40</f>
        <v>2366.37</v>
      </c>
    </row>
    <row r="376" spans="1:5">
      <c r="A376">
        <f>+'q33'!$J$4</f>
        <v>2020</v>
      </c>
      <c r="B376" t="str">
        <f>+Aux!$A$25</f>
        <v>L - Atividades imobiliárias</v>
      </c>
      <c r="C376" t="str">
        <f t="shared" si="5"/>
        <v>L</v>
      </c>
      <c r="D376" s="456" t="s">
        <v>297</v>
      </c>
      <c r="E376" s="517">
        <f>+'q33'!$J$41</f>
        <v>1237.47</v>
      </c>
    </row>
    <row r="377" spans="1:5">
      <c r="A377">
        <f>+'q33'!$J$4</f>
        <v>2020</v>
      </c>
      <c r="B377" t="str">
        <f>+Aux!$A$26</f>
        <v>M - Atividades de consultoria, científicas, técnicas e similares</v>
      </c>
      <c r="C377" t="str">
        <f t="shared" si="5"/>
        <v>M</v>
      </c>
      <c r="D377" s="456" t="s">
        <v>297</v>
      </c>
      <c r="E377" s="517">
        <f>+'q33'!$J$42</f>
        <v>1543.35</v>
      </c>
    </row>
    <row r="378" spans="1:5">
      <c r="A378">
        <f>+'q33'!$J$4</f>
        <v>2020</v>
      </c>
      <c r="B378" t="str">
        <f>+Aux!$A$27</f>
        <v>N - Ativ. Admin. e dos serv. apoio</v>
      </c>
      <c r="C378" t="str">
        <f t="shared" si="5"/>
        <v>N</v>
      </c>
      <c r="D378" s="456" t="s">
        <v>297</v>
      </c>
      <c r="E378" s="517">
        <f>+'q33'!$J$43</f>
        <v>1032.8800000000001</v>
      </c>
    </row>
    <row r="379" spans="1:5">
      <c r="A379">
        <f>+'q33'!$J$4</f>
        <v>2020</v>
      </c>
      <c r="B379" t="str">
        <f>+Aux!$A$28</f>
        <v>O - Administração pública e defesa; segurança social obrigatória</v>
      </c>
      <c r="C379" t="str">
        <f t="shared" si="5"/>
        <v>O</v>
      </c>
      <c r="D379" s="456" t="s">
        <v>297</v>
      </c>
      <c r="E379" s="517">
        <f>+'q33'!$J$44</f>
        <v>1222.78</v>
      </c>
    </row>
    <row r="380" spans="1:5">
      <c r="A380">
        <f>+'q33'!$J$4</f>
        <v>2020</v>
      </c>
      <c r="B380" t="str">
        <f>+Aux!$A$29</f>
        <v>P - Educação</v>
      </c>
      <c r="C380" t="str">
        <f t="shared" si="5"/>
        <v>P</v>
      </c>
      <c r="D380" s="456" t="s">
        <v>297</v>
      </c>
      <c r="E380" s="517">
        <f>+'q33'!$J$45</f>
        <v>1375.08</v>
      </c>
    </row>
    <row r="381" spans="1:5">
      <c r="A381">
        <f>+'q33'!$J$4</f>
        <v>2020</v>
      </c>
      <c r="B381" t="str">
        <f>+Aux!$A$30</f>
        <v>Q - Ativ. de saúde humana e apoio social</v>
      </c>
      <c r="C381" t="str">
        <f t="shared" si="5"/>
        <v>Q</v>
      </c>
      <c r="D381" s="456" t="s">
        <v>297</v>
      </c>
      <c r="E381" s="517">
        <f>+'q33'!$J$46</f>
        <v>1112.49</v>
      </c>
    </row>
    <row r="382" spans="1:5">
      <c r="A382">
        <f>+'q33'!$J$4</f>
        <v>2020</v>
      </c>
      <c r="B382" t="str">
        <f>+Aux!$A$31</f>
        <v>R - Atividades artísticas, de espectáculos, desp. e recreativas</v>
      </c>
      <c r="C382" t="str">
        <f t="shared" si="5"/>
        <v>R</v>
      </c>
      <c r="D382" s="456" t="s">
        <v>297</v>
      </c>
      <c r="E382" s="517">
        <f>+'q33'!$J$47</f>
        <v>2043.82</v>
      </c>
    </row>
    <row r="383" spans="1:5">
      <c r="A383">
        <f>+'q33'!$J$4</f>
        <v>2020</v>
      </c>
      <c r="B383" t="str">
        <f>+Aux!$A$32</f>
        <v>S - Outras atividades de serviços</v>
      </c>
      <c r="C383" t="str">
        <f t="shared" si="5"/>
        <v>S</v>
      </c>
      <c r="D383" s="456" t="s">
        <v>297</v>
      </c>
      <c r="E383" s="517">
        <f>+'q33'!$J$48</f>
        <v>1115.8800000000001</v>
      </c>
    </row>
    <row r="384" spans="1:5">
      <c r="A384">
        <f>+'q33'!$J$4</f>
        <v>2020</v>
      </c>
      <c r="B384" t="str">
        <f>+Aux!$A$33</f>
        <v>U - Ativ. org. interna. e outras instituições extra-territoriais</v>
      </c>
      <c r="C384" t="str">
        <f t="shared" si="5"/>
        <v>U</v>
      </c>
      <c r="D384" s="456" t="s">
        <v>297</v>
      </c>
      <c r="E384" s="517">
        <f>+'q33'!$J$49</f>
        <v>2045.65</v>
      </c>
    </row>
    <row r="385" spans="1:5">
      <c r="A385">
        <f>+'q33'!$K$4</f>
        <v>2021</v>
      </c>
      <c r="B385" t="str">
        <f>+Aux!$A$14</f>
        <v xml:space="preserve">A - Agricultura, produção animal, caça, floresta e pesca </v>
      </c>
      <c r="C385" t="str">
        <f t="shared" si="5"/>
        <v>A</v>
      </c>
      <c r="D385" s="456" t="s">
        <v>297</v>
      </c>
      <c r="E385" s="517">
        <f>+'q33'!$K$6</f>
        <v>1011.43</v>
      </c>
    </row>
    <row r="386" spans="1:5">
      <c r="A386">
        <f>+'q33'!$K$4</f>
        <v>2021</v>
      </c>
      <c r="B386" t="str">
        <f>+Aux!$A$15</f>
        <v>B - Indústrias extrativas</v>
      </c>
      <c r="C386" t="str">
        <f t="shared" si="5"/>
        <v>B</v>
      </c>
      <c r="D386" s="456" t="s">
        <v>297</v>
      </c>
      <c r="E386" s="517">
        <f>+'q33'!$K$7</f>
        <v>1596.03</v>
      </c>
    </row>
    <row r="387" spans="1:5">
      <c r="A387">
        <f>+'q33'!$K$4</f>
        <v>2021</v>
      </c>
      <c r="B387" t="str">
        <f>+Aux!$A$16</f>
        <v>C - Ind. transf.</v>
      </c>
      <c r="C387" t="str">
        <f t="shared" si="5"/>
        <v>C</v>
      </c>
      <c r="D387" s="456" t="s">
        <v>297</v>
      </c>
      <c r="E387" s="517">
        <f>+'q33'!$K$8</f>
        <v>1224.79</v>
      </c>
    </row>
    <row r="388" spans="1:5">
      <c r="A388">
        <f>+'q33'!$K$4</f>
        <v>2021</v>
      </c>
      <c r="B388" t="str">
        <f>+Aux!$A$17</f>
        <v>D - Eletricidade, gás, vapor, água quente e fria e ar frio</v>
      </c>
      <c r="C388" t="str">
        <f t="shared" si="5"/>
        <v>D</v>
      </c>
      <c r="D388" s="456" t="s">
        <v>297</v>
      </c>
      <c r="E388" s="517">
        <f>+'q33'!$K$33</f>
        <v>2965.84</v>
      </c>
    </row>
    <row r="389" spans="1:5">
      <c r="A389">
        <f>+'q33'!$K$4</f>
        <v>2021</v>
      </c>
      <c r="B389" t="str">
        <f>+Aux!$A$18</f>
        <v>E - Captação, trat. e dist. água; saneam., gest. resíduos e desp.</v>
      </c>
      <c r="C389" t="str">
        <f t="shared" si="5"/>
        <v>E</v>
      </c>
      <c r="D389" s="456" t="s">
        <v>297</v>
      </c>
      <c r="E389" s="517">
        <f>+'q33'!$K$34</f>
        <v>1227.3</v>
      </c>
    </row>
    <row r="390" spans="1:5">
      <c r="A390">
        <f>+'q33'!$K$4</f>
        <v>2021</v>
      </c>
      <c r="B390" t="str">
        <f>+Aux!$A$19</f>
        <v>F - Construção</v>
      </c>
      <c r="C390" t="str">
        <f t="shared" ref="C390:C444" si="6">+LEFT(B390,1)</f>
        <v>F</v>
      </c>
      <c r="D390" s="456" t="s">
        <v>297</v>
      </c>
      <c r="E390" s="517">
        <f>+'q33'!$K$35</f>
        <v>1103.17</v>
      </c>
    </row>
    <row r="391" spans="1:5">
      <c r="A391">
        <f>+'q33'!$K$4</f>
        <v>2021</v>
      </c>
      <c r="B391" t="str">
        <f>+Aux!$A$20</f>
        <v>G - Com. por grosso e ret. (…)</v>
      </c>
      <c r="C391" t="str">
        <f t="shared" si="6"/>
        <v>G</v>
      </c>
      <c r="D391" s="456" t="s">
        <v>297</v>
      </c>
      <c r="E391" s="517">
        <f>+'q33'!$K$36</f>
        <v>1224.17</v>
      </c>
    </row>
    <row r="392" spans="1:5">
      <c r="A392">
        <f>+'q33'!$K$4</f>
        <v>2021</v>
      </c>
      <c r="B392" t="str">
        <f>+Aux!$A$21</f>
        <v>H - Transportes e armazenagem</v>
      </c>
      <c r="C392" t="str">
        <f t="shared" si="6"/>
        <v>H</v>
      </c>
      <c r="D392" s="456" t="s">
        <v>297</v>
      </c>
      <c r="E392" s="517">
        <f>+'q33'!$K$37</f>
        <v>1463.67</v>
      </c>
    </row>
    <row r="393" spans="1:5">
      <c r="A393">
        <f>+'q33'!$K$4</f>
        <v>2021</v>
      </c>
      <c r="B393" t="str">
        <f>+Aux!$A$22</f>
        <v>I - Alojamento, rest. e sim.</v>
      </c>
      <c r="C393" t="str">
        <f t="shared" si="6"/>
        <v>I</v>
      </c>
      <c r="D393" s="456" t="s">
        <v>297</v>
      </c>
      <c r="E393" s="517">
        <f>+'q33'!$K$38</f>
        <v>913.66</v>
      </c>
    </row>
    <row r="394" spans="1:5">
      <c r="A394">
        <f>+'q33'!$K$4</f>
        <v>2021</v>
      </c>
      <c r="B394" t="str">
        <f>+Aux!$A$23</f>
        <v>J - Atividades de informação e de comunicação</v>
      </c>
      <c r="C394" t="str">
        <f t="shared" si="6"/>
        <v>J</v>
      </c>
      <c r="D394" s="456" t="s">
        <v>297</v>
      </c>
      <c r="E394" s="517">
        <f>+'q33'!$K$39</f>
        <v>2046.09</v>
      </c>
    </row>
    <row r="395" spans="1:5">
      <c r="A395">
        <f>+'q33'!$K$4</f>
        <v>2021</v>
      </c>
      <c r="B395" t="str">
        <f>+Aux!$A$24</f>
        <v>K - Atividades financeiras e de seguros</v>
      </c>
      <c r="C395" t="str">
        <f t="shared" si="6"/>
        <v>K</v>
      </c>
      <c r="D395" s="456" t="s">
        <v>297</v>
      </c>
      <c r="E395" s="517">
        <f>+'q33'!$K$40</f>
        <v>2374.41</v>
      </c>
    </row>
    <row r="396" spans="1:5">
      <c r="A396">
        <f>+'q33'!$K$4</f>
        <v>2021</v>
      </c>
      <c r="B396" t="str">
        <f>+Aux!$A$25</f>
        <v>L - Atividades imobiliárias</v>
      </c>
      <c r="C396" t="str">
        <f t="shared" si="6"/>
        <v>L</v>
      </c>
      <c r="D396" s="456" t="s">
        <v>297</v>
      </c>
      <c r="E396" s="517">
        <f>+'q33'!$K$41</f>
        <v>1277.49</v>
      </c>
    </row>
    <row r="397" spans="1:5">
      <c r="A397">
        <f>+'q33'!$K$4</f>
        <v>2021</v>
      </c>
      <c r="B397" t="str">
        <f>+Aux!$A$26</f>
        <v>M - Atividades de consultoria, científicas, técnicas e similares</v>
      </c>
      <c r="C397" t="str">
        <f t="shared" si="6"/>
        <v>M</v>
      </c>
      <c r="D397" s="456" t="s">
        <v>297</v>
      </c>
      <c r="E397" s="517">
        <f>+'q33'!$K$42</f>
        <v>1612.77</v>
      </c>
    </row>
    <row r="398" spans="1:5">
      <c r="A398">
        <f>+'q33'!$K$4</f>
        <v>2021</v>
      </c>
      <c r="B398" t="str">
        <f>+Aux!$A$27</f>
        <v>N - Ativ. Admin. e dos serv. apoio</v>
      </c>
      <c r="C398" t="str">
        <f t="shared" si="6"/>
        <v>N</v>
      </c>
      <c r="D398" s="456" t="s">
        <v>297</v>
      </c>
      <c r="E398" s="517">
        <f>+'q33'!$K$43</f>
        <v>1086.1400000000001</v>
      </c>
    </row>
    <row r="399" spans="1:5">
      <c r="A399">
        <f>+'q33'!$K$4</f>
        <v>2021</v>
      </c>
      <c r="B399" t="str">
        <f>+Aux!$A$28</f>
        <v>O - Administração pública e defesa; segurança social obrigatória</v>
      </c>
      <c r="C399" t="str">
        <f t="shared" si="6"/>
        <v>O</v>
      </c>
      <c r="D399" s="456" t="s">
        <v>297</v>
      </c>
      <c r="E399" s="517">
        <f>+'q33'!$K$44</f>
        <v>1269.25</v>
      </c>
    </row>
    <row r="400" spans="1:5">
      <c r="A400">
        <f>+'q33'!$K$4</f>
        <v>2021</v>
      </c>
      <c r="B400" t="str">
        <f>+Aux!$A$29</f>
        <v>P - Educação</v>
      </c>
      <c r="C400" t="str">
        <f t="shared" si="6"/>
        <v>P</v>
      </c>
      <c r="D400" s="456" t="s">
        <v>297</v>
      </c>
      <c r="E400" s="517">
        <f>+'q33'!$K$45</f>
        <v>1415.08</v>
      </c>
    </row>
    <row r="401" spans="1:5">
      <c r="A401">
        <f>+'q33'!$K$4</f>
        <v>2021</v>
      </c>
      <c r="B401" t="str">
        <f>+Aux!$A$30</f>
        <v>Q - Ativ. de saúde humana e apoio social</v>
      </c>
      <c r="C401" t="str">
        <f t="shared" si="6"/>
        <v>Q</v>
      </c>
      <c r="D401" s="456" t="s">
        <v>297</v>
      </c>
      <c r="E401" s="517">
        <f>+'q33'!$K$46</f>
        <v>1148.8</v>
      </c>
    </row>
    <row r="402" spans="1:5">
      <c r="A402">
        <f>+'q33'!$K$4</f>
        <v>2021</v>
      </c>
      <c r="B402" t="str">
        <f>+Aux!$A$31</f>
        <v>R - Atividades artísticas, de espectáculos, desp. e recreativas</v>
      </c>
      <c r="C402" t="str">
        <f t="shared" si="6"/>
        <v>R</v>
      </c>
      <c r="D402" s="456" t="s">
        <v>297</v>
      </c>
      <c r="E402" s="517">
        <f>+'q33'!$K$47</f>
        <v>1981.67</v>
      </c>
    </row>
    <row r="403" spans="1:5">
      <c r="A403">
        <f>+'q33'!$K$4</f>
        <v>2021</v>
      </c>
      <c r="B403" t="str">
        <f>+Aux!$A$32</f>
        <v>S - Outras atividades de serviços</v>
      </c>
      <c r="C403" t="str">
        <f t="shared" si="6"/>
        <v>S</v>
      </c>
      <c r="D403" s="456" t="s">
        <v>297</v>
      </c>
      <c r="E403" s="517">
        <f>+'q33'!$K$48</f>
        <v>1140.2</v>
      </c>
    </row>
    <row r="404" spans="1:5">
      <c r="A404">
        <f>+'q33'!$K$4</f>
        <v>2021</v>
      </c>
      <c r="B404" t="str">
        <f>+Aux!$A$33</f>
        <v>U - Ativ. org. interna. e outras instituições extra-territoriais</v>
      </c>
      <c r="C404" t="str">
        <f t="shared" si="6"/>
        <v>U</v>
      </c>
      <c r="D404" s="456" t="s">
        <v>297</v>
      </c>
      <c r="E404" s="517">
        <f>+'q33'!$K$49</f>
        <v>1997.5</v>
      </c>
    </row>
    <row r="405" spans="1:5">
      <c r="A405">
        <f>+'q33'!$L$4</f>
        <v>2022</v>
      </c>
      <c r="B405" t="str">
        <f>+Aux!$A$14</f>
        <v xml:space="preserve">A - Agricultura, produção animal, caça, floresta e pesca </v>
      </c>
      <c r="C405" t="str">
        <f t="shared" si="6"/>
        <v>A</v>
      </c>
      <c r="D405" s="456" t="s">
        <v>297</v>
      </c>
      <c r="E405" s="517">
        <f>+'q33'!$L$6</f>
        <v>1058.3699999999999</v>
      </c>
    </row>
    <row r="406" spans="1:5">
      <c r="A406">
        <f>+'q33'!$L$4</f>
        <v>2022</v>
      </c>
      <c r="B406" t="str">
        <f>+Aux!$A$15</f>
        <v>B - Indústrias extrativas</v>
      </c>
      <c r="C406" t="str">
        <f t="shared" si="6"/>
        <v>B</v>
      </c>
      <c r="D406" s="456" t="s">
        <v>297</v>
      </c>
      <c r="E406" s="517">
        <f>+'q33'!$L$7</f>
        <v>1702.24</v>
      </c>
    </row>
    <row r="407" spans="1:5">
      <c r="A407">
        <f>+'q33'!$L$4</f>
        <v>2022</v>
      </c>
      <c r="B407" t="str">
        <f>+Aux!$A$16</f>
        <v>C - Ind. transf.</v>
      </c>
      <c r="C407" t="str">
        <f t="shared" si="6"/>
        <v>C</v>
      </c>
      <c r="D407" s="456" t="s">
        <v>297</v>
      </c>
      <c r="E407" s="517">
        <f>+'q33'!$L$8</f>
        <v>1302.5899999999999</v>
      </c>
    </row>
    <row r="408" spans="1:5">
      <c r="A408">
        <f>+'q33'!$L$4</f>
        <v>2022</v>
      </c>
      <c r="B408" t="str">
        <f>+Aux!$A$17</f>
        <v>D - Eletricidade, gás, vapor, água quente e fria e ar frio</v>
      </c>
      <c r="C408" t="str">
        <f t="shared" si="6"/>
        <v>D</v>
      </c>
      <c r="D408" s="456" t="s">
        <v>297</v>
      </c>
      <c r="E408" s="517">
        <f>+'q33'!$L$33</f>
        <v>3040.89</v>
      </c>
    </row>
    <row r="409" spans="1:5">
      <c r="A409">
        <f>+'q33'!$L$4</f>
        <v>2022</v>
      </c>
      <c r="B409" t="str">
        <f>+Aux!$A$18</f>
        <v>E - Captação, trat. e dist. água; saneam., gest. resíduos e desp.</v>
      </c>
      <c r="C409" t="str">
        <f t="shared" si="6"/>
        <v>E</v>
      </c>
      <c r="D409" s="456" t="s">
        <v>297</v>
      </c>
      <c r="E409" s="517">
        <f>+'q33'!$L$34</f>
        <v>1275.54</v>
      </c>
    </row>
    <row r="410" spans="1:5">
      <c r="A410">
        <f>+'q33'!$L$4</f>
        <v>2022</v>
      </c>
      <c r="B410" t="str">
        <f>+Aux!$A$19</f>
        <v>F - Construção</v>
      </c>
      <c r="C410" t="str">
        <f t="shared" si="6"/>
        <v>F</v>
      </c>
      <c r="D410" s="456" t="s">
        <v>297</v>
      </c>
      <c r="E410" s="517">
        <f>+'q33'!$L$35</f>
        <v>1149.6099999999999</v>
      </c>
    </row>
    <row r="411" spans="1:5">
      <c r="A411">
        <f>+'q33'!$L$4</f>
        <v>2022</v>
      </c>
      <c r="B411" t="str">
        <f>+Aux!$A$20</f>
        <v>G - Com. por grosso e ret. (…)</v>
      </c>
      <c r="C411" t="str">
        <f t="shared" si="6"/>
        <v>G</v>
      </c>
      <c r="D411" s="456" t="s">
        <v>297</v>
      </c>
      <c r="E411" s="517">
        <f>+'q33'!$L$36</f>
        <v>1280.54</v>
      </c>
    </row>
    <row r="412" spans="1:5">
      <c r="A412">
        <f>+'q33'!$L$4</f>
        <v>2022</v>
      </c>
      <c r="B412" t="str">
        <f>+Aux!$A$21</f>
        <v>H - Transportes e armazenagem</v>
      </c>
      <c r="C412" t="str">
        <f t="shared" si="6"/>
        <v>H</v>
      </c>
      <c r="D412" s="456" t="s">
        <v>297</v>
      </c>
      <c r="E412" s="517">
        <f>+'q33'!$L$37</f>
        <v>1651.37</v>
      </c>
    </row>
    <row r="413" spans="1:5">
      <c r="A413">
        <f>+'q33'!$L$4</f>
        <v>2022</v>
      </c>
      <c r="B413" t="str">
        <f>+Aux!$A$22</f>
        <v>I - Alojamento, rest. e sim.</v>
      </c>
      <c r="C413" t="str">
        <f t="shared" si="6"/>
        <v>I</v>
      </c>
      <c r="D413" s="456" t="s">
        <v>297</v>
      </c>
      <c r="E413" s="517">
        <f>+'q33'!$L$38</f>
        <v>977.82</v>
      </c>
    </row>
    <row r="414" spans="1:5">
      <c r="A414">
        <f>+'q33'!$L$4</f>
        <v>2022</v>
      </c>
      <c r="B414" t="str">
        <f>+Aux!$A$23</f>
        <v>J - Atividades de informação e de comunicação</v>
      </c>
      <c r="C414" t="str">
        <f t="shared" si="6"/>
        <v>J</v>
      </c>
      <c r="D414" s="456" t="s">
        <v>297</v>
      </c>
      <c r="E414" s="517">
        <f>+'q33'!$L$39</f>
        <v>2222.2600000000002</v>
      </c>
    </row>
    <row r="415" spans="1:5">
      <c r="A415">
        <f>+'q33'!$L$4</f>
        <v>2022</v>
      </c>
      <c r="B415" t="str">
        <f>+Aux!$A$24</f>
        <v>K - Atividades financeiras e de seguros</v>
      </c>
      <c r="C415" t="str">
        <f t="shared" si="6"/>
        <v>K</v>
      </c>
      <c r="D415" s="456" t="s">
        <v>297</v>
      </c>
      <c r="E415" s="517">
        <f>+'q33'!$L$40</f>
        <v>2429.02</v>
      </c>
    </row>
    <row r="416" spans="1:5">
      <c r="A416">
        <f>+'q33'!$L$4</f>
        <v>2022</v>
      </c>
      <c r="B416" t="str">
        <f>+Aux!$A$25</f>
        <v>L - Atividades imobiliárias</v>
      </c>
      <c r="C416" t="str">
        <f t="shared" si="6"/>
        <v>L</v>
      </c>
      <c r="D416" s="456" t="s">
        <v>297</v>
      </c>
      <c r="E416" s="517">
        <f>+'q33'!$L$41</f>
        <v>1343.29</v>
      </c>
    </row>
    <row r="417" spans="1:5">
      <c r="A417">
        <f>+'q33'!$L$4</f>
        <v>2022</v>
      </c>
      <c r="B417" t="str">
        <f>+Aux!$A$26</f>
        <v>M - Atividades de consultoria, científicas, técnicas e similares</v>
      </c>
      <c r="C417" t="str">
        <f t="shared" si="6"/>
        <v>M</v>
      </c>
      <c r="D417" s="456" t="s">
        <v>297</v>
      </c>
      <c r="E417" s="517">
        <f>+'q33'!$L$42</f>
        <v>1708.75</v>
      </c>
    </row>
    <row r="418" spans="1:5">
      <c r="A418">
        <f>+'q33'!$L$4</f>
        <v>2022</v>
      </c>
      <c r="B418" t="str">
        <f>+Aux!$A$27</f>
        <v>N - Ativ. Admin. e dos serv. apoio</v>
      </c>
      <c r="C418" t="str">
        <f t="shared" si="6"/>
        <v>N</v>
      </c>
      <c r="D418" s="456" t="s">
        <v>297</v>
      </c>
      <c r="E418" s="517">
        <f>+'q33'!$L$43</f>
        <v>1156.51</v>
      </c>
    </row>
    <row r="419" spans="1:5">
      <c r="A419">
        <f>+'q33'!$L$4</f>
        <v>2022</v>
      </c>
      <c r="B419" t="str">
        <f>+Aux!$A$28</f>
        <v>O - Administração pública e defesa; segurança social obrigatória</v>
      </c>
      <c r="C419" t="str">
        <f t="shared" si="6"/>
        <v>O</v>
      </c>
      <c r="D419" s="456" t="s">
        <v>297</v>
      </c>
      <c r="E419" s="517">
        <f>+'q33'!$L$44</f>
        <v>1293.6300000000001</v>
      </c>
    </row>
    <row r="420" spans="1:5">
      <c r="A420">
        <f>+'q33'!$L$4</f>
        <v>2022</v>
      </c>
      <c r="B420" t="str">
        <f>+Aux!$A$29</f>
        <v>P - Educação</v>
      </c>
      <c r="C420" t="str">
        <f t="shared" si="6"/>
        <v>P</v>
      </c>
      <c r="D420" s="456" t="s">
        <v>297</v>
      </c>
      <c r="E420" s="517">
        <f>+'q33'!$L$45</f>
        <v>1477.62</v>
      </c>
    </row>
    <row r="421" spans="1:5">
      <c r="A421">
        <f>+'q33'!$L$4</f>
        <v>2022</v>
      </c>
      <c r="B421" t="str">
        <f>+Aux!$A$30</f>
        <v>Q - Ativ. de saúde humana e apoio social</v>
      </c>
      <c r="C421" t="str">
        <f t="shared" si="6"/>
        <v>Q</v>
      </c>
      <c r="D421" s="456" t="s">
        <v>297</v>
      </c>
      <c r="E421" s="517">
        <f>+'q33'!$L$46</f>
        <v>1186.79</v>
      </c>
    </row>
    <row r="422" spans="1:5">
      <c r="A422">
        <f>+'q33'!$L$4</f>
        <v>2022</v>
      </c>
      <c r="B422" t="str">
        <f>+Aux!$A$31</f>
        <v>R - Atividades artísticas, de espectáculos, desp. e recreativas</v>
      </c>
      <c r="C422" t="str">
        <f t="shared" si="6"/>
        <v>R</v>
      </c>
      <c r="D422" s="456" t="s">
        <v>297</v>
      </c>
      <c r="E422" s="517">
        <f>+'q33'!$L$47</f>
        <v>2006.93</v>
      </c>
    </row>
    <row r="423" spans="1:5">
      <c r="A423">
        <f>+'q33'!$L$4</f>
        <v>2022</v>
      </c>
      <c r="B423" t="str">
        <f>+Aux!$A$32</f>
        <v>S - Outras atividades de serviços</v>
      </c>
      <c r="C423" t="str">
        <f t="shared" si="6"/>
        <v>S</v>
      </c>
      <c r="D423" s="456" t="s">
        <v>297</v>
      </c>
      <c r="E423" s="517">
        <f>+'q33'!$L$48</f>
        <v>1185.8599999999999</v>
      </c>
    </row>
    <row r="424" spans="1:5">
      <c r="A424">
        <f>+'q33'!$L$4</f>
        <v>2022</v>
      </c>
      <c r="B424" t="str">
        <f>+Aux!$A$33</f>
        <v>U - Ativ. org. interna. e outras instituições extra-territoriais</v>
      </c>
      <c r="C424" t="str">
        <f t="shared" si="6"/>
        <v>U</v>
      </c>
      <c r="D424" s="456" t="s">
        <v>297</v>
      </c>
      <c r="E424" s="517">
        <f>+'q33'!$L$49</f>
        <v>3245.89</v>
      </c>
    </row>
    <row r="425" spans="1:5">
      <c r="A425">
        <f>+'q33'!$M$4</f>
        <v>2023</v>
      </c>
      <c r="B425" t="str">
        <f>+Aux!$A$14</f>
        <v xml:space="preserve">A - Agricultura, produção animal, caça, floresta e pesca </v>
      </c>
      <c r="C425" t="str">
        <f t="shared" si="6"/>
        <v>A</v>
      </c>
      <c r="D425" s="456" t="s">
        <v>297</v>
      </c>
      <c r="E425" s="517">
        <f>+'q33'!$M$6</f>
        <v>1125.73</v>
      </c>
    </row>
    <row r="426" spans="1:5">
      <c r="A426">
        <f>+'q33'!$M$4</f>
        <v>2023</v>
      </c>
      <c r="B426" t="str">
        <f>+Aux!$A$15</f>
        <v>B - Indústrias extrativas</v>
      </c>
      <c r="C426" t="str">
        <f t="shared" si="6"/>
        <v>B</v>
      </c>
      <c r="D426" s="456" t="s">
        <v>297</v>
      </c>
      <c r="E426" s="517">
        <f>+'q33'!$M$7</f>
        <v>1969.8</v>
      </c>
    </row>
    <row r="427" spans="1:5">
      <c r="A427">
        <f>+'q33'!$M$4</f>
        <v>2023</v>
      </c>
      <c r="B427" t="str">
        <f>+Aux!$A$16</f>
        <v>C - Ind. transf.</v>
      </c>
      <c r="C427" t="str">
        <f t="shared" si="6"/>
        <v>C</v>
      </c>
      <c r="D427" s="456" t="s">
        <v>297</v>
      </c>
      <c r="E427" s="517">
        <f>+'q33'!$M$8</f>
        <v>1400.65</v>
      </c>
    </row>
    <row r="428" spans="1:5">
      <c r="A428">
        <f>+'q33'!$M$4</f>
        <v>2023</v>
      </c>
      <c r="B428" t="str">
        <f>+Aux!$A$17</f>
        <v>D - Eletricidade, gás, vapor, água quente e fria e ar frio</v>
      </c>
      <c r="C428" t="str">
        <f t="shared" si="6"/>
        <v>D</v>
      </c>
      <c r="D428" s="456" t="s">
        <v>297</v>
      </c>
      <c r="E428" s="517">
        <f>+'q33'!$M$33</f>
        <v>3171.51</v>
      </c>
    </row>
    <row r="429" spans="1:5">
      <c r="A429">
        <f>+'q33'!$M$4</f>
        <v>2023</v>
      </c>
      <c r="B429" t="str">
        <f>+Aux!$A$18</f>
        <v>E - Captação, trat. e dist. água; saneam., gest. resíduos e desp.</v>
      </c>
      <c r="C429" t="str">
        <f t="shared" si="6"/>
        <v>E</v>
      </c>
      <c r="D429" s="456" t="s">
        <v>297</v>
      </c>
      <c r="E429" s="517">
        <f>+'q33'!$M$34</f>
        <v>1387.57</v>
      </c>
    </row>
    <row r="430" spans="1:5">
      <c r="A430">
        <f>+'q33'!$M$4</f>
        <v>2023</v>
      </c>
      <c r="B430" t="str">
        <f>+Aux!$A$19</f>
        <v>F - Construção</v>
      </c>
      <c r="C430" t="str">
        <f t="shared" si="6"/>
        <v>F</v>
      </c>
      <c r="D430" s="456" t="s">
        <v>297</v>
      </c>
      <c r="E430" s="517">
        <f>+'q33'!$M$35</f>
        <v>1231.28</v>
      </c>
    </row>
    <row r="431" spans="1:5">
      <c r="A431">
        <f>+'q33'!$M$4</f>
        <v>2023</v>
      </c>
      <c r="B431" t="str">
        <f>+Aux!$A$20</f>
        <v>G - Com. por grosso e ret. (…)</v>
      </c>
      <c r="C431" t="str">
        <f t="shared" si="6"/>
        <v>G</v>
      </c>
      <c r="D431" s="456" t="s">
        <v>297</v>
      </c>
      <c r="E431" s="517">
        <f>+'q33'!$M$36</f>
        <v>1373.91</v>
      </c>
    </row>
    <row r="432" spans="1:5">
      <c r="A432">
        <f>+'q33'!$M$4</f>
        <v>2023</v>
      </c>
      <c r="B432" t="str">
        <f>+Aux!$A$21</f>
        <v>H - Transportes e armazenagem</v>
      </c>
      <c r="C432" t="str">
        <f t="shared" si="6"/>
        <v>H</v>
      </c>
      <c r="D432" s="456" t="s">
        <v>297</v>
      </c>
      <c r="E432" s="517">
        <f>+'q33'!$M$37</f>
        <v>1761.67</v>
      </c>
    </row>
    <row r="433" spans="1:5">
      <c r="A433">
        <f>+'q33'!$M$4</f>
        <v>2023</v>
      </c>
      <c r="B433" t="str">
        <f>+Aux!$A$22</f>
        <v>I - Alojamento, rest. e sim.</v>
      </c>
      <c r="C433" t="str">
        <f t="shared" si="6"/>
        <v>I</v>
      </c>
      <c r="D433" s="456" t="s">
        <v>297</v>
      </c>
      <c r="E433" s="517">
        <f>+'q33'!$M$38</f>
        <v>1046.9100000000001</v>
      </c>
    </row>
    <row r="434" spans="1:5">
      <c r="A434">
        <f>+'q33'!$M$4</f>
        <v>2023</v>
      </c>
      <c r="B434" t="str">
        <f>+Aux!$A$23</f>
        <v>J - Atividades de informação e de comunicação</v>
      </c>
      <c r="C434" t="str">
        <f t="shared" si="6"/>
        <v>J</v>
      </c>
      <c r="D434" s="456" t="s">
        <v>297</v>
      </c>
      <c r="E434" s="517">
        <f>+'q33'!$M$39</f>
        <v>2360.1999999999998</v>
      </c>
    </row>
    <row r="435" spans="1:5">
      <c r="A435">
        <f>+'q33'!$M$4</f>
        <v>2023</v>
      </c>
      <c r="B435" t="str">
        <f>+Aux!$A$24</f>
        <v>K - Atividades financeiras e de seguros</v>
      </c>
      <c r="C435" t="str">
        <f t="shared" si="6"/>
        <v>K</v>
      </c>
      <c r="D435" s="456" t="s">
        <v>297</v>
      </c>
      <c r="E435" s="517">
        <f>+'q33'!$M$40</f>
        <v>2579.31</v>
      </c>
    </row>
    <row r="436" spans="1:5">
      <c r="A436">
        <f>+'q33'!$M$4</f>
        <v>2023</v>
      </c>
      <c r="B436" t="str">
        <f>+Aux!$A$25</f>
        <v>L - Atividades imobiliárias</v>
      </c>
      <c r="C436" t="str">
        <f t="shared" si="6"/>
        <v>L</v>
      </c>
      <c r="D436" s="456" t="s">
        <v>297</v>
      </c>
      <c r="E436" s="517">
        <f>+'q33'!$M$41</f>
        <v>1449.6</v>
      </c>
    </row>
    <row r="437" spans="1:5">
      <c r="A437">
        <f>+'q33'!$M$4</f>
        <v>2023</v>
      </c>
      <c r="B437" t="str">
        <f>+Aux!$A$26</f>
        <v>M - Atividades de consultoria, científicas, técnicas e similares</v>
      </c>
      <c r="C437" t="str">
        <f t="shared" si="6"/>
        <v>M</v>
      </c>
      <c r="D437" s="456" t="s">
        <v>297</v>
      </c>
      <c r="E437" s="517">
        <f>+'q33'!$M$42</f>
        <v>1854.12</v>
      </c>
    </row>
    <row r="438" spans="1:5">
      <c r="A438">
        <f>+'q33'!$M$4</f>
        <v>2023</v>
      </c>
      <c r="B438" t="str">
        <f>+Aux!$A$27</f>
        <v>N - Ativ. Admin. e dos serv. apoio</v>
      </c>
      <c r="C438" t="str">
        <f t="shared" si="6"/>
        <v>N</v>
      </c>
      <c r="D438" s="456" t="s">
        <v>297</v>
      </c>
      <c r="E438" s="517">
        <f>+'q33'!$M$43</f>
        <v>1263.92</v>
      </c>
    </row>
    <row r="439" spans="1:5">
      <c r="A439">
        <f>+'q33'!$M$4</f>
        <v>2023</v>
      </c>
      <c r="B439" t="str">
        <f>+Aux!$A$28</f>
        <v>O - Administração pública e defesa; segurança social obrigatória</v>
      </c>
      <c r="C439" t="str">
        <f t="shared" si="6"/>
        <v>O</v>
      </c>
      <c r="D439" s="456" t="s">
        <v>297</v>
      </c>
      <c r="E439" s="517">
        <f>+'q33'!$M$44</f>
        <v>1386.73</v>
      </c>
    </row>
    <row r="440" spans="1:5">
      <c r="A440">
        <f>+'q33'!$M$4</f>
        <v>2023</v>
      </c>
      <c r="B440" t="str">
        <f>+Aux!$A$29</f>
        <v>P - Educação</v>
      </c>
      <c r="C440" t="str">
        <f t="shared" si="6"/>
        <v>P</v>
      </c>
      <c r="D440" s="456" t="s">
        <v>297</v>
      </c>
      <c r="E440" s="517">
        <f>+'q33'!$M$45</f>
        <v>1587.99</v>
      </c>
    </row>
    <row r="441" spans="1:5">
      <c r="A441">
        <f>+'q33'!$M$4</f>
        <v>2023</v>
      </c>
      <c r="B441" t="str">
        <f>+Aux!$A$30</f>
        <v>Q - Ativ. de saúde humana e apoio social</v>
      </c>
      <c r="C441" t="str">
        <f t="shared" si="6"/>
        <v>Q</v>
      </c>
      <c r="D441" s="456" t="s">
        <v>297</v>
      </c>
      <c r="E441" s="517">
        <f>+'q33'!$M$46</f>
        <v>1250.5999999999999</v>
      </c>
    </row>
    <row r="442" spans="1:5">
      <c r="A442">
        <f>+'q33'!$M$4</f>
        <v>2023</v>
      </c>
      <c r="B442" t="str">
        <f>+Aux!$A$31</f>
        <v>R - Atividades artísticas, de espectáculos, desp. e recreativas</v>
      </c>
      <c r="C442" t="str">
        <f t="shared" si="6"/>
        <v>R</v>
      </c>
      <c r="D442" s="456" t="s">
        <v>297</v>
      </c>
      <c r="E442" s="517">
        <f>+'q33'!$M$47</f>
        <v>2131.9699999999998</v>
      </c>
    </row>
    <row r="443" spans="1:5">
      <c r="A443">
        <f>+'q33'!$M$4</f>
        <v>2023</v>
      </c>
      <c r="B443" t="str">
        <f>+Aux!$A$32</f>
        <v>S - Outras atividades de serviços</v>
      </c>
      <c r="C443" t="str">
        <f t="shared" si="6"/>
        <v>S</v>
      </c>
      <c r="D443" s="456" t="s">
        <v>297</v>
      </c>
      <c r="E443" s="517">
        <f>+'q33'!$M$48</f>
        <v>1259.4000000000001</v>
      </c>
    </row>
    <row r="444" spans="1:5">
      <c r="A444">
        <f>+'q33'!$M$4</f>
        <v>2023</v>
      </c>
      <c r="B444" t="str">
        <f>+Aux!$A$33</f>
        <v>U - Ativ. org. interna. e outras instituições extra-territoriais</v>
      </c>
      <c r="C444" t="str">
        <f t="shared" si="6"/>
        <v>U</v>
      </c>
      <c r="D444" s="456" t="s">
        <v>297</v>
      </c>
      <c r="E444" s="517">
        <f>+'q33'!$M$49</f>
        <v>3521.63</v>
      </c>
    </row>
    <row r="447" spans="1:5">
      <c r="E447">
        <f>+LARGE(E5:E444,1)</f>
        <v>3521.63</v>
      </c>
    </row>
  </sheetData>
  <pageMargins left="0.7" right="0.7" top="0.75" bottom="0.75" header="0.3" footer="0.3"/>
  <pageSetup paperSize="9" orientation="portrait" horizontalDpi="1200" verticalDpi="1200" r:id="rId5"/>
  <drawing r:id="rId6"/>
  <extLst>
    <ext xmlns:x14="http://schemas.microsoft.com/office/spreadsheetml/2009/9/main" uri="{A8765BA9-456A-4dab-B4F3-ACF838C121DE}">
      <x14:slicerList>
        <x14:slicer r:id="rId7"/>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B0CAA-94B3-4016-89D0-EC1DB2B27536}">
  <sheetPr>
    <tabColor rgb="FFFFFF00"/>
    <pageSetUpPr fitToPage="1"/>
  </sheetPr>
  <dimension ref="A1:L57"/>
  <sheetViews>
    <sheetView showGridLines="0" showRowColHeaders="0" tabSelected="1" zoomScaleNormal="100" workbookViewId="0">
      <selection sqref="A1:XFD1048576"/>
    </sheetView>
  </sheetViews>
  <sheetFormatPr defaultColWidth="0" defaultRowHeight="15" zeroHeight="1"/>
  <cols>
    <col min="1" max="12" width="17.85546875" style="840" customWidth="1"/>
    <col min="13" max="16384" width="8.7109375" style="840" hidden="1"/>
  </cols>
  <sheetData>
    <row r="1" spans="1:12">
      <c r="A1" s="856"/>
      <c r="B1" s="856"/>
      <c r="C1" s="856"/>
      <c r="D1" s="856"/>
      <c r="E1" s="856"/>
      <c r="F1" s="856"/>
      <c r="G1" s="856"/>
      <c r="H1" s="856"/>
      <c r="I1" s="856"/>
      <c r="J1" s="856"/>
      <c r="K1" s="856"/>
      <c r="L1" s="856"/>
    </row>
    <row r="2" spans="1:12">
      <c r="A2" s="856"/>
      <c r="B2" s="856"/>
      <c r="C2" s="856"/>
      <c r="D2" s="856"/>
      <c r="E2" s="856"/>
      <c r="F2" s="856"/>
      <c r="G2" s="856"/>
      <c r="H2" s="856"/>
      <c r="I2" s="856"/>
      <c r="J2" s="856"/>
      <c r="K2" s="856"/>
      <c r="L2" s="856"/>
    </row>
    <row r="3" spans="1:12">
      <c r="A3" s="856"/>
      <c r="B3" s="856"/>
      <c r="C3" s="856"/>
      <c r="D3" s="856"/>
      <c r="E3" s="856"/>
      <c r="F3" s="856"/>
      <c r="G3" s="856"/>
      <c r="H3" s="856"/>
      <c r="I3" s="856"/>
      <c r="J3" s="856"/>
      <c r="K3" s="856"/>
      <c r="L3" s="856"/>
    </row>
    <row r="4" spans="1:12">
      <c r="A4" s="856"/>
      <c r="B4" s="856"/>
      <c r="C4" s="856"/>
      <c r="D4" s="856"/>
      <c r="E4" s="856"/>
      <c r="F4" s="856"/>
      <c r="G4" s="856"/>
      <c r="H4" s="856"/>
      <c r="I4" s="856"/>
      <c r="J4" s="856"/>
      <c r="K4" s="856"/>
      <c r="L4" s="856"/>
    </row>
    <row r="5" spans="1:12">
      <c r="A5" s="856"/>
      <c r="B5" s="856"/>
      <c r="C5" s="856"/>
      <c r="D5" s="856"/>
      <c r="E5" s="856"/>
      <c r="F5" s="856"/>
      <c r="G5" s="856"/>
      <c r="H5" s="856"/>
      <c r="I5" s="856"/>
      <c r="J5" s="856"/>
      <c r="K5" s="856"/>
      <c r="L5" s="856"/>
    </row>
    <row r="6" spans="1:12">
      <c r="A6" s="856"/>
      <c r="B6" s="856"/>
      <c r="C6" s="856"/>
      <c r="D6" s="856"/>
      <c r="E6" s="856"/>
      <c r="F6" s="856"/>
      <c r="G6" s="856"/>
      <c r="H6" s="856"/>
      <c r="I6" s="856"/>
      <c r="J6" s="856"/>
      <c r="K6" s="856"/>
      <c r="L6" s="856"/>
    </row>
    <row r="7" spans="1:12">
      <c r="A7" s="856"/>
      <c r="B7" s="856"/>
      <c r="C7" s="856"/>
      <c r="D7" s="856"/>
      <c r="E7" s="856"/>
      <c r="F7" s="856"/>
      <c r="G7" s="856"/>
      <c r="H7" s="856"/>
      <c r="I7" s="856"/>
      <c r="J7" s="856"/>
      <c r="K7" s="856"/>
      <c r="L7" s="856"/>
    </row>
    <row r="8" spans="1:12">
      <c r="A8" s="856"/>
      <c r="B8" s="856"/>
      <c r="C8" s="856"/>
      <c r="D8" s="856"/>
      <c r="E8" s="856"/>
      <c r="F8" s="856"/>
      <c r="G8" s="856"/>
      <c r="H8" s="856"/>
      <c r="I8" s="856"/>
      <c r="J8" s="856"/>
      <c r="K8" s="856"/>
      <c r="L8" s="856"/>
    </row>
    <row r="9" spans="1:12">
      <c r="A9" s="856"/>
      <c r="B9" s="856"/>
      <c r="C9" s="856"/>
      <c r="D9" s="856"/>
      <c r="E9" s="856"/>
      <c r="F9" s="856"/>
      <c r="G9" s="856"/>
      <c r="H9" s="856"/>
      <c r="I9" s="856"/>
      <c r="J9" s="856"/>
      <c r="K9" s="856"/>
      <c r="L9" s="856"/>
    </row>
    <row r="10" spans="1:12">
      <c r="A10" s="856"/>
      <c r="B10" s="856"/>
      <c r="C10" s="856"/>
      <c r="D10" s="856"/>
      <c r="E10" s="856"/>
      <c r="F10" s="856"/>
      <c r="G10" s="856"/>
      <c r="H10" s="856"/>
      <c r="I10" s="856"/>
      <c r="J10" s="856"/>
      <c r="K10" s="856"/>
      <c r="L10" s="856"/>
    </row>
    <row r="11" spans="1:12">
      <c r="A11" s="856"/>
      <c r="B11" s="856"/>
      <c r="C11" s="856"/>
      <c r="D11" s="856"/>
      <c r="E11" s="856"/>
      <c r="F11" s="856"/>
      <c r="G11" s="856"/>
      <c r="H11" s="856"/>
      <c r="I11" s="856"/>
      <c r="J11" s="856"/>
      <c r="K11" s="856"/>
      <c r="L11" s="856"/>
    </row>
    <row r="12" spans="1:12">
      <c r="A12" s="856"/>
      <c r="B12" s="856"/>
      <c r="C12" s="856"/>
      <c r="D12" s="856"/>
      <c r="E12" s="856"/>
      <c r="F12" s="856"/>
      <c r="G12" s="856"/>
      <c r="H12" s="856"/>
      <c r="I12" s="856"/>
      <c r="J12" s="856"/>
      <c r="K12" s="856"/>
      <c r="L12" s="856"/>
    </row>
    <row r="13" spans="1:12">
      <c r="A13" s="856"/>
      <c r="B13" s="856"/>
      <c r="C13" s="856"/>
      <c r="D13" s="856"/>
      <c r="E13" s="856"/>
      <c r="F13" s="856"/>
      <c r="G13" s="856"/>
      <c r="H13" s="856"/>
      <c r="I13" s="856"/>
      <c r="J13" s="856"/>
      <c r="K13" s="856"/>
      <c r="L13" s="856"/>
    </row>
    <row r="14" spans="1:12">
      <c r="A14" s="856"/>
      <c r="B14" s="856"/>
      <c r="C14" s="856"/>
      <c r="D14" s="856"/>
      <c r="E14" s="856"/>
      <c r="F14" s="856"/>
      <c r="G14" s="856"/>
      <c r="H14" s="856"/>
      <c r="I14" s="856"/>
      <c r="J14" s="856"/>
      <c r="K14" s="856"/>
      <c r="L14" s="856"/>
    </row>
    <row r="15" spans="1:12">
      <c r="A15" s="856"/>
      <c r="B15" s="856"/>
      <c r="C15" s="856"/>
      <c r="D15" s="856"/>
      <c r="E15" s="856"/>
      <c r="F15" s="856"/>
      <c r="G15" s="856"/>
      <c r="H15" s="856"/>
      <c r="I15" s="856"/>
      <c r="J15" s="856"/>
      <c r="K15" s="856"/>
      <c r="L15" s="856"/>
    </row>
    <row r="16" spans="1:12">
      <c r="A16" s="856"/>
      <c r="B16" s="856"/>
      <c r="C16" s="856"/>
      <c r="D16" s="856"/>
      <c r="E16" s="856"/>
      <c r="F16" s="856"/>
      <c r="G16" s="856"/>
      <c r="H16" s="856"/>
      <c r="I16" s="856"/>
      <c r="J16" s="856"/>
      <c r="K16" s="856"/>
      <c r="L16" s="856"/>
    </row>
    <row r="17" spans="1:12">
      <c r="A17" s="856"/>
      <c r="B17" s="856"/>
      <c r="C17" s="856"/>
      <c r="D17" s="856"/>
      <c r="E17" s="856"/>
      <c r="F17" s="856"/>
      <c r="G17" s="856"/>
      <c r="H17" s="856"/>
      <c r="I17" s="856"/>
      <c r="J17" s="856"/>
      <c r="K17" s="856"/>
      <c r="L17" s="856"/>
    </row>
    <row r="18" spans="1:12">
      <c r="A18" s="856"/>
      <c r="B18" s="856"/>
      <c r="C18" s="856"/>
      <c r="D18" s="856"/>
      <c r="E18" s="856"/>
      <c r="F18" s="856"/>
      <c r="G18" s="856"/>
      <c r="H18" s="856"/>
      <c r="I18" s="856"/>
      <c r="J18" s="856"/>
      <c r="K18" s="856"/>
      <c r="L18" s="856"/>
    </row>
    <row r="19" spans="1:12">
      <c r="A19" s="856"/>
      <c r="B19" s="856"/>
      <c r="C19" s="856"/>
      <c r="D19" s="856"/>
      <c r="E19" s="856"/>
      <c r="F19" s="856"/>
      <c r="G19" s="856"/>
      <c r="H19" s="856"/>
      <c r="I19" s="856"/>
      <c r="J19" s="856"/>
      <c r="K19" s="856"/>
      <c r="L19" s="856"/>
    </row>
    <row r="20" spans="1:12">
      <c r="A20" s="856"/>
      <c r="B20" s="856"/>
      <c r="C20" s="856"/>
      <c r="D20" s="856"/>
      <c r="E20" s="856"/>
      <c r="F20" s="856"/>
      <c r="G20" s="856"/>
      <c r="H20" s="856"/>
      <c r="I20" s="856"/>
      <c r="J20" s="856"/>
      <c r="K20" s="856"/>
      <c r="L20" s="856"/>
    </row>
    <row r="21" spans="1:12">
      <c r="A21" s="856"/>
      <c r="B21" s="856"/>
      <c r="C21" s="856"/>
      <c r="D21" s="856"/>
      <c r="E21" s="856"/>
      <c r="F21" s="856"/>
      <c r="G21" s="856"/>
      <c r="H21" s="856"/>
      <c r="I21" s="856"/>
      <c r="J21" s="856"/>
      <c r="K21" s="856"/>
      <c r="L21" s="856"/>
    </row>
    <row r="22" spans="1:12">
      <c r="A22" s="856"/>
      <c r="B22" s="856"/>
      <c r="C22" s="856"/>
      <c r="D22" s="856"/>
      <c r="E22" s="856"/>
      <c r="F22" s="856"/>
      <c r="G22" s="856"/>
      <c r="H22" s="856"/>
      <c r="I22" s="856"/>
      <c r="J22" s="856"/>
      <c r="K22" s="856"/>
      <c r="L22" s="856"/>
    </row>
    <row r="23" spans="1:12">
      <c r="A23" s="856"/>
      <c r="B23" s="856"/>
      <c r="C23" s="856"/>
      <c r="D23" s="856"/>
      <c r="E23" s="856"/>
      <c r="F23" s="856"/>
      <c r="G23" s="856"/>
      <c r="H23" s="856"/>
      <c r="I23" s="856"/>
      <c r="J23" s="856"/>
      <c r="K23" s="856"/>
      <c r="L23" s="856"/>
    </row>
    <row r="24" spans="1:12">
      <c r="A24" s="856"/>
      <c r="B24" s="856"/>
      <c r="C24" s="856"/>
      <c r="D24" s="856"/>
      <c r="E24" s="856"/>
      <c r="F24" s="856"/>
      <c r="G24" s="856"/>
      <c r="H24" s="856"/>
      <c r="I24" s="856"/>
      <c r="J24" s="856"/>
      <c r="K24" s="856"/>
      <c r="L24" s="856"/>
    </row>
    <row r="25" spans="1:12">
      <c r="A25" s="856"/>
      <c r="B25" s="856"/>
      <c r="C25" s="856"/>
      <c r="D25" s="856"/>
      <c r="E25" s="856"/>
      <c r="F25" s="856"/>
      <c r="G25" s="856"/>
      <c r="H25" s="856"/>
      <c r="I25" s="856"/>
      <c r="J25" s="856"/>
      <c r="K25" s="856"/>
      <c r="L25" s="856"/>
    </row>
    <row r="26" spans="1:12">
      <c r="A26" s="856"/>
      <c r="B26" s="856"/>
      <c r="C26" s="856"/>
      <c r="D26" s="856"/>
      <c r="E26" s="856"/>
      <c r="F26" s="856"/>
      <c r="G26" s="856"/>
      <c r="H26" s="856"/>
      <c r="I26" s="856"/>
      <c r="J26" s="856"/>
      <c r="K26" s="856"/>
      <c r="L26" s="856"/>
    </row>
    <row r="27" spans="1:12">
      <c r="A27" s="856"/>
      <c r="B27" s="856"/>
      <c r="C27" s="856"/>
      <c r="D27" s="856"/>
      <c r="E27" s="856"/>
      <c r="F27" s="856"/>
      <c r="G27" s="856"/>
      <c r="H27" s="856"/>
      <c r="I27" s="856"/>
      <c r="J27" s="856"/>
      <c r="K27" s="856"/>
      <c r="L27" s="856"/>
    </row>
    <row r="28" spans="1:12">
      <c r="A28" s="856"/>
      <c r="B28" s="856"/>
      <c r="C28" s="856"/>
      <c r="D28" s="856"/>
      <c r="E28" s="856"/>
      <c r="F28" s="856"/>
      <c r="G28" s="856"/>
      <c r="H28" s="856"/>
      <c r="I28" s="856"/>
      <c r="J28" s="856"/>
      <c r="K28" s="856"/>
      <c r="L28" s="856"/>
    </row>
    <row r="29" spans="1:12">
      <c r="A29" s="856"/>
      <c r="B29" s="856"/>
      <c r="C29" s="856"/>
      <c r="D29" s="856"/>
      <c r="E29" s="856"/>
      <c r="F29" s="856"/>
      <c r="G29" s="856"/>
      <c r="H29" s="856"/>
      <c r="I29" s="856"/>
      <c r="J29" s="856"/>
      <c r="K29" s="856"/>
      <c r="L29" s="856"/>
    </row>
    <row r="30" spans="1:12">
      <c r="A30" s="856"/>
      <c r="B30" s="856"/>
      <c r="C30" s="856"/>
      <c r="D30" s="856"/>
      <c r="E30" s="856"/>
      <c r="F30" s="856"/>
      <c r="G30" s="856"/>
      <c r="H30" s="856"/>
      <c r="I30" s="856"/>
      <c r="J30" s="856"/>
      <c r="K30" s="856"/>
      <c r="L30" s="856"/>
    </row>
    <row r="31" spans="1:12">
      <c r="A31" s="856"/>
      <c r="B31" s="856"/>
      <c r="C31" s="856"/>
      <c r="D31" s="856"/>
      <c r="E31" s="856"/>
      <c r="F31" s="856"/>
      <c r="G31" s="856"/>
      <c r="H31" s="856"/>
      <c r="I31" s="856"/>
      <c r="J31" s="856"/>
      <c r="K31" s="856"/>
      <c r="L31" s="856"/>
    </row>
    <row r="32" spans="1:12">
      <c r="A32" s="856"/>
      <c r="B32" s="856"/>
      <c r="C32" s="856"/>
      <c r="D32" s="856"/>
      <c r="E32" s="856"/>
      <c r="F32" s="856"/>
      <c r="G32" s="856"/>
      <c r="H32" s="856"/>
      <c r="I32" s="856"/>
      <c r="J32" s="856"/>
      <c r="K32" s="856"/>
      <c r="L32" s="856"/>
    </row>
    <row r="33" spans="1:12">
      <c r="A33" s="856"/>
      <c r="B33" s="856"/>
      <c r="C33" s="856"/>
      <c r="D33" s="856"/>
      <c r="E33" s="856"/>
      <c r="F33" s="856"/>
      <c r="G33" s="856"/>
      <c r="H33" s="856"/>
      <c r="I33" s="856"/>
      <c r="J33" s="856"/>
      <c r="K33" s="856"/>
      <c r="L33" s="856"/>
    </row>
    <row r="34" spans="1:12">
      <c r="A34" s="856"/>
      <c r="B34" s="856"/>
      <c r="C34" s="856"/>
      <c r="D34" s="856"/>
      <c r="E34" s="856"/>
      <c r="F34" s="856"/>
      <c r="G34" s="856"/>
      <c r="H34" s="856"/>
      <c r="I34" s="856"/>
      <c r="J34" s="856"/>
      <c r="K34" s="856"/>
      <c r="L34" s="856"/>
    </row>
    <row r="35" spans="1:12">
      <c r="A35" s="856"/>
      <c r="B35" s="856"/>
      <c r="C35" s="856"/>
      <c r="D35" s="856"/>
      <c r="E35" s="856"/>
      <c r="F35" s="856"/>
      <c r="G35" s="856"/>
      <c r="H35" s="856"/>
      <c r="I35" s="856"/>
      <c r="J35" s="856"/>
      <c r="K35" s="856"/>
      <c r="L35" s="856"/>
    </row>
    <row r="36" spans="1:12">
      <c r="A36" s="856"/>
      <c r="B36" s="856"/>
      <c r="C36" s="856"/>
      <c r="D36" s="856"/>
      <c r="E36" s="856"/>
      <c r="F36" s="856"/>
      <c r="G36" s="856"/>
      <c r="H36" s="856"/>
      <c r="I36" s="856"/>
      <c r="J36" s="856"/>
      <c r="K36" s="856"/>
      <c r="L36" s="856"/>
    </row>
    <row r="37" spans="1:12">
      <c r="A37" s="856"/>
      <c r="B37" s="856"/>
      <c r="C37" s="856"/>
      <c r="D37" s="856"/>
      <c r="E37" s="856"/>
      <c r="F37" s="856"/>
      <c r="G37" s="856"/>
      <c r="H37" s="856"/>
      <c r="I37" s="856"/>
      <c r="J37" s="856"/>
      <c r="K37" s="856"/>
      <c r="L37" s="856"/>
    </row>
    <row r="38" spans="1:12">
      <c r="A38" s="856"/>
      <c r="B38" s="856"/>
      <c r="C38" s="856"/>
      <c r="D38" s="856"/>
      <c r="E38" s="856"/>
      <c r="F38" s="856"/>
      <c r="G38" s="856"/>
      <c r="H38" s="856"/>
      <c r="I38" s="856"/>
      <c r="J38" s="856"/>
      <c r="K38" s="856"/>
      <c r="L38" s="856"/>
    </row>
    <row r="39" spans="1:12">
      <c r="A39" s="856"/>
      <c r="B39" s="856"/>
      <c r="C39" s="856"/>
      <c r="D39" s="856"/>
      <c r="E39" s="856"/>
      <c r="F39" s="856"/>
      <c r="G39" s="856"/>
      <c r="H39" s="856"/>
      <c r="I39" s="856"/>
      <c r="J39" s="856"/>
      <c r="K39" s="856"/>
      <c r="L39" s="856"/>
    </row>
    <row r="40" spans="1:12">
      <c r="A40" s="856"/>
      <c r="B40" s="856"/>
      <c r="C40" s="856"/>
      <c r="D40" s="856"/>
      <c r="E40" s="856"/>
      <c r="F40" s="856"/>
      <c r="G40" s="856"/>
      <c r="H40" s="856"/>
      <c r="I40" s="856"/>
      <c r="J40" s="856"/>
      <c r="K40" s="856"/>
      <c r="L40" s="856"/>
    </row>
    <row r="41" spans="1:12">
      <c r="A41" s="856"/>
      <c r="B41" s="856"/>
      <c r="C41" s="856"/>
      <c r="D41" s="856"/>
      <c r="E41" s="856"/>
      <c r="F41" s="856"/>
      <c r="G41" s="856"/>
      <c r="H41" s="856"/>
      <c r="I41" s="856"/>
      <c r="J41" s="856"/>
      <c r="K41" s="856"/>
      <c r="L41" s="856"/>
    </row>
    <row r="42" spans="1:12">
      <c r="A42" s="856"/>
      <c r="B42" s="856"/>
      <c r="C42" s="856"/>
      <c r="D42" s="856"/>
      <c r="E42" s="856"/>
      <c r="F42" s="856"/>
      <c r="G42" s="856"/>
      <c r="H42" s="856"/>
      <c r="I42" s="856"/>
      <c r="J42" s="856"/>
      <c r="K42" s="856"/>
      <c r="L42" s="856"/>
    </row>
    <row r="43" spans="1:12">
      <c r="A43" s="856"/>
      <c r="B43" s="856"/>
      <c r="C43" s="856"/>
      <c r="D43" s="856"/>
      <c r="E43" s="856"/>
      <c r="F43" s="856"/>
      <c r="G43" s="856"/>
      <c r="H43" s="856"/>
      <c r="I43" s="856"/>
      <c r="J43" s="856"/>
      <c r="K43" s="856"/>
      <c r="L43" s="856"/>
    </row>
    <row r="44" spans="1:12">
      <c r="A44" s="856"/>
      <c r="B44" s="856"/>
      <c r="C44" s="856"/>
      <c r="D44" s="856"/>
      <c r="E44" s="856"/>
      <c r="F44" s="856"/>
      <c r="G44" s="856"/>
      <c r="H44" s="856"/>
      <c r="I44" s="856"/>
      <c r="J44" s="856"/>
      <c r="K44" s="856"/>
      <c r="L44" s="856"/>
    </row>
    <row r="45" spans="1:12">
      <c r="A45" s="856"/>
      <c r="B45" s="856"/>
      <c r="C45" s="856"/>
      <c r="D45" s="856"/>
      <c r="E45" s="856"/>
      <c r="F45" s="856"/>
      <c r="G45" s="856"/>
      <c r="H45" s="856"/>
      <c r="I45" s="856"/>
      <c r="J45" s="856"/>
      <c r="K45" s="856"/>
      <c r="L45" s="856"/>
    </row>
    <row r="46" spans="1:12">
      <c r="A46" s="856"/>
      <c r="B46" s="856"/>
      <c r="C46" s="856"/>
      <c r="D46" s="856"/>
      <c r="E46" s="856"/>
      <c r="F46" s="856"/>
      <c r="G46" s="856"/>
      <c r="H46" s="856"/>
      <c r="I46" s="856"/>
      <c r="J46" s="856"/>
      <c r="K46" s="856"/>
      <c r="L46" s="856"/>
    </row>
    <row r="47" spans="1:12">
      <c r="A47" s="856"/>
      <c r="B47" s="856"/>
      <c r="C47" s="856"/>
      <c r="D47" s="856"/>
      <c r="E47" s="856"/>
      <c r="F47" s="856"/>
      <c r="G47" s="856"/>
      <c r="H47" s="856"/>
      <c r="I47" s="856"/>
      <c r="J47" s="856"/>
      <c r="K47" s="856"/>
      <c r="L47" s="856"/>
    </row>
    <row r="48" spans="1:12">
      <c r="A48" s="856"/>
      <c r="B48" s="856"/>
      <c r="C48" s="856"/>
      <c r="D48" s="856"/>
      <c r="E48" s="856"/>
      <c r="F48" s="856"/>
      <c r="G48" s="856"/>
      <c r="H48" s="856"/>
      <c r="I48" s="856"/>
      <c r="J48" s="856"/>
      <c r="K48" s="856"/>
      <c r="L48" s="856"/>
    </row>
    <row r="49" spans="1:12">
      <c r="A49" s="856"/>
      <c r="B49" s="856"/>
      <c r="C49" s="856"/>
      <c r="D49" s="856"/>
      <c r="E49" s="856"/>
      <c r="F49" s="856"/>
      <c r="G49" s="856"/>
      <c r="H49" s="856"/>
      <c r="I49" s="856"/>
      <c r="J49" s="856"/>
      <c r="K49" s="856"/>
      <c r="L49" s="856"/>
    </row>
    <row r="50" spans="1:12">
      <c r="A50" s="856"/>
      <c r="B50" s="856"/>
      <c r="C50" s="856"/>
      <c r="D50" s="856"/>
      <c r="E50" s="856"/>
      <c r="F50" s="856"/>
      <c r="G50" s="856"/>
      <c r="H50" s="856"/>
      <c r="I50" s="856"/>
      <c r="J50" s="856"/>
      <c r="K50" s="856"/>
      <c r="L50" s="856"/>
    </row>
    <row r="51" spans="1:12">
      <c r="A51" s="856"/>
      <c r="B51" s="856"/>
      <c r="C51" s="856"/>
      <c r="D51" s="856"/>
      <c r="E51" s="856"/>
      <c r="F51" s="856"/>
      <c r="G51" s="856"/>
      <c r="H51" s="856"/>
      <c r="I51" s="856"/>
      <c r="J51" s="856"/>
      <c r="K51" s="856"/>
      <c r="L51" s="856"/>
    </row>
    <row r="52" spans="1:12">
      <c r="A52" s="856"/>
      <c r="B52" s="856"/>
      <c r="C52" s="856"/>
      <c r="D52" s="856"/>
      <c r="E52" s="856"/>
      <c r="F52" s="856"/>
      <c r="G52" s="856"/>
      <c r="H52" s="856"/>
      <c r="I52" s="856"/>
      <c r="J52" s="856"/>
      <c r="K52" s="856"/>
      <c r="L52" s="856"/>
    </row>
    <row r="53" spans="1:12">
      <c r="A53" s="856"/>
      <c r="B53" s="856"/>
      <c r="C53" s="856"/>
      <c r="D53" s="856"/>
      <c r="E53" s="856"/>
      <c r="F53" s="856"/>
      <c r="G53" s="856"/>
      <c r="H53" s="856"/>
      <c r="I53" s="856"/>
      <c r="J53" s="856"/>
      <c r="K53" s="856"/>
      <c r="L53" s="856"/>
    </row>
    <row r="54" spans="1:12">
      <c r="A54" s="856"/>
      <c r="B54" s="856"/>
      <c r="C54" s="856"/>
      <c r="D54" s="856"/>
      <c r="E54" s="856"/>
      <c r="F54" s="856"/>
      <c r="G54" s="856"/>
      <c r="H54" s="856"/>
      <c r="I54" s="856"/>
      <c r="J54" s="856"/>
      <c r="K54" s="856"/>
      <c r="L54" s="856"/>
    </row>
    <row r="55" spans="1:12">
      <c r="A55" s="856"/>
      <c r="B55" s="856"/>
      <c r="C55" s="856"/>
      <c r="D55" s="856"/>
      <c r="E55" s="856"/>
      <c r="F55" s="856"/>
      <c r="G55" s="856"/>
      <c r="H55" s="856"/>
      <c r="I55" s="856"/>
      <c r="J55" s="856"/>
      <c r="K55" s="856"/>
      <c r="L55" s="856"/>
    </row>
    <row r="56" spans="1:12">
      <c r="A56" s="856"/>
      <c r="B56" s="856"/>
      <c r="C56" s="856"/>
      <c r="D56" s="856"/>
      <c r="E56" s="856"/>
      <c r="F56" s="856"/>
      <c r="G56" s="856"/>
      <c r="H56" s="856"/>
      <c r="I56" s="856"/>
      <c r="J56" s="856"/>
      <c r="K56" s="856"/>
      <c r="L56" s="856"/>
    </row>
    <row r="57" spans="1:12" ht="75.75" customHeight="1">
      <c r="A57" s="856"/>
      <c r="B57" s="856"/>
      <c r="C57" s="856"/>
      <c r="D57" s="856"/>
      <c r="E57" s="856"/>
      <c r="F57" s="856"/>
      <c r="G57" s="856"/>
      <c r="H57" s="856"/>
      <c r="I57" s="856"/>
      <c r="J57" s="856"/>
      <c r="K57" s="856"/>
      <c r="L57" s="856"/>
    </row>
  </sheetData>
  <sheetProtection algorithmName="SHA-512" hashValue="GZkyxkl9VHD3QFzWkDCmV3uLDdN/sk0CwzGoDh9D14DXjvSgmd2JFpzqAgzQN4GXK4/wRNfU0Bcx0wp6HlwgDA==" saltValue="w9RcIerAf3mXSVX1hrVFDQ==" spinCount="100000" sheet="1" objects="1" scenarios="1" selectLockedCells="1" selectUnlockedCells="1"/>
  <printOptions horizontalCentered="1" verticalCentered="1"/>
  <pageMargins left="0" right="0" top="0" bottom="0" header="0" footer="0"/>
  <pageSetup paperSize="9" scale="63" fitToWidth="2"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2E1A9-1C42-4638-A334-826772A33512}">
  <sheetPr>
    <tabColor indexed="25"/>
    <pageSetUpPr fitToPage="1"/>
  </sheetPr>
  <dimension ref="A1:T50"/>
  <sheetViews>
    <sheetView showGridLines="0" workbookViewId="0">
      <selection activeCell="R62" sqref="R62"/>
    </sheetView>
  </sheetViews>
  <sheetFormatPr defaultColWidth="9.140625" defaultRowHeight="11.25"/>
  <cols>
    <col min="1" max="1" width="14.7109375" style="61" customWidth="1"/>
    <col min="2" max="2" width="2.42578125" style="125" customWidth="1"/>
    <col min="3" max="3" width="7.5703125" style="211" customWidth="1"/>
    <col min="4" max="13" width="7.5703125" style="61" customWidth="1"/>
    <col min="14" max="15" width="5.85546875" style="61" bestFit="1" customWidth="1"/>
    <col min="16" max="20" width="16.7109375" style="61" customWidth="1"/>
    <col min="21" max="16384" width="9.140625" style="61"/>
  </cols>
  <sheetData>
    <row r="1" spans="1:20" s="63" customFormat="1" ht="53.45" customHeight="1">
      <c r="A1" s="760" t="s">
        <v>752</v>
      </c>
      <c r="B1" s="760"/>
      <c r="C1" s="760"/>
      <c r="D1" s="760"/>
      <c r="E1" s="760"/>
      <c r="F1" s="760"/>
      <c r="G1" s="760"/>
      <c r="H1" s="760"/>
      <c r="I1" s="760"/>
      <c r="J1" s="760"/>
      <c r="K1" s="760"/>
      <c r="L1" s="760"/>
      <c r="M1" s="760"/>
      <c r="P1" s="762" t="s">
        <v>637</v>
      </c>
      <c r="Q1" s="762"/>
      <c r="R1" s="762"/>
      <c r="S1" s="762"/>
      <c r="T1" s="762"/>
    </row>
    <row r="2" spans="1:20" ht="12" customHeight="1">
      <c r="A2" s="65"/>
      <c r="B2" s="65"/>
      <c r="C2" s="66"/>
      <c r="D2" s="182"/>
      <c r="E2" s="182"/>
      <c r="F2" s="182"/>
      <c r="G2" s="182"/>
      <c r="H2" s="182"/>
      <c r="I2" s="182"/>
      <c r="J2" s="182"/>
      <c r="K2" s="182"/>
      <c r="L2" s="182"/>
      <c r="M2" s="182"/>
      <c r="P2" s="763" t="s">
        <v>638</v>
      </c>
      <c r="Q2" s="763"/>
      <c r="R2" s="763"/>
      <c r="S2" s="763"/>
      <c r="T2" s="763"/>
    </row>
    <row r="3" spans="1:20" ht="15" customHeight="1">
      <c r="A3" s="67" t="s">
        <v>14</v>
      </c>
      <c r="B3" s="68"/>
      <c r="C3" s="66"/>
      <c r="D3" s="182"/>
      <c r="E3" s="182"/>
      <c r="F3" s="182"/>
      <c r="G3" s="182"/>
      <c r="H3" s="182"/>
      <c r="I3" s="182"/>
      <c r="J3" s="182"/>
      <c r="K3" s="182"/>
      <c r="L3" s="182"/>
      <c r="M3" s="182"/>
      <c r="P3" s="763"/>
      <c r="Q3" s="763"/>
      <c r="R3" s="763"/>
      <c r="S3" s="763"/>
      <c r="T3" s="763"/>
    </row>
    <row r="4" spans="1:20" s="122" customFormat="1" ht="28.5" customHeight="1" thickBot="1">
      <c r="A4" s="69"/>
      <c r="B4" s="69"/>
      <c r="C4" s="43">
        <v>2013</v>
      </c>
      <c r="D4" s="43">
        <v>2014</v>
      </c>
      <c r="E4" s="43">
        <v>2015</v>
      </c>
      <c r="F4" s="43">
        <v>2016</v>
      </c>
      <c r="G4" s="43">
        <v>2017</v>
      </c>
      <c r="H4" s="43">
        <v>2018</v>
      </c>
      <c r="I4" s="43">
        <v>2019</v>
      </c>
      <c r="J4" s="43">
        <v>2020</v>
      </c>
      <c r="K4" s="43">
        <v>2021</v>
      </c>
      <c r="L4" s="43">
        <v>2022</v>
      </c>
      <c r="M4" s="43">
        <v>2023</v>
      </c>
      <c r="P4" s="763"/>
      <c r="Q4" s="763"/>
      <c r="R4" s="763"/>
      <c r="S4" s="763"/>
      <c r="T4" s="763"/>
    </row>
    <row r="5" spans="1:20" s="71" customFormat="1" ht="16.5" customHeight="1" thickTop="1">
      <c r="A5" s="65" t="s">
        <v>12</v>
      </c>
      <c r="B5" s="435" t="s">
        <v>45</v>
      </c>
      <c r="C5" s="361">
        <v>1890511</v>
      </c>
      <c r="D5" s="361">
        <v>1928307</v>
      </c>
      <c r="E5" s="361">
        <v>1991131</v>
      </c>
      <c r="F5" s="361">
        <v>2054911</v>
      </c>
      <c r="G5" s="361">
        <v>2131943</v>
      </c>
      <c r="H5" s="361">
        <v>2205449</v>
      </c>
      <c r="I5" s="361">
        <v>2232400</v>
      </c>
      <c r="J5" s="361">
        <v>2164118</v>
      </c>
      <c r="K5" s="361">
        <v>2200594</v>
      </c>
      <c r="L5" s="361">
        <v>2376115</v>
      </c>
      <c r="M5" s="361">
        <v>2467600</v>
      </c>
      <c r="N5" s="122"/>
      <c r="O5" s="122"/>
      <c r="P5" s="764" t="s">
        <v>639</v>
      </c>
      <c r="Q5" s="764"/>
      <c r="R5" s="764"/>
      <c r="S5" s="764"/>
      <c r="T5" s="764"/>
    </row>
    <row r="6" spans="1:20" s="71" customFormat="1" ht="12.75" customHeight="1">
      <c r="A6" s="40"/>
      <c r="B6" s="435" t="s">
        <v>53</v>
      </c>
      <c r="C6" s="360">
        <v>1021704</v>
      </c>
      <c r="D6" s="360">
        <v>1044369</v>
      </c>
      <c r="E6" s="360">
        <v>1072847</v>
      </c>
      <c r="F6" s="360">
        <v>1107485</v>
      </c>
      <c r="G6" s="360">
        <v>1154786</v>
      </c>
      <c r="H6" s="360">
        <v>1199385</v>
      </c>
      <c r="I6" s="360">
        <v>1217589</v>
      </c>
      <c r="J6" s="360">
        <v>1187469</v>
      </c>
      <c r="K6" s="360">
        <v>1200895</v>
      </c>
      <c r="L6" s="360">
        <v>1298876</v>
      </c>
      <c r="M6" s="360">
        <v>1354324</v>
      </c>
      <c r="N6" s="122"/>
      <c r="O6" s="122"/>
      <c r="P6" s="764"/>
      <c r="Q6" s="764"/>
      <c r="R6" s="764"/>
      <c r="S6" s="764"/>
      <c r="T6" s="764"/>
    </row>
    <row r="7" spans="1:20" s="71" customFormat="1" ht="12.75" customHeight="1">
      <c r="A7" s="40"/>
      <c r="B7" s="435" t="s">
        <v>54</v>
      </c>
      <c r="C7" s="360">
        <v>868807</v>
      </c>
      <c r="D7" s="360">
        <v>883938</v>
      </c>
      <c r="E7" s="360">
        <v>918284</v>
      </c>
      <c r="F7" s="360">
        <v>947426</v>
      </c>
      <c r="G7" s="360">
        <v>977157</v>
      </c>
      <c r="H7" s="360">
        <v>1006064</v>
      </c>
      <c r="I7" s="360">
        <v>1014811</v>
      </c>
      <c r="J7" s="360">
        <v>976649</v>
      </c>
      <c r="K7" s="360">
        <v>999699</v>
      </c>
      <c r="L7" s="360">
        <v>1077239</v>
      </c>
      <c r="M7" s="360">
        <v>1113276</v>
      </c>
      <c r="N7" s="122"/>
      <c r="O7" s="122"/>
    </row>
    <row r="8" spans="1:20" s="71" customFormat="1" ht="16.5" customHeight="1">
      <c r="A8" s="72" t="s">
        <v>32</v>
      </c>
      <c r="B8" s="435" t="s">
        <v>45</v>
      </c>
      <c r="C8" s="360">
        <v>276414</v>
      </c>
      <c r="D8" s="360">
        <v>277951</v>
      </c>
      <c r="E8" s="360">
        <v>280673</v>
      </c>
      <c r="F8" s="360">
        <v>282535</v>
      </c>
      <c r="G8" s="360">
        <v>280392</v>
      </c>
      <c r="H8" s="360">
        <v>280165</v>
      </c>
      <c r="I8" s="360">
        <v>270815</v>
      </c>
      <c r="J8" s="360">
        <v>264225</v>
      </c>
      <c r="K8" s="360">
        <v>263920</v>
      </c>
      <c r="L8" s="360">
        <v>274656</v>
      </c>
      <c r="M8" s="360">
        <v>277081</v>
      </c>
      <c r="N8" s="122"/>
    </row>
    <row r="9" spans="1:20" s="71" customFormat="1" ht="12.75" customHeight="1">
      <c r="A9" s="66"/>
      <c r="B9" s="94" t="s">
        <v>53</v>
      </c>
      <c r="C9" s="362">
        <v>139145</v>
      </c>
      <c r="D9" s="362">
        <v>139958</v>
      </c>
      <c r="E9" s="362">
        <v>139609</v>
      </c>
      <c r="F9" s="362">
        <v>141509</v>
      </c>
      <c r="G9" s="362">
        <v>140555</v>
      </c>
      <c r="H9" s="362">
        <v>140832</v>
      </c>
      <c r="I9" s="362">
        <v>136497</v>
      </c>
      <c r="J9" s="362">
        <v>134792</v>
      </c>
      <c r="K9" s="362">
        <v>133960</v>
      </c>
      <c r="L9" s="362">
        <v>139117</v>
      </c>
      <c r="M9" s="362">
        <v>140273</v>
      </c>
    </row>
    <row r="10" spans="1:20" s="71" customFormat="1" ht="12.75" customHeight="1">
      <c r="A10" s="66"/>
      <c r="B10" s="94" t="s">
        <v>54</v>
      </c>
      <c r="C10" s="362">
        <v>137269</v>
      </c>
      <c r="D10" s="362">
        <v>137993</v>
      </c>
      <c r="E10" s="362">
        <v>141064</v>
      </c>
      <c r="F10" s="362">
        <v>141026</v>
      </c>
      <c r="G10" s="362">
        <v>139837</v>
      </c>
      <c r="H10" s="362">
        <v>139333</v>
      </c>
      <c r="I10" s="362">
        <v>134318</v>
      </c>
      <c r="J10" s="362">
        <v>129433</v>
      </c>
      <c r="K10" s="362">
        <v>129960</v>
      </c>
      <c r="L10" s="362">
        <v>135539</v>
      </c>
      <c r="M10" s="362">
        <v>136808</v>
      </c>
    </row>
    <row r="11" spans="1:20" s="127" customFormat="1" ht="16.5" customHeight="1">
      <c r="A11" s="72" t="s">
        <v>33</v>
      </c>
      <c r="B11" s="435" t="s">
        <v>45</v>
      </c>
      <c r="C11" s="360">
        <v>265049</v>
      </c>
      <c r="D11" s="360">
        <v>267828</v>
      </c>
      <c r="E11" s="360">
        <v>274005</v>
      </c>
      <c r="F11" s="360">
        <v>281647</v>
      </c>
      <c r="G11" s="360">
        <v>286685</v>
      </c>
      <c r="H11" s="360">
        <v>292694</v>
      </c>
      <c r="I11" s="360">
        <v>291783</v>
      </c>
      <c r="J11" s="360">
        <v>280844</v>
      </c>
      <c r="K11" s="360">
        <v>282141</v>
      </c>
      <c r="L11" s="360">
        <v>298057</v>
      </c>
      <c r="M11" s="360">
        <v>305882</v>
      </c>
    </row>
    <row r="12" spans="1:20" s="71" customFormat="1" ht="12.75" customHeight="1">
      <c r="A12" s="66"/>
      <c r="B12" s="94" t="s">
        <v>53</v>
      </c>
      <c r="C12" s="362">
        <v>144020</v>
      </c>
      <c r="D12" s="362">
        <v>145502</v>
      </c>
      <c r="E12" s="362">
        <v>148038</v>
      </c>
      <c r="F12" s="362">
        <v>152388</v>
      </c>
      <c r="G12" s="362">
        <v>154503</v>
      </c>
      <c r="H12" s="362">
        <v>158055</v>
      </c>
      <c r="I12" s="362">
        <v>157967</v>
      </c>
      <c r="J12" s="362">
        <v>154176</v>
      </c>
      <c r="K12" s="362">
        <v>153959</v>
      </c>
      <c r="L12" s="362">
        <v>161511</v>
      </c>
      <c r="M12" s="362">
        <v>166317</v>
      </c>
    </row>
    <row r="13" spans="1:20" s="71" customFormat="1" ht="12.75" customHeight="1">
      <c r="A13" s="66"/>
      <c r="B13" s="94" t="s">
        <v>54</v>
      </c>
      <c r="C13" s="362">
        <v>121029</v>
      </c>
      <c r="D13" s="362">
        <v>122326</v>
      </c>
      <c r="E13" s="362">
        <v>125967</v>
      </c>
      <c r="F13" s="362">
        <v>129259</v>
      </c>
      <c r="G13" s="362">
        <v>132182</v>
      </c>
      <c r="H13" s="362">
        <v>134639</v>
      </c>
      <c r="I13" s="362">
        <v>133816</v>
      </c>
      <c r="J13" s="362">
        <v>126668</v>
      </c>
      <c r="K13" s="362">
        <v>128182</v>
      </c>
      <c r="L13" s="362">
        <v>136546</v>
      </c>
      <c r="M13" s="362">
        <v>139565</v>
      </c>
    </row>
    <row r="14" spans="1:20" s="127" customFormat="1" ht="16.5" customHeight="1">
      <c r="A14" s="72" t="s">
        <v>34</v>
      </c>
      <c r="B14" s="435" t="s">
        <v>45</v>
      </c>
      <c r="C14" s="360">
        <v>256328</v>
      </c>
      <c r="D14" s="360">
        <v>263977</v>
      </c>
      <c r="E14" s="360">
        <v>272560</v>
      </c>
      <c r="F14" s="360">
        <v>280137</v>
      </c>
      <c r="G14" s="360">
        <v>292166</v>
      </c>
      <c r="H14" s="360">
        <v>303883</v>
      </c>
      <c r="I14" s="360">
        <v>307913</v>
      </c>
      <c r="J14" s="360">
        <v>291900</v>
      </c>
      <c r="K14" s="360">
        <v>297749</v>
      </c>
      <c r="L14" s="360">
        <v>318345</v>
      </c>
      <c r="M14" s="360">
        <v>330903</v>
      </c>
    </row>
    <row r="15" spans="1:20" s="71" customFormat="1" ht="12.75" customHeight="1">
      <c r="A15" s="66"/>
      <c r="B15" s="94" t="s">
        <v>53</v>
      </c>
      <c r="C15" s="362">
        <v>143038</v>
      </c>
      <c r="D15" s="362">
        <v>146971</v>
      </c>
      <c r="E15" s="362">
        <v>150525</v>
      </c>
      <c r="F15" s="362">
        <v>155550</v>
      </c>
      <c r="G15" s="362">
        <v>162940</v>
      </c>
      <c r="H15" s="362">
        <v>169420</v>
      </c>
      <c r="I15" s="362">
        <v>172603</v>
      </c>
      <c r="J15" s="362">
        <v>167220</v>
      </c>
      <c r="K15" s="362">
        <v>168412</v>
      </c>
      <c r="L15" s="362">
        <v>180000</v>
      </c>
      <c r="M15" s="362">
        <v>186700</v>
      </c>
    </row>
    <row r="16" spans="1:20" s="71" customFormat="1" ht="12.75" customHeight="1">
      <c r="A16" s="66"/>
      <c r="B16" s="94" t="s">
        <v>54</v>
      </c>
      <c r="C16" s="362">
        <v>113290</v>
      </c>
      <c r="D16" s="362">
        <v>117006</v>
      </c>
      <c r="E16" s="362">
        <v>122035</v>
      </c>
      <c r="F16" s="362">
        <v>124587</v>
      </c>
      <c r="G16" s="362">
        <v>129226</v>
      </c>
      <c r="H16" s="362">
        <v>134463</v>
      </c>
      <c r="I16" s="362">
        <v>135310</v>
      </c>
      <c r="J16" s="362">
        <v>124680</v>
      </c>
      <c r="K16" s="362">
        <v>129337</v>
      </c>
      <c r="L16" s="362">
        <v>138345</v>
      </c>
      <c r="M16" s="362">
        <v>144203</v>
      </c>
    </row>
    <row r="17" spans="1:13" s="127" customFormat="1" ht="16.5" customHeight="1">
      <c r="A17" s="72" t="s">
        <v>35</v>
      </c>
      <c r="B17" s="435" t="s">
        <v>45</v>
      </c>
      <c r="C17" s="360">
        <v>339637</v>
      </c>
      <c r="D17" s="360">
        <v>347594</v>
      </c>
      <c r="E17" s="360">
        <v>358936</v>
      </c>
      <c r="F17" s="360">
        <v>371740</v>
      </c>
      <c r="G17" s="360">
        <v>385371</v>
      </c>
      <c r="H17" s="360">
        <v>397646</v>
      </c>
      <c r="I17" s="360">
        <v>398825</v>
      </c>
      <c r="J17" s="360">
        <v>384879</v>
      </c>
      <c r="K17" s="360">
        <v>395517</v>
      </c>
      <c r="L17" s="360">
        <v>424491</v>
      </c>
      <c r="M17" s="360">
        <v>448181</v>
      </c>
    </row>
    <row r="18" spans="1:13" s="71" customFormat="1" ht="12.75" customHeight="1">
      <c r="A18" s="66"/>
      <c r="B18" s="94" t="s">
        <v>53</v>
      </c>
      <c r="C18" s="362">
        <v>180706</v>
      </c>
      <c r="D18" s="362">
        <v>184997</v>
      </c>
      <c r="E18" s="362">
        <v>191966</v>
      </c>
      <c r="F18" s="362">
        <v>199069</v>
      </c>
      <c r="G18" s="362">
        <v>207466</v>
      </c>
      <c r="H18" s="362">
        <v>214940</v>
      </c>
      <c r="I18" s="362">
        <v>218808</v>
      </c>
      <c r="J18" s="362">
        <v>213209</v>
      </c>
      <c r="K18" s="362">
        <v>217986</v>
      </c>
      <c r="L18" s="362">
        <v>233627</v>
      </c>
      <c r="M18" s="362">
        <v>248703</v>
      </c>
    </row>
    <row r="19" spans="1:13" s="71" customFormat="1" ht="12.75" customHeight="1">
      <c r="A19" s="66"/>
      <c r="B19" s="94" t="s">
        <v>54</v>
      </c>
      <c r="C19" s="362">
        <v>158931</v>
      </c>
      <c r="D19" s="362">
        <v>162597</v>
      </c>
      <c r="E19" s="362">
        <v>166970</v>
      </c>
      <c r="F19" s="362">
        <v>172671</v>
      </c>
      <c r="G19" s="362">
        <v>177905</v>
      </c>
      <c r="H19" s="362">
        <v>182706</v>
      </c>
      <c r="I19" s="362">
        <v>180017</v>
      </c>
      <c r="J19" s="362">
        <v>171670</v>
      </c>
      <c r="K19" s="362">
        <v>177531</v>
      </c>
      <c r="L19" s="362">
        <v>190864</v>
      </c>
      <c r="M19" s="362">
        <v>199478</v>
      </c>
    </row>
    <row r="20" spans="1:13" s="127" customFormat="1" ht="16.5" customHeight="1">
      <c r="A20" s="72" t="s">
        <v>36</v>
      </c>
      <c r="B20" s="435" t="s">
        <v>45</v>
      </c>
      <c r="C20" s="360">
        <v>219247</v>
      </c>
      <c r="D20" s="360">
        <v>223799</v>
      </c>
      <c r="E20" s="360">
        <v>235976</v>
      </c>
      <c r="F20" s="360">
        <v>245631</v>
      </c>
      <c r="G20" s="360">
        <v>252985</v>
      </c>
      <c r="H20" s="360">
        <v>264134</v>
      </c>
      <c r="I20" s="360">
        <v>268084</v>
      </c>
      <c r="J20" s="360">
        <v>259957</v>
      </c>
      <c r="K20" s="360">
        <v>268007</v>
      </c>
      <c r="L20" s="360">
        <v>289998</v>
      </c>
      <c r="M20" s="360">
        <v>304543</v>
      </c>
    </row>
    <row r="21" spans="1:13" s="71" customFormat="1" ht="12.75" customHeight="1">
      <c r="A21" s="66"/>
      <c r="B21" s="94" t="s">
        <v>53</v>
      </c>
      <c r="C21" s="362">
        <v>115551</v>
      </c>
      <c r="D21" s="362">
        <v>118038</v>
      </c>
      <c r="E21" s="362">
        <v>123671</v>
      </c>
      <c r="F21" s="362">
        <v>128895</v>
      </c>
      <c r="G21" s="362">
        <v>134347</v>
      </c>
      <c r="H21" s="362">
        <v>140638</v>
      </c>
      <c r="I21" s="362">
        <v>143472</v>
      </c>
      <c r="J21" s="362">
        <v>139756</v>
      </c>
      <c r="K21" s="362">
        <v>143161</v>
      </c>
      <c r="L21" s="362">
        <v>156103</v>
      </c>
      <c r="M21" s="362">
        <v>164812</v>
      </c>
    </row>
    <row r="22" spans="1:13" s="71" customFormat="1" ht="12.75" customHeight="1">
      <c r="A22" s="66"/>
      <c r="B22" s="94" t="s">
        <v>54</v>
      </c>
      <c r="C22" s="362">
        <v>103696</v>
      </c>
      <c r="D22" s="362">
        <v>105761</v>
      </c>
      <c r="E22" s="362">
        <v>112305</v>
      </c>
      <c r="F22" s="362">
        <v>116736</v>
      </c>
      <c r="G22" s="362">
        <v>118638</v>
      </c>
      <c r="H22" s="362">
        <v>123496</v>
      </c>
      <c r="I22" s="362">
        <v>124612</v>
      </c>
      <c r="J22" s="362">
        <v>120201</v>
      </c>
      <c r="K22" s="362">
        <v>124846</v>
      </c>
      <c r="L22" s="362">
        <v>133895</v>
      </c>
      <c r="M22" s="362">
        <v>139731</v>
      </c>
    </row>
    <row r="23" spans="1:13" s="127" customFormat="1" ht="16.5" customHeight="1">
      <c r="A23" s="72" t="s">
        <v>37</v>
      </c>
      <c r="B23" s="435" t="s">
        <v>45</v>
      </c>
      <c r="C23" s="360">
        <v>111767</v>
      </c>
      <c r="D23" s="360">
        <v>117358</v>
      </c>
      <c r="E23" s="360">
        <v>113201</v>
      </c>
      <c r="F23" s="360">
        <v>117898</v>
      </c>
      <c r="G23" s="360">
        <v>121763</v>
      </c>
      <c r="H23" s="360">
        <v>126007</v>
      </c>
      <c r="I23" s="360">
        <v>127826</v>
      </c>
      <c r="J23" s="360">
        <v>122089</v>
      </c>
      <c r="K23" s="360">
        <v>127583</v>
      </c>
      <c r="L23" s="360">
        <v>138051</v>
      </c>
      <c r="M23" s="360">
        <v>146170</v>
      </c>
    </row>
    <row r="24" spans="1:13" s="71" customFormat="1" ht="12.75" customHeight="1">
      <c r="A24" s="66"/>
      <c r="B24" s="94" t="s">
        <v>53</v>
      </c>
      <c r="C24" s="362">
        <v>62775</v>
      </c>
      <c r="D24" s="362">
        <v>66606</v>
      </c>
      <c r="E24" s="362">
        <v>64291</v>
      </c>
      <c r="F24" s="362">
        <v>65952</v>
      </c>
      <c r="G24" s="362">
        <v>69007</v>
      </c>
      <c r="H24" s="362">
        <v>71683</v>
      </c>
      <c r="I24" s="362">
        <v>72348</v>
      </c>
      <c r="J24" s="362">
        <v>69432</v>
      </c>
      <c r="K24" s="362">
        <v>72010</v>
      </c>
      <c r="L24" s="362">
        <v>78049</v>
      </c>
      <c r="M24" s="362">
        <v>83294</v>
      </c>
    </row>
    <row r="25" spans="1:13" s="71" customFormat="1" ht="12.75" customHeight="1">
      <c r="A25" s="66"/>
      <c r="B25" s="94" t="s">
        <v>54</v>
      </c>
      <c r="C25" s="362">
        <v>48992</v>
      </c>
      <c r="D25" s="362">
        <v>50752</v>
      </c>
      <c r="E25" s="362">
        <v>48910</v>
      </c>
      <c r="F25" s="362">
        <v>51946</v>
      </c>
      <c r="G25" s="362">
        <v>52756</v>
      </c>
      <c r="H25" s="362">
        <v>54324</v>
      </c>
      <c r="I25" s="362">
        <v>55478</v>
      </c>
      <c r="J25" s="362">
        <v>52657</v>
      </c>
      <c r="K25" s="362">
        <v>55573</v>
      </c>
      <c r="L25" s="362">
        <v>60002</v>
      </c>
      <c r="M25" s="362">
        <v>62876</v>
      </c>
    </row>
    <row r="26" spans="1:13" s="126" customFormat="1" ht="16.5" customHeight="1">
      <c r="A26" s="72" t="s">
        <v>38</v>
      </c>
      <c r="B26" s="435" t="s">
        <v>45</v>
      </c>
      <c r="C26" s="360">
        <v>72940</v>
      </c>
      <c r="D26" s="360">
        <v>70608</v>
      </c>
      <c r="E26" s="360">
        <v>75321</v>
      </c>
      <c r="F26" s="360">
        <v>76076</v>
      </c>
      <c r="G26" s="360">
        <v>78271</v>
      </c>
      <c r="H26" s="360">
        <v>84331</v>
      </c>
      <c r="I26" s="360">
        <v>84330</v>
      </c>
      <c r="J26" s="360">
        <v>78716</v>
      </c>
      <c r="K26" s="360">
        <v>84579</v>
      </c>
      <c r="L26" s="360">
        <v>96187</v>
      </c>
      <c r="M26" s="360">
        <v>98687</v>
      </c>
    </row>
    <row r="27" spans="1:13" s="211" customFormat="1" ht="12.75" customHeight="1">
      <c r="A27" s="66"/>
      <c r="B27" s="94" t="s">
        <v>53</v>
      </c>
      <c r="C27" s="362">
        <v>43443</v>
      </c>
      <c r="D27" s="362">
        <v>41041</v>
      </c>
      <c r="E27" s="362">
        <v>44345</v>
      </c>
      <c r="F27" s="362">
        <v>44086</v>
      </c>
      <c r="G27" s="362">
        <v>44443</v>
      </c>
      <c r="H27" s="362">
        <v>48322</v>
      </c>
      <c r="I27" s="362">
        <v>48340</v>
      </c>
      <c r="J27" s="362">
        <v>45829</v>
      </c>
      <c r="K27" s="362">
        <v>47554</v>
      </c>
      <c r="L27" s="362">
        <v>54133</v>
      </c>
      <c r="M27" s="362">
        <v>56973</v>
      </c>
    </row>
    <row r="28" spans="1:13" s="211" customFormat="1" ht="12.75" customHeight="1">
      <c r="A28" s="66"/>
      <c r="B28" s="94" t="s">
        <v>54</v>
      </c>
      <c r="C28" s="362">
        <v>29497</v>
      </c>
      <c r="D28" s="362">
        <v>29567</v>
      </c>
      <c r="E28" s="362">
        <v>30976</v>
      </c>
      <c r="F28" s="362">
        <v>31990</v>
      </c>
      <c r="G28" s="362">
        <v>33828</v>
      </c>
      <c r="H28" s="362">
        <v>36009</v>
      </c>
      <c r="I28" s="362">
        <v>35990</v>
      </c>
      <c r="J28" s="362">
        <v>32887</v>
      </c>
      <c r="K28" s="362">
        <v>37025</v>
      </c>
      <c r="L28" s="362">
        <v>42054</v>
      </c>
      <c r="M28" s="362">
        <v>41714</v>
      </c>
    </row>
    <row r="29" spans="1:13" s="126" customFormat="1" ht="16.5" customHeight="1">
      <c r="A29" s="72" t="s">
        <v>39</v>
      </c>
      <c r="B29" s="435" t="s">
        <v>45</v>
      </c>
      <c r="C29" s="360">
        <v>45724</v>
      </c>
      <c r="D29" s="360">
        <v>50743</v>
      </c>
      <c r="E29" s="360">
        <v>51527</v>
      </c>
      <c r="F29" s="360">
        <v>54099</v>
      </c>
      <c r="G29" s="360">
        <v>59743</v>
      </c>
      <c r="H29" s="360">
        <v>60857</v>
      </c>
      <c r="I29" s="360">
        <v>61680</v>
      </c>
      <c r="J29" s="360">
        <v>62093</v>
      </c>
      <c r="K29" s="360">
        <v>62695</v>
      </c>
      <c r="L29" s="360">
        <v>69266</v>
      </c>
      <c r="M29" s="360">
        <v>71425</v>
      </c>
    </row>
    <row r="30" spans="1:13" s="211" customFormat="1" ht="12.75" customHeight="1">
      <c r="A30" s="66"/>
      <c r="B30" s="94" t="s">
        <v>53</v>
      </c>
      <c r="C30" s="362">
        <v>26568</v>
      </c>
      <c r="D30" s="362">
        <v>29980</v>
      </c>
      <c r="E30" s="362">
        <v>30324</v>
      </c>
      <c r="F30" s="362">
        <v>32637</v>
      </c>
      <c r="G30" s="362">
        <v>35420</v>
      </c>
      <c r="H30" s="362">
        <v>36478</v>
      </c>
      <c r="I30" s="362">
        <v>36910</v>
      </c>
      <c r="J30" s="362">
        <v>37176</v>
      </c>
      <c r="K30" s="362">
        <v>37289</v>
      </c>
      <c r="L30" s="362">
        <v>41858</v>
      </c>
      <c r="M30" s="362">
        <v>40282</v>
      </c>
    </row>
    <row r="31" spans="1:13" s="211" customFormat="1" ht="12.75" customHeight="1">
      <c r="A31" s="66"/>
      <c r="B31" s="94" t="s">
        <v>54</v>
      </c>
      <c r="C31" s="362">
        <v>19156</v>
      </c>
      <c r="D31" s="362">
        <v>20763</v>
      </c>
      <c r="E31" s="362">
        <v>21203</v>
      </c>
      <c r="F31" s="362">
        <v>21462</v>
      </c>
      <c r="G31" s="362">
        <v>24323</v>
      </c>
      <c r="H31" s="362">
        <v>24379</v>
      </c>
      <c r="I31" s="362">
        <v>24770</v>
      </c>
      <c r="J31" s="362">
        <v>24917</v>
      </c>
      <c r="K31" s="362">
        <v>25406</v>
      </c>
      <c r="L31" s="362">
        <v>27408</v>
      </c>
      <c r="M31" s="362">
        <v>31143</v>
      </c>
    </row>
    <row r="32" spans="1:13" s="126" customFormat="1" ht="16.5" customHeight="1">
      <c r="A32" s="72" t="s">
        <v>40</v>
      </c>
      <c r="B32" s="435" t="s">
        <v>45</v>
      </c>
      <c r="C32" s="360">
        <v>121769</v>
      </c>
      <c r="D32" s="360">
        <v>118938</v>
      </c>
      <c r="E32" s="360">
        <v>131121</v>
      </c>
      <c r="F32" s="360">
        <v>138480</v>
      </c>
      <c r="G32" s="360">
        <v>147943</v>
      </c>
      <c r="H32" s="360">
        <v>156607</v>
      </c>
      <c r="I32" s="360">
        <v>157043</v>
      </c>
      <c r="J32" s="360">
        <v>154132</v>
      </c>
      <c r="K32" s="360">
        <v>152820</v>
      </c>
      <c r="L32" s="360">
        <v>164457</v>
      </c>
      <c r="M32" s="360">
        <v>175946</v>
      </c>
    </row>
    <row r="33" spans="1:13" s="211" customFormat="1" ht="12.75" customHeight="1">
      <c r="A33" s="66"/>
      <c r="B33" s="94" t="s">
        <v>53</v>
      </c>
      <c r="C33" s="362">
        <v>71774</v>
      </c>
      <c r="D33" s="362">
        <v>70402</v>
      </c>
      <c r="E33" s="362">
        <v>76888</v>
      </c>
      <c r="F33" s="362">
        <v>80873</v>
      </c>
      <c r="G33" s="362">
        <v>87677</v>
      </c>
      <c r="H33" s="362">
        <v>93730</v>
      </c>
      <c r="I33" s="362">
        <v>93712</v>
      </c>
      <c r="J33" s="362">
        <v>91542</v>
      </c>
      <c r="K33" s="362">
        <v>91316</v>
      </c>
      <c r="L33" s="362">
        <v>97124</v>
      </c>
      <c r="M33" s="362">
        <v>103803</v>
      </c>
    </row>
    <row r="34" spans="1:13" s="211" customFormat="1" ht="12.75" customHeight="1">
      <c r="A34" s="66"/>
      <c r="B34" s="94" t="s">
        <v>54</v>
      </c>
      <c r="C34" s="362">
        <v>49995</v>
      </c>
      <c r="D34" s="362">
        <v>48536</v>
      </c>
      <c r="E34" s="362">
        <v>54233</v>
      </c>
      <c r="F34" s="362">
        <v>57607</v>
      </c>
      <c r="G34" s="362">
        <v>60266</v>
      </c>
      <c r="H34" s="362">
        <v>62877</v>
      </c>
      <c r="I34" s="362">
        <v>63331</v>
      </c>
      <c r="J34" s="362">
        <v>62590</v>
      </c>
      <c r="K34" s="362">
        <v>61504</v>
      </c>
      <c r="L34" s="362">
        <v>67333</v>
      </c>
      <c r="M34" s="362">
        <v>72143</v>
      </c>
    </row>
    <row r="35" spans="1:13" s="126" customFormat="1" ht="16.5" customHeight="1">
      <c r="A35" s="72" t="s">
        <v>41</v>
      </c>
      <c r="B35" s="435" t="s">
        <v>45</v>
      </c>
      <c r="C35" s="360">
        <v>82639</v>
      </c>
      <c r="D35" s="360">
        <v>85104</v>
      </c>
      <c r="E35" s="360">
        <v>89451</v>
      </c>
      <c r="F35" s="360">
        <v>87056</v>
      </c>
      <c r="G35" s="360">
        <v>93437</v>
      </c>
      <c r="H35" s="360">
        <v>97880</v>
      </c>
      <c r="I35" s="360">
        <v>111381</v>
      </c>
      <c r="J35" s="360">
        <v>112346</v>
      </c>
      <c r="K35" s="360">
        <v>108219</v>
      </c>
      <c r="L35" s="360">
        <v>126530</v>
      </c>
      <c r="M35" s="360">
        <v>137973</v>
      </c>
    </row>
    <row r="36" spans="1:13" s="211" customFormat="1" ht="12.75" customHeight="1">
      <c r="A36" s="66"/>
      <c r="B36" s="94" t="s">
        <v>53</v>
      </c>
      <c r="C36" s="362">
        <v>45727</v>
      </c>
      <c r="D36" s="362">
        <v>47335</v>
      </c>
      <c r="E36" s="362">
        <v>49104</v>
      </c>
      <c r="F36" s="362">
        <v>48396</v>
      </c>
      <c r="G36" s="362">
        <v>50389</v>
      </c>
      <c r="H36" s="362">
        <v>52898</v>
      </c>
      <c r="I36" s="362">
        <v>59953</v>
      </c>
      <c r="J36" s="362">
        <v>62358</v>
      </c>
      <c r="K36" s="362">
        <v>59319</v>
      </c>
      <c r="L36" s="362">
        <v>70627</v>
      </c>
      <c r="M36" s="362">
        <v>80350</v>
      </c>
    </row>
    <row r="37" spans="1:13" s="211" customFormat="1" ht="12.75" customHeight="1">
      <c r="A37" s="74"/>
      <c r="B37" s="94" t="s">
        <v>54</v>
      </c>
      <c r="C37" s="362">
        <v>36912</v>
      </c>
      <c r="D37" s="362">
        <v>37769</v>
      </c>
      <c r="E37" s="362">
        <v>40347</v>
      </c>
      <c r="F37" s="362">
        <v>38660</v>
      </c>
      <c r="G37" s="362">
        <v>43048</v>
      </c>
      <c r="H37" s="362">
        <v>44982</v>
      </c>
      <c r="I37" s="362">
        <v>51428</v>
      </c>
      <c r="J37" s="362">
        <v>49988</v>
      </c>
      <c r="K37" s="362">
        <v>48900</v>
      </c>
      <c r="L37" s="362">
        <v>55903</v>
      </c>
      <c r="M37" s="362">
        <v>57623</v>
      </c>
    </row>
    <row r="38" spans="1:13" s="126" customFormat="1" ht="16.5" customHeight="1">
      <c r="A38" s="75" t="s">
        <v>72</v>
      </c>
      <c r="B38" s="435" t="s">
        <v>45</v>
      </c>
      <c r="C38" s="360">
        <v>98997</v>
      </c>
      <c r="D38" s="360">
        <v>104407</v>
      </c>
      <c r="E38" s="360">
        <v>108360</v>
      </c>
      <c r="F38" s="360">
        <v>119612</v>
      </c>
      <c r="G38" s="360">
        <v>133187</v>
      </c>
      <c r="H38" s="360">
        <v>141245</v>
      </c>
      <c r="I38" s="360">
        <v>152720</v>
      </c>
      <c r="J38" s="360">
        <v>152937</v>
      </c>
      <c r="K38" s="360">
        <v>157364</v>
      </c>
      <c r="L38" s="360">
        <v>176077</v>
      </c>
      <c r="M38" s="360">
        <v>170809</v>
      </c>
    </row>
    <row r="39" spans="1:13" s="211" customFormat="1" ht="12.75" customHeight="1">
      <c r="A39" s="74"/>
      <c r="B39" s="94" t="s">
        <v>53</v>
      </c>
      <c r="C39" s="362">
        <v>48957</v>
      </c>
      <c r="D39" s="362">
        <v>53539</v>
      </c>
      <c r="E39" s="362">
        <v>54086</v>
      </c>
      <c r="F39" s="362">
        <v>58130</v>
      </c>
      <c r="G39" s="362">
        <v>68039</v>
      </c>
      <c r="H39" s="362">
        <v>72389</v>
      </c>
      <c r="I39" s="362">
        <v>76979</v>
      </c>
      <c r="J39" s="362">
        <v>71979</v>
      </c>
      <c r="K39" s="362">
        <v>75929</v>
      </c>
      <c r="L39" s="362">
        <v>86727</v>
      </c>
      <c r="M39" s="362">
        <v>82817</v>
      </c>
    </row>
    <row r="40" spans="1:13" s="211" customFormat="1" ht="12.75" customHeight="1">
      <c r="A40" s="74"/>
      <c r="B40" s="77" t="s">
        <v>54</v>
      </c>
      <c r="C40" s="363">
        <v>50040</v>
      </c>
      <c r="D40" s="363">
        <v>50868</v>
      </c>
      <c r="E40" s="363">
        <v>54274</v>
      </c>
      <c r="F40" s="363">
        <v>61482</v>
      </c>
      <c r="G40" s="363">
        <v>65148</v>
      </c>
      <c r="H40" s="363">
        <v>68856</v>
      </c>
      <c r="I40" s="363">
        <v>75741</v>
      </c>
      <c r="J40" s="363">
        <v>80958</v>
      </c>
      <c r="K40" s="363">
        <v>81435</v>
      </c>
      <c r="L40" s="363">
        <v>89350</v>
      </c>
      <c r="M40" s="363">
        <v>87992</v>
      </c>
    </row>
    <row r="41" spans="1:13" s="211" customFormat="1" ht="14.25" customHeight="1">
      <c r="A41" s="761"/>
      <c r="B41" s="761"/>
      <c r="C41" s="761"/>
      <c r="D41" s="761"/>
      <c r="E41" s="761"/>
      <c r="F41" s="761"/>
      <c r="G41" s="761"/>
      <c r="H41" s="761"/>
      <c r="I41" s="761"/>
      <c r="J41" s="70"/>
      <c r="K41" s="70"/>
      <c r="L41" s="70"/>
      <c r="M41" s="70"/>
    </row>
    <row r="42" spans="1:13" ht="15" customHeight="1">
      <c r="A42" s="21" t="s">
        <v>139</v>
      </c>
      <c r="B42" s="35"/>
      <c r="C42" s="70"/>
      <c r="D42" s="70"/>
      <c r="E42" s="70"/>
      <c r="F42" s="70"/>
      <c r="G42" s="70"/>
      <c r="H42" s="70"/>
      <c r="I42" s="70"/>
      <c r="J42" s="70"/>
      <c r="K42" s="70"/>
      <c r="L42" s="70"/>
      <c r="M42" s="70"/>
    </row>
    <row r="43" spans="1:13" ht="15" customHeight="1"/>
    <row r="50" spans="2:2">
      <c r="B50" s="128"/>
    </row>
  </sheetData>
  <mergeCells count="5">
    <mergeCell ref="A1:M1"/>
    <mergeCell ref="A41:I41"/>
    <mergeCell ref="P1:T1"/>
    <mergeCell ref="P2:T4"/>
    <mergeCell ref="P5:T6"/>
  </mergeCells>
  <conditionalFormatting sqref="A1 A41 A42:F1048576 A2:F4 A5:J40 N10:XFD1048576 N1:O8 U1:XFD9">
    <cfRule type="cellIs" dxfId="1207" priority="4" operator="equal">
      <formula>0</formula>
    </cfRule>
  </conditionalFormatting>
  <conditionalFormatting sqref="N5:O7">
    <cfRule type="containsText" dxfId="1206" priority="3" operator="containsText" text="FALSO">
      <formula>NOT(ISERROR(SEARCH("FALSO",N5)))</formula>
    </cfRule>
  </conditionalFormatting>
  <conditionalFormatting sqref="P5 P1">
    <cfRule type="cellIs" dxfId="1205" priority="2" operator="equal">
      <formula>0</formula>
    </cfRule>
  </conditionalFormatting>
  <conditionalFormatting sqref="P5">
    <cfRule type="containsText" dxfId="1204" priority="1" operator="containsText" text="FALSO">
      <formula>NOT(ISERROR(SEARCH("FALSO",P5)))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3396-7776-4D2D-AD5B-3C42D4A77E23}">
  <sheetPr>
    <tabColor rgb="FFFFFF00"/>
    <pageSetUpPr fitToPage="1"/>
  </sheetPr>
  <dimension ref="A1:GB43"/>
  <sheetViews>
    <sheetView showGridLines="0" workbookViewId="0">
      <selection activeCell="R62" sqref="R62"/>
    </sheetView>
  </sheetViews>
  <sheetFormatPr defaultColWidth="9.140625" defaultRowHeight="17.25" customHeight="1"/>
  <cols>
    <col min="1" max="1" width="14.7109375" style="132" customWidth="1"/>
    <col min="2" max="2" width="2.42578125" style="132" customWidth="1"/>
    <col min="3" max="13" width="6.42578125" style="132" customWidth="1"/>
    <col min="14" max="14" width="9.140625" style="136"/>
    <col min="15" max="17" width="9.140625" style="132"/>
    <col min="18" max="18" width="11.85546875" style="132" bestFit="1" customWidth="1"/>
    <col min="19" max="19" width="10.85546875" style="132" bestFit="1" customWidth="1"/>
    <col min="20" max="28" width="10.140625" style="132" bestFit="1" customWidth="1"/>
    <col min="29" max="184" width="9.140625" style="132"/>
    <col min="185" max="16384" width="9.140625" style="29"/>
  </cols>
  <sheetData>
    <row r="1" spans="1:40" s="137" customFormat="1" ht="28.5" customHeight="1">
      <c r="A1" s="765" t="str">
        <f>+'q23'!A1:M1</f>
        <v>Quadro 23- Remuneração média mensal base(1) por dimensão do estabelecimento e sexo</v>
      </c>
      <c r="B1" s="765"/>
      <c r="C1" s="765"/>
      <c r="D1" s="765"/>
      <c r="E1" s="765"/>
      <c r="F1" s="765"/>
      <c r="G1" s="765"/>
      <c r="H1" s="765"/>
      <c r="I1" s="765"/>
      <c r="J1" s="765"/>
      <c r="K1" s="765"/>
      <c r="L1" s="765"/>
      <c r="M1" s="765"/>
      <c r="N1" s="253"/>
      <c r="P1" s="484" t="s">
        <v>279</v>
      </c>
    </row>
    <row r="2" spans="1:40" s="138" customFormat="1" ht="15" customHeight="1">
      <c r="A2" s="287"/>
      <c r="B2" s="287"/>
      <c r="C2" s="288"/>
      <c r="D2" s="288"/>
      <c r="E2" s="288"/>
      <c r="F2" s="288"/>
      <c r="G2" s="288"/>
      <c r="H2" s="288"/>
      <c r="I2" s="288"/>
      <c r="J2" s="288"/>
      <c r="K2" s="288"/>
      <c r="L2" s="288"/>
      <c r="M2" s="288"/>
      <c r="N2" s="140"/>
      <c r="P2" s="132" t="s">
        <v>280</v>
      </c>
    </row>
    <row r="3" spans="1:40" s="249" customFormat="1" ht="15" customHeight="1">
      <c r="A3" s="254" t="s">
        <v>14</v>
      </c>
      <c r="B3" s="255"/>
      <c r="C3" s="427"/>
      <c r="D3" s="427"/>
      <c r="E3" s="332"/>
      <c r="F3" s="332"/>
      <c r="G3" s="332"/>
      <c r="H3" s="332"/>
      <c r="I3" s="332"/>
      <c r="J3" s="332"/>
      <c r="K3" s="332"/>
      <c r="L3" s="332"/>
      <c r="M3" s="332" t="s">
        <v>68</v>
      </c>
      <c r="N3" s="251"/>
      <c r="P3" s="274" t="s">
        <v>281</v>
      </c>
      <c r="AD3" s="660" t="s">
        <v>544</v>
      </c>
    </row>
    <row r="4" spans="1:40" s="260" customFormat="1" ht="28.5" customHeight="1" thickBot="1">
      <c r="A4" s="258"/>
      <c r="B4" s="258"/>
      <c r="C4" s="241">
        <f>+'q23'!C4</f>
        <v>2013</v>
      </c>
      <c r="D4" s="241">
        <f>+'q23'!D4</f>
        <v>2014</v>
      </c>
      <c r="E4" s="241">
        <f>+'q23'!E4</f>
        <v>2015</v>
      </c>
      <c r="F4" s="241">
        <f>+'q23'!F4</f>
        <v>2016</v>
      </c>
      <c r="G4" s="241">
        <f>+'q23'!G4</f>
        <v>2017</v>
      </c>
      <c r="H4" s="241">
        <f>+'q23'!H4</f>
        <v>2018</v>
      </c>
      <c r="I4" s="241">
        <f>+'q23'!I4</f>
        <v>2019</v>
      </c>
      <c r="J4" s="241">
        <f>+'q23'!J4</f>
        <v>2020</v>
      </c>
      <c r="K4" s="241">
        <f>+'q23'!K4</f>
        <v>2021</v>
      </c>
      <c r="L4" s="241">
        <f>+'q23'!L4</f>
        <v>2022</v>
      </c>
      <c r="M4" s="241">
        <f>+'q23'!M4</f>
        <v>2023</v>
      </c>
      <c r="N4" s="259"/>
      <c r="P4" s="258"/>
      <c r="Q4" s="258"/>
      <c r="R4" s="241">
        <f>+C4</f>
        <v>2013</v>
      </c>
      <c r="S4" s="241">
        <f t="shared" ref="S4:AB4" si="0">+D4</f>
        <v>2014</v>
      </c>
      <c r="T4" s="241">
        <f t="shared" si="0"/>
        <v>2015</v>
      </c>
      <c r="U4" s="241">
        <f t="shared" si="0"/>
        <v>2016</v>
      </c>
      <c r="V4" s="241">
        <f t="shared" si="0"/>
        <v>2017</v>
      </c>
      <c r="W4" s="241">
        <f t="shared" si="0"/>
        <v>2018</v>
      </c>
      <c r="X4" s="241">
        <f t="shared" si="0"/>
        <v>2019</v>
      </c>
      <c r="Y4" s="241">
        <f t="shared" si="0"/>
        <v>2020</v>
      </c>
      <c r="Z4" s="241">
        <f t="shared" si="0"/>
        <v>2021</v>
      </c>
      <c r="AA4" s="241">
        <f t="shared" si="0"/>
        <v>2022</v>
      </c>
      <c r="AB4" s="241">
        <f t="shared" si="0"/>
        <v>2023</v>
      </c>
      <c r="AD4" s="260">
        <f>+C4</f>
        <v>2013</v>
      </c>
      <c r="AE4" s="260">
        <f t="shared" ref="AE4:AL4" si="1">+D4</f>
        <v>2014</v>
      </c>
      <c r="AF4" s="260">
        <f t="shared" si="1"/>
        <v>2015</v>
      </c>
      <c r="AG4" s="260">
        <f t="shared" si="1"/>
        <v>2016</v>
      </c>
      <c r="AH4" s="260">
        <f t="shared" si="1"/>
        <v>2017</v>
      </c>
      <c r="AI4" s="260">
        <f t="shared" si="1"/>
        <v>2018</v>
      </c>
      <c r="AJ4" s="260">
        <f t="shared" si="1"/>
        <v>2019</v>
      </c>
      <c r="AK4" s="260">
        <f t="shared" si="1"/>
        <v>2020</v>
      </c>
      <c r="AL4" s="260">
        <f t="shared" si="1"/>
        <v>2021</v>
      </c>
      <c r="AM4" s="260">
        <f>+L4</f>
        <v>2022</v>
      </c>
      <c r="AN4" s="260">
        <f>+M4</f>
        <v>2023</v>
      </c>
    </row>
    <row r="5" spans="1:40" s="262" customFormat="1" ht="16.5" customHeight="1" thickTop="1">
      <c r="A5" s="248" t="str">
        <f>+'q23'!A5</f>
        <v>Total</v>
      </c>
      <c r="B5" s="248" t="str">
        <f>+'q23'!B5</f>
        <v>T</v>
      </c>
      <c r="C5" s="379">
        <f>+'q23'!C5</f>
        <v>912.18</v>
      </c>
      <c r="D5" s="379">
        <f>+'q23'!D5</f>
        <v>909.49</v>
      </c>
      <c r="E5" s="379">
        <f>+'q23'!E5</f>
        <v>913.93</v>
      </c>
      <c r="F5" s="379">
        <f>+'q23'!F5</f>
        <v>924.94</v>
      </c>
      <c r="G5" s="379">
        <f>+'q23'!G5</f>
        <v>943</v>
      </c>
      <c r="H5" s="379">
        <f>+'q23'!H5</f>
        <v>970.42</v>
      </c>
      <c r="I5" s="379">
        <f>+'q23'!I5</f>
        <v>1005.09</v>
      </c>
      <c r="J5" s="379">
        <f>+'q23'!J5</f>
        <v>1041.99</v>
      </c>
      <c r="K5" s="379">
        <f>+'q23'!K5</f>
        <v>1082.77</v>
      </c>
      <c r="L5" s="379">
        <f>+'q23'!L5</f>
        <v>1143.45</v>
      </c>
      <c r="M5" s="379">
        <f>+'q23'!M5</f>
        <v>1219.8699999999999</v>
      </c>
      <c r="N5" s="261"/>
      <c r="P5" s="248" t="s">
        <v>12</v>
      </c>
      <c r="Q5" s="440" t="s">
        <v>45</v>
      </c>
      <c r="R5" s="485">
        <f>+(R8+R11+R14+R17+R20+R23+R26+R29+R32+R35+R38)/q14a!C5</f>
        <v>912.1820503609872</v>
      </c>
      <c r="S5" s="485">
        <f>+(S8+S11+S14+S17+S20+S23+S26+S29+S32+S35+S38)/q14a!D5</f>
        <v>909.49253090405216</v>
      </c>
      <c r="T5" s="485">
        <f>+(T8+T11+T14+T17+T20+T23+T26+T29+T32+T35+T38)/q14a!E5</f>
        <v>913.92463059939291</v>
      </c>
      <c r="U5" s="485">
        <f>+(U8+U11+U14+U17+U20+U23+U26+U29+U32+U35+U38)/q14a!F5</f>
        <v>924.93835443968135</v>
      </c>
      <c r="V5" s="485">
        <f>+(V8+V11+V14+V17+V20+V23+V26+V29+V32+V35+V38)/q14a!G5</f>
        <v>943.00065432330973</v>
      </c>
      <c r="W5" s="485">
        <f>+(W8+W11+W14+W17+W20+W23+W26+W29+W32+W35+W38)/q14a!H5</f>
        <v>970.41573133634029</v>
      </c>
      <c r="X5" s="485">
        <f>+(X8+X11+X14+X17+X20+X23+X26+X29+X32+X35+X38)/q14a!I5</f>
        <v>1005.0882489786776</v>
      </c>
      <c r="Y5" s="485">
        <f>+(Y8+Y11+Y14+Y17+Y20+Y23+Y26+Y29+Y32+Y35+Y38)/q14a!J5</f>
        <v>1041.9953589730319</v>
      </c>
      <c r="Z5" s="485">
        <f>+(Z8+Z11+Z14+Z17+Z20+Z23+Z26+Z29+Z32+Z35+Z38)/q14a!K5</f>
        <v>1082.7719790747408</v>
      </c>
      <c r="AA5" s="485">
        <f>+(AA8+AA11+AA14+AA17+AA20+AA23+AA26+AA29+AA32+AA35+AA38)/q14a!L5</f>
        <v>1143.4452590005114</v>
      </c>
      <c r="AB5" s="485">
        <f>+(AB8+AB11+AB14+AB17+AB20+AB23+AB26+AB29+AB32+AB35+AB38)/q14a!M5</f>
        <v>1219.8700511225481</v>
      </c>
      <c r="AD5" s="659">
        <f>+R5-C5</f>
        <v>2.0503609872548623E-3</v>
      </c>
      <c r="AE5" s="659">
        <f t="shared" ref="AE5:AN5" si="2">+S5-D5</f>
        <v>2.5309040521506176E-3</v>
      </c>
      <c r="AF5" s="659">
        <f t="shared" si="2"/>
        <v>-5.369400607037278E-3</v>
      </c>
      <c r="AG5" s="659">
        <f t="shared" si="2"/>
        <v>-1.6455603187068846E-3</v>
      </c>
      <c r="AH5" s="659">
        <f t="shared" si="2"/>
        <v>6.5432330973180797E-4</v>
      </c>
      <c r="AI5" s="659">
        <f t="shared" si="2"/>
        <v>-4.2686636596727112E-3</v>
      </c>
      <c r="AJ5" s="659">
        <f t="shared" si="2"/>
        <v>-1.7510213224340987E-3</v>
      </c>
      <c r="AK5" s="659">
        <f t="shared" si="2"/>
        <v>5.3589730318890361E-3</v>
      </c>
      <c r="AL5" s="659">
        <f t="shared" si="2"/>
        <v>1.979074740802389E-3</v>
      </c>
      <c r="AM5" s="659">
        <f t="shared" si="2"/>
        <v>-4.7409994886038476E-3</v>
      </c>
      <c r="AN5" s="659">
        <f t="shared" si="2"/>
        <v>5.1122548256898881E-5</v>
      </c>
    </row>
    <row r="6" spans="1:40" s="262" customFormat="1" ht="12.75" customHeight="1">
      <c r="A6" s="238"/>
      <c r="B6" s="440" t="str">
        <f>+'q23'!B6</f>
        <v>H</v>
      </c>
      <c r="C6" s="380">
        <f>+'q23'!C6</f>
        <v>993.79</v>
      </c>
      <c r="D6" s="380">
        <f>+'q23'!D6</f>
        <v>985.02</v>
      </c>
      <c r="E6" s="380">
        <f>+'q23'!E6</f>
        <v>990.05</v>
      </c>
      <c r="F6" s="380">
        <f>+'q23'!F6</f>
        <v>997.38</v>
      </c>
      <c r="G6" s="380">
        <f>+'q23'!G6</f>
        <v>1012.25</v>
      </c>
      <c r="H6" s="380">
        <f>+'q23'!H6</f>
        <v>1039.08</v>
      </c>
      <c r="I6" s="380">
        <f>+'q23'!I6</f>
        <v>1073.82</v>
      </c>
      <c r="J6" s="380">
        <f>+'q23'!J6</f>
        <v>1109.21</v>
      </c>
      <c r="K6" s="380">
        <f>+'q23'!K6</f>
        <v>1152.24</v>
      </c>
      <c r="L6" s="380">
        <f>+'q23'!L6</f>
        <v>1217.33</v>
      </c>
      <c r="M6" s="380">
        <f>+'q23'!M6</f>
        <v>1294.03</v>
      </c>
      <c r="P6" s="238"/>
      <c r="Q6" s="440" t="s">
        <v>53</v>
      </c>
      <c r="R6" s="485">
        <f>+(R9+R12+R15+R18+R21+R24+R27+R30+R33+R36+R39)/q14a!C6</f>
        <v>993.79217919279949</v>
      </c>
      <c r="S6" s="485">
        <f>+(S9+S12+S15+S18+S21+S24+S27+S30+S33+S36+S39)/q14a!D6</f>
        <v>985.02184845586191</v>
      </c>
      <c r="T6" s="485">
        <f>+(T9+T12+T15+T18+T21+T24+T27+T30+T33+T36+T39)/q14a!E6</f>
        <v>990.04520794670634</v>
      </c>
      <c r="U6" s="485">
        <f>+(U9+U12+U15+U18+U21+U24+U27+U30+U33+U36+U39)/q14a!F6</f>
        <v>997.37804035269096</v>
      </c>
      <c r="V6" s="485">
        <f>+(V9+V12+V15+V18+V21+V24+V27+V30+V33+V36+V39)/q14a!G6</f>
        <v>1012.2476562064314</v>
      </c>
      <c r="W6" s="485">
        <f>+(W9+W12+W15+W18+W21+W24+W27+W30+W33+W36+W39)/q14a!H6</f>
        <v>1039.0827114146</v>
      </c>
      <c r="X6" s="485">
        <f>+(X9+X12+X15+X18+X21+X24+X27+X30+X33+X36+X39)/q14a!I6</f>
        <v>1073.8186524352634</v>
      </c>
      <c r="Y6" s="485">
        <f>+(Y9+Y12+Y15+Y18+Y21+Y24+Y27+Y30+Y33+Y36+Y39)/q14a!J6</f>
        <v>1109.2130289380186</v>
      </c>
      <c r="Z6" s="485">
        <f>+(Z9+Z12+Z15+Z18+Z21+Z24+Z27+Z30+Z33+Z36+Z39)/q14a!K6</f>
        <v>1152.2373703695991</v>
      </c>
      <c r="AA6" s="485">
        <f>+(AA9+AA12+AA15+AA18+AA21+AA24+AA27+AA30+AA33+AA36+AA39)/q14a!L6</f>
        <v>1217.3277102972108</v>
      </c>
      <c r="AB6" s="485">
        <f>+(AB9+AB12+AB15+AB18+AB21+AB24+AB27+AB30+AB33+AB36+AB39)/q14a!M6</f>
        <v>1294.0330504074357</v>
      </c>
      <c r="AD6" s="659">
        <f t="shared" ref="AD6:AD7" si="3">+R6-C6</f>
        <v>2.1791927995309379E-3</v>
      </c>
      <c r="AE6" s="659">
        <f t="shared" ref="AE6:AE7" si="4">+S6-D6</f>
        <v>1.8484558619320524E-3</v>
      </c>
      <c r="AF6" s="659">
        <f t="shared" ref="AF6:AF7" si="5">+T6-E6</f>
        <v>-4.7920532936132076E-3</v>
      </c>
      <c r="AG6" s="659">
        <f t="shared" ref="AG6:AG7" si="6">+U6-F6</f>
        <v>-1.9596473090359723E-3</v>
      </c>
      <c r="AH6" s="659">
        <f t="shared" ref="AH6:AH7" si="7">+V6-G6</f>
        <v>-2.3437935685706179E-3</v>
      </c>
      <c r="AI6" s="659">
        <f t="shared" ref="AI6:AI7" si="8">+W6-H6</f>
        <v>2.7114146000712935E-3</v>
      </c>
      <c r="AJ6" s="659">
        <f t="shared" ref="AJ6:AJ7" si="9">+X6-I6</f>
        <v>-1.3475647365339682E-3</v>
      </c>
      <c r="AK6" s="659">
        <f t="shared" ref="AK6:AK7" si="10">+Y6-J6</f>
        <v>3.0289380185877235E-3</v>
      </c>
      <c r="AL6" s="659">
        <f t="shared" ref="AL6:AL7" si="11">+Z6-K6</f>
        <v>-2.6296304008610605E-3</v>
      </c>
      <c r="AM6" s="659">
        <f t="shared" ref="AM6:AM7" si="12">+AA6-L6</f>
        <v>-2.2897027890849131E-3</v>
      </c>
      <c r="AN6" s="659">
        <f t="shared" ref="AN6:AN7" si="13">+AB6-M6</f>
        <v>3.0504074356940691E-3</v>
      </c>
    </row>
    <row r="7" spans="1:40" s="262" customFormat="1" ht="12.75" customHeight="1">
      <c r="A7" s="238"/>
      <c r="B7" s="440" t="str">
        <f>+'q23'!B7</f>
        <v>M</v>
      </c>
      <c r="C7" s="380">
        <f>+'q23'!C7</f>
        <v>816.21</v>
      </c>
      <c r="D7" s="380">
        <f>+'q23'!D7</f>
        <v>820.25</v>
      </c>
      <c r="E7" s="380">
        <f>+'q23'!E7</f>
        <v>824.99</v>
      </c>
      <c r="F7" s="380">
        <f>+'q23'!F7</f>
        <v>840.26</v>
      </c>
      <c r="G7" s="380">
        <f>+'q23'!G7</f>
        <v>861.17</v>
      </c>
      <c r="H7" s="380">
        <f>+'q23'!H7</f>
        <v>888.56</v>
      </c>
      <c r="I7" s="380">
        <f>+'q23'!I7</f>
        <v>922.63</v>
      </c>
      <c r="J7" s="380">
        <f>+'q23'!J7</f>
        <v>960.27</v>
      </c>
      <c r="K7" s="380">
        <f>+'q23'!K7</f>
        <v>999.33</v>
      </c>
      <c r="L7" s="380">
        <f>+'q23'!L7</f>
        <v>1054.3599999999999</v>
      </c>
      <c r="M7" s="380">
        <f>+'q23'!M7</f>
        <v>1129.6400000000001</v>
      </c>
      <c r="P7" s="238"/>
      <c r="Q7" s="440" t="s">
        <v>54</v>
      </c>
      <c r="R7" s="485">
        <f>+(R10+R13+R16+R19+R22+R25+R28+R31+R34+R37+R40)/q14a!C7</f>
        <v>816.21306284364641</v>
      </c>
      <c r="S7" s="485">
        <f>+(S10+S13+S16+S19+S22+S25+S28+S31+S34+S37+S40)/q14a!D7</f>
        <v>820.25271609547281</v>
      </c>
      <c r="T7" s="485">
        <f>+(T10+T13+T16+T19+T22+T25+T28+T31+T34+T37+T40)/q14a!E7</f>
        <v>824.99093479794919</v>
      </c>
      <c r="U7" s="485">
        <f>+(U10+U13+U16+U19+U22+U25+U28+U31+U34+U37+U40)/q14a!F7</f>
        <v>840.26119396132265</v>
      </c>
      <c r="V7" s="485">
        <f>+(V10+V13+V16+V19+V22+V25+V28+V31+V34+V37+V40)/q14a!G7</f>
        <v>861.16748318847431</v>
      </c>
      <c r="W7" s="485">
        <f>+(W10+W13+W16+W19+W22+W25+W28+W31+W34+W37+W40)/q14a!H7</f>
        <v>888.55792045038879</v>
      </c>
      <c r="X7" s="485">
        <f>+(X10+X13+X16+X19+X22+X25+X28+X31+X34+X37+X40)/q14a!I7</f>
        <v>922.62383895129233</v>
      </c>
      <c r="Y7" s="485">
        <f>+(Y10+Y13+Y16+Y19+Y22+Y25+Y28+Y31+Y34+Y37+Y40)/q14a!J7</f>
        <v>960.26808919069185</v>
      </c>
      <c r="Z7" s="485">
        <f>+(Z10+Z13+Z16+Z19+Z22+Z25+Z28+Z31+Z34+Z37+Z40)/q14a!K7</f>
        <v>999.32436655433298</v>
      </c>
      <c r="AA7" s="485">
        <f>+(AA10+AA13+AA16+AA19+AA22+AA25+AA28+AA31+AA34+AA37+AA40)/q14a!L7</f>
        <v>1054.3613187509923</v>
      </c>
      <c r="AB7" s="485">
        <f>+(AB10+AB13+AB16+AB19+AB22+AB25+AB28+AB31+AB34+AB37+AB40)/q14a!M7</f>
        <v>1129.643035060488</v>
      </c>
      <c r="AD7" s="659">
        <f t="shared" si="3"/>
        <v>3.062843646375768E-3</v>
      </c>
      <c r="AE7" s="659">
        <f t="shared" si="4"/>
        <v>2.716095472806046E-3</v>
      </c>
      <c r="AF7" s="659">
        <f t="shared" si="5"/>
        <v>9.3479794918494008E-4</v>
      </c>
      <c r="AG7" s="659">
        <f t="shared" si="6"/>
        <v>1.1939613226559231E-3</v>
      </c>
      <c r="AH7" s="659">
        <f t="shared" si="7"/>
        <v>-2.5168115256519741E-3</v>
      </c>
      <c r="AI7" s="659">
        <f t="shared" si="8"/>
        <v>-2.0795496111531975E-3</v>
      </c>
      <c r="AJ7" s="659">
        <f t="shared" si="9"/>
        <v>-6.16104870766776E-3</v>
      </c>
      <c r="AK7" s="659">
        <f t="shared" si="10"/>
        <v>-1.9108093081285915E-3</v>
      </c>
      <c r="AL7" s="659">
        <f t="shared" si="11"/>
        <v>-5.6334456670583677E-3</v>
      </c>
      <c r="AM7" s="659">
        <f t="shared" si="12"/>
        <v>1.3187509923682228E-3</v>
      </c>
      <c r="AN7" s="659">
        <f t="shared" si="13"/>
        <v>3.0350604879458842E-3</v>
      </c>
    </row>
    <row r="8" spans="1:40" s="262" customFormat="1" ht="16.5" customHeight="1">
      <c r="A8" s="263" t="str">
        <f>+'q23'!A8</f>
        <v>1-4 pessoas</v>
      </c>
      <c r="B8" s="440" t="str">
        <f>+'q23'!B8</f>
        <v>T</v>
      </c>
      <c r="C8" s="380">
        <f>+'q23'!C8</f>
        <v>690.07</v>
      </c>
      <c r="D8" s="380">
        <f>+'q23'!D8</f>
        <v>697.48</v>
      </c>
      <c r="E8" s="380">
        <f>+'q23'!E8</f>
        <v>695.67</v>
      </c>
      <c r="F8" s="380">
        <f>+'q23'!F8</f>
        <v>713.54</v>
      </c>
      <c r="G8" s="380">
        <f>+'q23'!G8</f>
        <v>735.68</v>
      </c>
      <c r="H8" s="380">
        <f>+'q23'!H8</f>
        <v>760.66</v>
      </c>
      <c r="I8" s="380">
        <f>+'q23'!I8</f>
        <v>790.55</v>
      </c>
      <c r="J8" s="380">
        <f>+'q23'!J8</f>
        <v>825.98</v>
      </c>
      <c r="K8" s="380">
        <f>+'q23'!K8</f>
        <v>863.77</v>
      </c>
      <c r="L8" s="380">
        <f>+'q23'!L8</f>
        <v>911.12</v>
      </c>
      <c r="M8" s="380">
        <f>+'q23'!M8</f>
        <v>979.13</v>
      </c>
      <c r="P8" s="263" t="s">
        <v>32</v>
      </c>
      <c r="Q8" s="440" t="s">
        <v>45</v>
      </c>
      <c r="R8" s="485">
        <f>+$C$8*q14a!$C$8</f>
        <v>190745008.98000002</v>
      </c>
      <c r="S8" s="485">
        <f>+$D$8*q14a!$D$8</f>
        <v>193865263.48000002</v>
      </c>
      <c r="T8" s="485">
        <f>+$E$8*q14a!$E$8</f>
        <v>195255785.91</v>
      </c>
      <c r="U8" s="485">
        <f>+$F$8*q14a!$F$8</f>
        <v>201600023.89999998</v>
      </c>
      <c r="V8" s="485">
        <f>+$G$8*q14a!$G$8</f>
        <v>206278786.55999997</v>
      </c>
      <c r="W8" s="485">
        <f>+$H$8*q14a!$H$8</f>
        <v>213110308.90000001</v>
      </c>
      <c r="X8" s="485">
        <f>+$I$8*q14a!$I$8</f>
        <v>214092798.25</v>
      </c>
      <c r="Y8" s="485">
        <f>+$J$8*q14a!$J$8</f>
        <v>218244565.5</v>
      </c>
      <c r="Z8" s="485">
        <f>+$K$8*q14a!$K$8</f>
        <v>227966178.40000001</v>
      </c>
      <c r="AA8" s="485">
        <f>+$L$8*q14a!$L$8</f>
        <v>250244574.72</v>
      </c>
      <c r="AB8" s="485">
        <f>+$M$8*q14a!$M$8</f>
        <v>271298319.52999997</v>
      </c>
    </row>
    <row r="9" spans="1:40" s="262" customFormat="1" ht="12.75" customHeight="1">
      <c r="A9" s="256"/>
      <c r="B9" s="270" t="str">
        <f>+'q23'!B9</f>
        <v>H</v>
      </c>
      <c r="C9" s="381">
        <f>+'q23'!C9</f>
        <v>729.63</v>
      </c>
      <c r="D9" s="381">
        <f>+'q23'!D9</f>
        <v>734.81</v>
      </c>
      <c r="E9" s="381">
        <f>+'q23'!E9</f>
        <v>733.43</v>
      </c>
      <c r="F9" s="381">
        <f>+'q23'!F9</f>
        <v>748.82</v>
      </c>
      <c r="G9" s="381">
        <f>+'q23'!G9</f>
        <v>771.26</v>
      </c>
      <c r="H9" s="381">
        <f>+'q23'!H9</f>
        <v>796.74</v>
      </c>
      <c r="I9" s="381">
        <f>+'q23'!I9</f>
        <v>828.53</v>
      </c>
      <c r="J9" s="381">
        <f>+'q23'!J9</f>
        <v>863.86</v>
      </c>
      <c r="K9" s="381">
        <f>+'q23'!K9</f>
        <v>904.44</v>
      </c>
      <c r="L9" s="381">
        <f>+'q23'!L9</f>
        <v>953.95</v>
      </c>
      <c r="M9" s="381">
        <f>+'q23'!M9</f>
        <v>1022.11</v>
      </c>
      <c r="P9" s="256"/>
      <c r="Q9" s="270" t="s">
        <v>53</v>
      </c>
      <c r="R9" s="485">
        <f>+$C$9*q14a!$C$9</f>
        <v>101524366.34999999</v>
      </c>
      <c r="S9" s="485">
        <f>+$D$9*q14a!$D$9</f>
        <v>102842537.97999999</v>
      </c>
      <c r="T9" s="485">
        <f>+$E$9*q14a!$E$9</f>
        <v>102393428.86999999</v>
      </c>
      <c r="U9" s="485">
        <f>+$F$9*q14a!$F$9</f>
        <v>105964769.38000001</v>
      </c>
      <c r="V9" s="485">
        <f>+$G$9*q14a!$G$9</f>
        <v>108404449.3</v>
      </c>
      <c r="W9" s="485">
        <f>+$H$9*q14a!$H$9</f>
        <v>112206487.68000001</v>
      </c>
      <c r="X9" s="485">
        <f>+$I$9*q14a!$I$9</f>
        <v>113091859.41</v>
      </c>
      <c r="Y9" s="485">
        <f>+$J$9*q14a!$J$9</f>
        <v>116441417.12</v>
      </c>
      <c r="Z9" s="485">
        <f>+$K$9*q14a!$K$9</f>
        <v>121158782.40000001</v>
      </c>
      <c r="AA9" s="485">
        <f>+$L$9*q14a!$L$9</f>
        <v>132710662.15000001</v>
      </c>
      <c r="AB9" s="485">
        <f>+$M$9*q14a!$M$9</f>
        <v>143374436.03</v>
      </c>
    </row>
    <row r="10" spans="1:40" s="262" customFormat="1" ht="12.75" customHeight="1">
      <c r="A10" s="256"/>
      <c r="B10" s="270" t="str">
        <f>+'q23'!B10</f>
        <v>M</v>
      </c>
      <c r="C10" s="381">
        <f>+'q23'!C10</f>
        <v>649.98</v>
      </c>
      <c r="D10" s="381">
        <f>+'q23'!D10</f>
        <v>659.62</v>
      </c>
      <c r="E10" s="381">
        <f>+'q23'!E10</f>
        <v>658.3</v>
      </c>
      <c r="F10" s="381">
        <f>+'q23'!F10</f>
        <v>678.14</v>
      </c>
      <c r="G10" s="381">
        <f>+'q23'!G10</f>
        <v>699.92</v>
      </c>
      <c r="H10" s="381">
        <f>+'q23'!H10</f>
        <v>724.19</v>
      </c>
      <c r="I10" s="381">
        <f>+'q23'!I10</f>
        <v>751.95</v>
      </c>
      <c r="J10" s="381">
        <f>+'q23'!J10</f>
        <v>786.53</v>
      </c>
      <c r="K10" s="381">
        <f>+'q23'!K10</f>
        <v>821.86</v>
      </c>
      <c r="L10" s="381">
        <f>+'q23'!L10</f>
        <v>867.16</v>
      </c>
      <c r="M10" s="381">
        <f>+'q23'!M10</f>
        <v>935.05</v>
      </c>
      <c r="P10" s="256"/>
      <c r="Q10" s="270" t="s">
        <v>54</v>
      </c>
      <c r="R10" s="485">
        <f>+$C$10*q14a!$C$10</f>
        <v>89222104.620000005</v>
      </c>
      <c r="S10" s="485">
        <f>+$D$10*q14a!$D$10</f>
        <v>91022942.659999996</v>
      </c>
      <c r="T10" s="485">
        <f>+$E$10*q14a!$E$10</f>
        <v>92862431.199999988</v>
      </c>
      <c r="U10" s="485">
        <f>+$F$10*q14a!$F$10</f>
        <v>95635371.640000001</v>
      </c>
      <c r="V10" s="485">
        <f>+$G$10*q14a!$G$10</f>
        <v>97874713.039999992</v>
      </c>
      <c r="W10" s="485">
        <f>+$H$10*q14a!$H$10</f>
        <v>100903565.27000001</v>
      </c>
      <c r="X10" s="485">
        <f>+$I$10*q14a!$I$10</f>
        <v>101000420.10000001</v>
      </c>
      <c r="Y10" s="485">
        <f>+$J$10*q14a!$J$10</f>
        <v>101802937.48999999</v>
      </c>
      <c r="Z10" s="485">
        <f>+$K$10*q14a!$K$10</f>
        <v>106808925.60000001</v>
      </c>
      <c r="AA10" s="485">
        <f>+$L$10*q14a!$L$10</f>
        <v>117533999.23999999</v>
      </c>
      <c r="AB10" s="485">
        <f>+$M$10*q14a!$M$10</f>
        <v>127922320.39999999</v>
      </c>
    </row>
    <row r="11" spans="1:40" s="264" customFormat="1" ht="16.5" customHeight="1">
      <c r="A11" s="263" t="str">
        <f>+'q23'!A11</f>
        <v>5-9 pessoas</v>
      </c>
      <c r="B11" s="440" t="str">
        <f>+'q23'!B11</f>
        <v>T</v>
      </c>
      <c r="C11" s="380">
        <f>+'q23'!C11</f>
        <v>793.72</v>
      </c>
      <c r="D11" s="380">
        <f>+'q23'!D11</f>
        <v>790.63</v>
      </c>
      <c r="E11" s="380">
        <f>+'q23'!E11</f>
        <v>788.89</v>
      </c>
      <c r="F11" s="380">
        <f>+'q23'!F11</f>
        <v>798.57</v>
      </c>
      <c r="G11" s="380">
        <f>+'q23'!G11</f>
        <v>812.57</v>
      </c>
      <c r="H11" s="380">
        <f>+'q23'!H11</f>
        <v>834.51</v>
      </c>
      <c r="I11" s="380">
        <f>+'q23'!I11</f>
        <v>857.67</v>
      </c>
      <c r="J11" s="380">
        <f>+'q23'!J11</f>
        <v>896.14</v>
      </c>
      <c r="K11" s="380">
        <f>+'q23'!K11</f>
        <v>929.36</v>
      </c>
      <c r="L11" s="380">
        <f>+'q23'!L11</f>
        <v>974.77</v>
      </c>
      <c r="M11" s="380">
        <f>+'q23'!M11</f>
        <v>1037.71</v>
      </c>
      <c r="P11" s="263" t="s">
        <v>33</v>
      </c>
      <c r="Q11" s="440" t="s">
        <v>45</v>
      </c>
      <c r="R11" s="485">
        <f>+$C$11*q14a!$C$11</f>
        <v>210374692.28</v>
      </c>
      <c r="S11" s="485">
        <f>+$D$11*q14a!$D$11</f>
        <v>211752851.63999999</v>
      </c>
      <c r="T11" s="485">
        <f>+$E$11*q14a!$E$11</f>
        <v>216159804.44999999</v>
      </c>
      <c r="U11" s="485">
        <f>+$F$11*q14a!$F$11</f>
        <v>224914844.79000002</v>
      </c>
      <c r="V11" s="485">
        <f>+$G$11*q14a!$G$11</f>
        <v>232951630.45000002</v>
      </c>
      <c r="W11" s="485">
        <f>+$H$11*q14a!$H$11</f>
        <v>244256069.94</v>
      </c>
      <c r="X11" s="485">
        <f>+$I$11*q14a!$I$11</f>
        <v>250253525.60999998</v>
      </c>
      <c r="Y11" s="485">
        <f>+$J$11*q14a!$J$11</f>
        <v>251675542.16</v>
      </c>
      <c r="Z11" s="485">
        <f>+$K$11*q14a!$K$11</f>
        <v>262210559.75999999</v>
      </c>
      <c r="AA11" s="485">
        <f>+$L$11*q14a!$L$11</f>
        <v>290537021.88999999</v>
      </c>
      <c r="AB11" s="485">
        <f>+$M$11*q14a!$M$11</f>
        <v>317416810.22000003</v>
      </c>
    </row>
    <row r="12" spans="1:40" s="262" customFormat="1" ht="12.75" customHeight="1">
      <c r="A12" s="256"/>
      <c r="B12" s="270" t="str">
        <f>+'q23'!B12</f>
        <v>H</v>
      </c>
      <c r="C12" s="381">
        <f>+'q23'!C12</f>
        <v>834.26</v>
      </c>
      <c r="D12" s="381">
        <f>+'q23'!D12</f>
        <v>825.56</v>
      </c>
      <c r="E12" s="381">
        <f>+'q23'!E12</f>
        <v>821.5</v>
      </c>
      <c r="F12" s="381">
        <f>+'q23'!F12</f>
        <v>829.86</v>
      </c>
      <c r="G12" s="381">
        <f>+'q23'!G12</f>
        <v>841.87</v>
      </c>
      <c r="H12" s="381">
        <f>+'q23'!H12</f>
        <v>865.08</v>
      </c>
      <c r="I12" s="381">
        <f>+'q23'!I12</f>
        <v>887.68</v>
      </c>
      <c r="J12" s="381">
        <f>+'q23'!J12</f>
        <v>925.23</v>
      </c>
      <c r="K12" s="381">
        <f>+'q23'!K12</f>
        <v>958.85</v>
      </c>
      <c r="L12" s="381">
        <f>+'q23'!L12</f>
        <v>1007.99</v>
      </c>
      <c r="M12" s="381">
        <f>+'q23'!M12</f>
        <v>1070.58</v>
      </c>
      <c r="P12" s="256"/>
      <c r="Q12" s="270" t="s">
        <v>53</v>
      </c>
      <c r="R12" s="485">
        <f>+$C$12*q14a!$C$12</f>
        <v>120150125.2</v>
      </c>
      <c r="S12" s="485">
        <f>+$D$12*q14a!$D$12</f>
        <v>120120631.11999999</v>
      </c>
      <c r="T12" s="485">
        <f>+$E$12*q14a!$E$12</f>
        <v>121613217</v>
      </c>
      <c r="U12" s="485">
        <f>+$F$12*q14a!$F$12</f>
        <v>126460705.68000001</v>
      </c>
      <c r="V12" s="485">
        <f>+$G$12*q14a!$G$12</f>
        <v>130071440.61</v>
      </c>
      <c r="W12" s="485">
        <f>+$H$12*q14a!$H$12</f>
        <v>136730219.40000001</v>
      </c>
      <c r="X12" s="485">
        <f>+$I$12*q14a!$I$12</f>
        <v>140224146.56</v>
      </c>
      <c r="Y12" s="485">
        <f>+$J$12*q14a!$J$12</f>
        <v>142648260.47999999</v>
      </c>
      <c r="Z12" s="485">
        <f>+$K$12*q14a!$K$12</f>
        <v>147623587.15000001</v>
      </c>
      <c r="AA12" s="485">
        <f>+$L$12*q14a!$L$12</f>
        <v>162801472.89000002</v>
      </c>
      <c r="AB12" s="485">
        <f>+$M$12*q14a!$M$12</f>
        <v>178055653.85999998</v>
      </c>
    </row>
    <row r="13" spans="1:40" s="262" customFormat="1" ht="12.75" customHeight="1">
      <c r="A13" s="256"/>
      <c r="B13" s="270" t="str">
        <f>+'q23'!B13</f>
        <v>M</v>
      </c>
      <c r="C13" s="381">
        <f>+'q23'!C13</f>
        <v>745.49</v>
      </c>
      <c r="D13" s="381">
        <f>+'q23'!D13</f>
        <v>749.08</v>
      </c>
      <c r="E13" s="381">
        <f>+'q23'!E13</f>
        <v>750.57</v>
      </c>
      <c r="F13" s="381">
        <f>+'q23'!F13</f>
        <v>761.68</v>
      </c>
      <c r="G13" s="381">
        <f>+'q23'!G13</f>
        <v>778.32</v>
      </c>
      <c r="H13" s="381">
        <f>+'q23'!H13</f>
        <v>798.63</v>
      </c>
      <c r="I13" s="381">
        <f>+'q23'!I13</f>
        <v>822.24</v>
      </c>
      <c r="J13" s="381">
        <f>+'q23'!J13</f>
        <v>860.72</v>
      </c>
      <c r="K13" s="381">
        <f>+'q23'!K13</f>
        <v>893.93</v>
      </c>
      <c r="L13" s="381">
        <f>+'q23'!L13</f>
        <v>935.47</v>
      </c>
      <c r="M13" s="381">
        <f>+'q23'!M13</f>
        <v>998.53</v>
      </c>
      <c r="P13" s="256"/>
      <c r="Q13" s="270" t="s">
        <v>54</v>
      </c>
      <c r="R13" s="485">
        <f>+$C$13*q14a!$C$13</f>
        <v>90225909.210000008</v>
      </c>
      <c r="S13" s="485">
        <f>+$D$13*q14a!$D$13</f>
        <v>91631960.079999998</v>
      </c>
      <c r="T13" s="485">
        <f>+$E$13*q14a!$E$13</f>
        <v>94547051.190000013</v>
      </c>
      <c r="U13" s="485">
        <f>+$F$13*q14a!$F$13</f>
        <v>98453995.11999999</v>
      </c>
      <c r="V13" s="485">
        <f>+$G$13*q14a!$G$13</f>
        <v>102879894.24000001</v>
      </c>
      <c r="W13" s="485">
        <f>+$H$13*q14a!$H$13</f>
        <v>107526744.56999999</v>
      </c>
      <c r="X13" s="485">
        <f>+$I$13*q14a!$I$13</f>
        <v>110028867.84</v>
      </c>
      <c r="Y13" s="485">
        <f>+$J$13*q14a!$J$13</f>
        <v>109025680.96000001</v>
      </c>
      <c r="Z13" s="485">
        <f>+$K$13*q14a!$K$13</f>
        <v>114585735.25999999</v>
      </c>
      <c r="AA13" s="485">
        <f>+$L$13*q14a!$L$13</f>
        <v>127734686.62</v>
      </c>
      <c r="AB13" s="485">
        <f>+$M$13*q14a!$M$13</f>
        <v>139359839.44999999</v>
      </c>
    </row>
    <row r="14" spans="1:40" s="264" customFormat="1" ht="16.5" customHeight="1">
      <c r="A14" s="263" t="str">
        <f>+'q23'!A14</f>
        <v>10-19 pessoas</v>
      </c>
      <c r="B14" s="440" t="str">
        <f>+'q23'!B14</f>
        <v>T</v>
      </c>
      <c r="C14" s="380">
        <f>+'q23'!C14</f>
        <v>840.64</v>
      </c>
      <c r="D14" s="380">
        <f>+'q23'!D14</f>
        <v>838.91</v>
      </c>
      <c r="E14" s="380">
        <f>+'q23'!E14</f>
        <v>838.98</v>
      </c>
      <c r="F14" s="380">
        <f>+'q23'!F14</f>
        <v>845.97</v>
      </c>
      <c r="G14" s="380">
        <f>+'q23'!G14</f>
        <v>862.18</v>
      </c>
      <c r="H14" s="380">
        <f>+'q23'!H14</f>
        <v>883.97</v>
      </c>
      <c r="I14" s="380">
        <f>+'q23'!I14</f>
        <v>910.61</v>
      </c>
      <c r="J14" s="380">
        <f>+'q23'!J14</f>
        <v>952.24</v>
      </c>
      <c r="K14" s="380">
        <f>+'q23'!K14</f>
        <v>984.81</v>
      </c>
      <c r="L14" s="380">
        <f>+'q23'!L14</f>
        <v>1032.05</v>
      </c>
      <c r="M14" s="380">
        <f>+'q23'!M14</f>
        <v>1096.8699999999999</v>
      </c>
      <c r="P14" s="263" t="s">
        <v>34</v>
      </c>
      <c r="Q14" s="440" t="s">
        <v>45</v>
      </c>
      <c r="R14" s="485">
        <f>+$C$14*q14a!$C$14</f>
        <v>215479569.91999999</v>
      </c>
      <c r="S14" s="485">
        <f>+$D$14*q14a!$D$14</f>
        <v>221452945.06999999</v>
      </c>
      <c r="T14" s="485">
        <f>+$E$14*q14a!$E$14</f>
        <v>228672388.80000001</v>
      </c>
      <c r="U14" s="485">
        <f>+$F$14*q14a!$F$14</f>
        <v>236987497.89000002</v>
      </c>
      <c r="V14" s="485">
        <f>+$G$14*q14a!$G$14</f>
        <v>251899681.88</v>
      </c>
      <c r="W14" s="485">
        <f>+$H$14*q14a!$H$14</f>
        <v>268623455.50999999</v>
      </c>
      <c r="X14" s="485">
        <f>+$I$14*q14a!$I$14</f>
        <v>280388656.93000001</v>
      </c>
      <c r="Y14" s="485">
        <f>+$J$14*q14a!$J$14</f>
        <v>277958856</v>
      </c>
      <c r="Z14" s="485">
        <f>+$K$14*q14a!$K$14</f>
        <v>293226192.69</v>
      </c>
      <c r="AA14" s="485">
        <f>+$L$14*q14a!$L$14</f>
        <v>328547957.25</v>
      </c>
      <c r="AB14" s="485">
        <f>+$M$14*q14a!$M$14</f>
        <v>362957573.60999995</v>
      </c>
    </row>
    <row r="15" spans="1:40" s="262" customFormat="1" ht="12.75" customHeight="1">
      <c r="A15" s="256"/>
      <c r="B15" s="270" t="str">
        <f>+'q23'!B15</f>
        <v>H</v>
      </c>
      <c r="C15" s="381">
        <f>+'q23'!C15</f>
        <v>897.7</v>
      </c>
      <c r="D15" s="381">
        <f>+'q23'!D15</f>
        <v>890.38</v>
      </c>
      <c r="E15" s="381">
        <f>+'q23'!E15</f>
        <v>891.44</v>
      </c>
      <c r="F15" s="381">
        <f>+'q23'!F15</f>
        <v>893.1</v>
      </c>
      <c r="G15" s="381">
        <f>+'q23'!G15</f>
        <v>906.12</v>
      </c>
      <c r="H15" s="381">
        <f>+'q23'!H15</f>
        <v>926.57</v>
      </c>
      <c r="I15" s="381">
        <f>+'q23'!I15</f>
        <v>954.96</v>
      </c>
      <c r="J15" s="381">
        <f>+'q23'!J15</f>
        <v>993.22</v>
      </c>
      <c r="K15" s="381">
        <f>+'q23'!K15</f>
        <v>1028.73</v>
      </c>
      <c r="L15" s="381">
        <f>+'q23'!L15</f>
        <v>1076.53</v>
      </c>
      <c r="M15" s="381">
        <f>+'q23'!M15</f>
        <v>1139.03</v>
      </c>
      <c r="P15" s="256"/>
      <c r="Q15" s="270" t="s">
        <v>53</v>
      </c>
      <c r="R15" s="485">
        <f>+$C$15*q14a!$C$15</f>
        <v>128405212.60000001</v>
      </c>
      <c r="S15" s="485">
        <f>+$D$15*q14a!$D$15</f>
        <v>130860038.98</v>
      </c>
      <c r="T15" s="485">
        <f>+$E$15*q14a!$E$15</f>
        <v>134184006.00000001</v>
      </c>
      <c r="U15" s="485">
        <f>+$F$15*q14a!$F$15</f>
        <v>138921705</v>
      </c>
      <c r="V15" s="485">
        <f>+$G$15*q14a!$G$15</f>
        <v>147643192.80000001</v>
      </c>
      <c r="W15" s="485">
        <f>+$H$15*q14a!$H$15</f>
        <v>156979489.40000001</v>
      </c>
      <c r="X15" s="485">
        <f>+$I$15*q14a!$I$15</f>
        <v>164828960.88</v>
      </c>
      <c r="Y15" s="485">
        <f>+$J$15*q14a!$J$15</f>
        <v>166086248.40000001</v>
      </c>
      <c r="Z15" s="485">
        <f>+$K$15*q14a!$K$15</f>
        <v>173250476.75999999</v>
      </c>
      <c r="AA15" s="485">
        <f>+$L$15*q14a!$L$15</f>
        <v>193775400</v>
      </c>
      <c r="AB15" s="485">
        <f>+$M$15*q14a!$M$15</f>
        <v>212656901</v>
      </c>
    </row>
    <row r="16" spans="1:40" s="262" customFormat="1" ht="12.75" customHeight="1">
      <c r="A16" s="256"/>
      <c r="B16" s="270" t="str">
        <f>+'q23'!B16</f>
        <v>M</v>
      </c>
      <c r="C16" s="381">
        <f>+'q23'!C16</f>
        <v>768.6</v>
      </c>
      <c r="D16" s="381">
        <f>+'q23'!D16</f>
        <v>774.26</v>
      </c>
      <c r="E16" s="381">
        <f>+'q23'!E16</f>
        <v>774.28</v>
      </c>
      <c r="F16" s="381">
        <f>+'q23'!F16</f>
        <v>787.12</v>
      </c>
      <c r="G16" s="381">
        <f>+'q23'!G16</f>
        <v>806.77</v>
      </c>
      <c r="H16" s="381">
        <f>+'q23'!H16</f>
        <v>830.31</v>
      </c>
      <c r="I16" s="381">
        <f>+'q23'!I16</f>
        <v>854.04</v>
      </c>
      <c r="J16" s="381">
        <f>+'q23'!J16</f>
        <v>897.29</v>
      </c>
      <c r="K16" s="381">
        <f>+'q23'!K16</f>
        <v>927.62</v>
      </c>
      <c r="L16" s="381">
        <f>+'q23'!L16</f>
        <v>974.17</v>
      </c>
      <c r="M16" s="381">
        <f>+'q23'!M16</f>
        <v>1042.27</v>
      </c>
      <c r="P16" s="256"/>
      <c r="Q16" s="270" t="s">
        <v>54</v>
      </c>
      <c r="R16" s="485">
        <f>+$C$16*q14a!$C$16</f>
        <v>87074694</v>
      </c>
      <c r="S16" s="485">
        <f>+$D$16*q14a!$D$16</f>
        <v>90593065.560000002</v>
      </c>
      <c r="T16" s="485">
        <f>+$E$16*q14a!$E$16</f>
        <v>94489259.799999997</v>
      </c>
      <c r="U16" s="485">
        <f>+$F$16*q14a!$F$16</f>
        <v>98064919.439999998</v>
      </c>
      <c r="V16" s="485">
        <f>+$G$16*q14a!$G$16</f>
        <v>104255660.02</v>
      </c>
      <c r="W16" s="485">
        <f>+$H$16*q14a!$H$16</f>
        <v>111645973.52999999</v>
      </c>
      <c r="X16" s="485">
        <f>+$I$16*q14a!$I$16</f>
        <v>115560152.39999999</v>
      </c>
      <c r="Y16" s="485">
        <f>+$J$16*q14a!$J$16</f>
        <v>111874117.19999999</v>
      </c>
      <c r="Z16" s="485">
        <f>+$K$16*q14a!$K$16</f>
        <v>119975587.94</v>
      </c>
      <c r="AA16" s="485">
        <f>+$L$16*q14a!$L$16</f>
        <v>134771548.65000001</v>
      </c>
      <c r="AB16" s="485">
        <f>+$M$16*q14a!$M$16</f>
        <v>150298460.81</v>
      </c>
    </row>
    <row r="17" spans="1:28" s="264" customFormat="1" ht="16.5" customHeight="1">
      <c r="A17" s="263" t="str">
        <f>+'q23'!A17</f>
        <v>20-49 pessoas</v>
      </c>
      <c r="B17" s="440" t="str">
        <f>+'q23'!B17</f>
        <v>T</v>
      </c>
      <c r="C17" s="380">
        <f>+'q23'!C17</f>
        <v>910.93</v>
      </c>
      <c r="D17" s="380">
        <f>+'q23'!D17</f>
        <v>903.34</v>
      </c>
      <c r="E17" s="380">
        <f>+'q23'!E17</f>
        <v>904.25</v>
      </c>
      <c r="F17" s="380">
        <f>+'q23'!F17</f>
        <v>910.56</v>
      </c>
      <c r="G17" s="380">
        <f>+'q23'!G17</f>
        <v>922.47</v>
      </c>
      <c r="H17" s="380">
        <f>+'q23'!H17</f>
        <v>946.8</v>
      </c>
      <c r="I17" s="380">
        <f>+'q23'!I17</f>
        <v>977.5</v>
      </c>
      <c r="J17" s="380">
        <f>+'q23'!J17</f>
        <v>1017.98</v>
      </c>
      <c r="K17" s="380">
        <f>+'q23'!K17</f>
        <v>1054.06</v>
      </c>
      <c r="L17" s="380">
        <f>+'q23'!L17</f>
        <v>1098.6600000000001</v>
      </c>
      <c r="M17" s="380">
        <f>+'q23'!M17</f>
        <v>1176.8699999999999</v>
      </c>
      <c r="P17" s="263" t="s">
        <v>35</v>
      </c>
      <c r="Q17" s="440" t="s">
        <v>45</v>
      </c>
      <c r="R17" s="485">
        <f>+$C$17*q14a!$C$17</f>
        <v>309385532.40999997</v>
      </c>
      <c r="S17" s="485">
        <f>+$D$17*q14a!$D$17</f>
        <v>313995563.96000004</v>
      </c>
      <c r="T17" s="485">
        <f>+$E$17*q14a!$E$17</f>
        <v>324567878</v>
      </c>
      <c r="U17" s="485">
        <f>+$F$17*q14a!$F$17</f>
        <v>338491574.39999998</v>
      </c>
      <c r="V17" s="485">
        <f>+$G$17*q14a!$G$17</f>
        <v>355493186.37</v>
      </c>
      <c r="W17" s="485">
        <f>+$H$17*q14a!$H$17</f>
        <v>376491232.79999995</v>
      </c>
      <c r="X17" s="485">
        <f>+$I$17*q14a!$I$17</f>
        <v>389851437.5</v>
      </c>
      <c r="Y17" s="485">
        <f>+$J$17*q14a!$J$17</f>
        <v>391799124.42000002</v>
      </c>
      <c r="Z17" s="485">
        <f>+$K$17*q14a!$K$17</f>
        <v>416898649.01999998</v>
      </c>
      <c r="AA17" s="485">
        <f>+$L$17*q14a!$L$17</f>
        <v>466371282.06000006</v>
      </c>
      <c r="AB17" s="485">
        <f>+$M$17*q14a!$M$17</f>
        <v>527450773.46999997</v>
      </c>
    </row>
    <row r="18" spans="1:28" s="262" customFormat="1" ht="12.75" customHeight="1">
      <c r="A18" s="256"/>
      <c r="B18" s="270" t="str">
        <f>+'q23'!B18</f>
        <v>H</v>
      </c>
      <c r="C18" s="381">
        <f>+'q23'!C18</f>
        <v>1004.64</v>
      </c>
      <c r="D18" s="381">
        <f>+'q23'!D18</f>
        <v>991.71</v>
      </c>
      <c r="E18" s="381">
        <f>+'q23'!E18</f>
        <v>987.49</v>
      </c>
      <c r="F18" s="381">
        <f>+'q23'!F18</f>
        <v>989.95</v>
      </c>
      <c r="G18" s="381">
        <f>+'q23'!G18</f>
        <v>996.3</v>
      </c>
      <c r="H18" s="381">
        <f>+'q23'!H18</f>
        <v>1017.03</v>
      </c>
      <c r="I18" s="381">
        <f>+'q23'!I18</f>
        <v>1046.49</v>
      </c>
      <c r="J18" s="381">
        <f>+'q23'!J18</f>
        <v>1089.04</v>
      </c>
      <c r="K18" s="381">
        <f>+'q23'!K18</f>
        <v>1127.2</v>
      </c>
      <c r="L18" s="381">
        <f>+'q23'!L18</f>
        <v>1172.6400000000001</v>
      </c>
      <c r="M18" s="381">
        <f>+'q23'!M18</f>
        <v>1251.54</v>
      </c>
      <c r="P18" s="256"/>
      <c r="Q18" s="270" t="s">
        <v>53</v>
      </c>
      <c r="R18" s="485">
        <f>+$C$18*q14a!$C$18</f>
        <v>181544475.84</v>
      </c>
      <c r="S18" s="485">
        <f>+$D$18*q14a!$D$18</f>
        <v>183463374.87</v>
      </c>
      <c r="T18" s="485">
        <f>+$E$18*q14a!$E$18</f>
        <v>189564505.34</v>
      </c>
      <c r="U18" s="485">
        <f>+$F$18*q14a!$F$18</f>
        <v>197068356.55000001</v>
      </c>
      <c r="V18" s="485">
        <f>+$G$18*q14a!$G$18</f>
        <v>206698375.79999998</v>
      </c>
      <c r="W18" s="485">
        <f>+$H$18*q14a!$H$18</f>
        <v>218600428.19999999</v>
      </c>
      <c r="X18" s="485">
        <f>+$I$18*q14a!$I$18</f>
        <v>228980383.92000002</v>
      </c>
      <c r="Y18" s="485">
        <f>+$J$18*q14a!$J$18</f>
        <v>232193129.35999998</v>
      </c>
      <c r="Z18" s="485">
        <f>+$K$18*q14a!$K$18</f>
        <v>245713819.20000002</v>
      </c>
      <c r="AA18" s="485">
        <f>+$L$18*q14a!$L$18</f>
        <v>273960365.28000003</v>
      </c>
      <c r="AB18" s="485">
        <f>+$M$18*q14a!$M$18</f>
        <v>311261752.62</v>
      </c>
    </row>
    <row r="19" spans="1:28" s="262" customFormat="1" ht="12.75" customHeight="1">
      <c r="A19" s="256"/>
      <c r="B19" s="270" t="str">
        <f>+'q23'!B19</f>
        <v>M</v>
      </c>
      <c r="C19" s="381">
        <f>+'q23'!C19</f>
        <v>804.38</v>
      </c>
      <c r="D19" s="381">
        <f>+'q23'!D19</f>
        <v>802.78</v>
      </c>
      <c r="E19" s="381">
        <f>+'q23'!E19</f>
        <v>808.54</v>
      </c>
      <c r="F19" s="381">
        <f>+'q23'!F19</f>
        <v>819.04</v>
      </c>
      <c r="G19" s="381">
        <f>+'q23'!G19</f>
        <v>836.38</v>
      </c>
      <c r="H19" s="381">
        <f>+'q23'!H19</f>
        <v>864.18</v>
      </c>
      <c r="I19" s="381">
        <f>+'q23'!I19</f>
        <v>893.65</v>
      </c>
      <c r="J19" s="381">
        <f>+'q23'!J19</f>
        <v>929.73</v>
      </c>
      <c r="K19" s="381">
        <f>+'q23'!K19</f>
        <v>964.25</v>
      </c>
      <c r="L19" s="381">
        <f>+'q23'!L19</f>
        <v>1008.11</v>
      </c>
      <c r="M19" s="381">
        <f>+'q23'!M19</f>
        <v>1083.77</v>
      </c>
      <c r="P19" s="256"/>
      <c r="Q19" s="270" t="s">
        <v>54</v>
      </c>
      <c r="R19" s="485">
        <f>+$C$19*q14a!$C$19</f>
        <v>127840917.78</v>
      </c>
      <c r="S19" s="485">
        <f>+$D$19*q14a!$D$19</f>
        <v>130529619.66</v>
      </c>
      <c r="T19" s="485">
        <f>+$E$19*q14a!$E$19</f>
        <v>135001923.79999998</v>
      </c>
      <c r="U19" s="485">
        <f>+$F$19*q14a!$F$19</f>
        <v>141424455.84</v>
      </c>
      <c r="V19" s="485">
        <f>+$G$19*q14a!$G$19</f>
        <v>148796183.90000001</v>
      </c>
      <c r="W19" s="485">
        <f>+$H$19*q14a!$H$19</f>
        <v>157890871.07999998</v>
      </c>
      <c r="X19" s="485">
        <f>+$I$19*q14a!$I$19</f>
        <v>160872192.04999998</v>
      </c>
      <c r="Y19" s="485">
        <f>+$J$19*q14a!$J$19</f>
        <v>159606749.09999999</v>
      </c>
      <c r="Z19" s="485">
        <f>+$K$19*q14a!$K$19</f>
        <v>171184266.75</v>
      </c>
      <c r="AA19" s="485">
        <f>+$L$19*q14a!$L$19</f>
        <v>192411907.03999999</v>
      </c>
      <c r="AB19" s="485">
        <f>+$M$19*q14a!$M$19</f>
        <v>216188272.06</v>
      </c>
    </row>
    <row r="20" spans="1:28" s="264" customFormat="1" ht="16.5" customHeight="1">
      <c r="A20" s="263" t="str">
        <f>+'q23'!A20</f>
        <v>50-99 pessoas</v>
      </c>
      <c r="B20" s="440" t="str">
        <f>+'q23'!B20</f>
        <v>T</v>
      </c>
      <c r="C20" s="380">
        <f>+'q23'!C20</f>
        <v>958.96</v>
      </c>
      <c r="D20" s="380">
        <f>+'q23'!D20</f>
        <v>957.54</v>
      </c>
      <c r="E20" s="380">
        <f>+'q23'!E20</f>
        <v>959.46</v>
      </c>
      <c r="F20" s="380">
        <f>+'q23'!F20</f>
        <v>963.53</v>
      </c>
      <c r="G20" s="380">
        <f>+'q23'!G20</f>
        <v>989.73</v>
      </c>
      <c r="H20" s="380">
        <f>+'q23'!H20</f>
        <v>1013.66</v>
      </c>
      <c r="I20" s="380">
        <f>+'q23'!I20</f>
        <v>1043.71</v>
      </c>
      <c r="J20" s="380">
        <f>+'q23'!J20</f>
        <v>1085.3599999999999</v>
      </c>
      <c r="K20" s="380">
        <f>+'q23'!K20</f>
        <v>1135.05</v>
      </c>
      <c r="L20" s="380">
        <f>+'q23'!L20</f>
        <v>1181.8900000000001</v>
      </c>
      <c r="M20" s="380">
        <f>+'q23'!M20</f>
        <v>1256.3599999999999</v>
      </c>
      <c r="P20" s="263" t="s">
        <v>36</v>
      </c>
      <c r="Q20" s="440" t="s">
        <v>45</v>
      </c>
      <c r="R20" s="485">
        <f>+$C$20*q14a!$C$20</f>
        <v>210249103.12</v>
      </c>
      <c r="S20" s="485">
        <f>+$D$20*q14a!$D$20</f>
        <v>214296494.45999998</v>
      </c>
      <c r="T20" s="485">
        <f>+$E$20*q14a!$E$20</f>
        <v>226409532.96000001</v>
      </c>
      <c r="U20" s="485">
        <f>+$F$20*q14a!$F$20</f>
        <v>236672837.43000001</v>
      </c>
      <c r="V20" s="485">
        <f>+$G$20*q14a!$G$20</f>
        <v>250386844.05000001</v>
      </c>
      <c r="W20" s="485">
        <f>+$H$20*q14a!$H$20</f>
        <v>267742070.44</v>
      </c>
      <c r="X20" s="485">
        <f>+$I$20*q14a!$I$20</f>
        <v>279801951.63999999</v>
      </c>
      <c r="Y20" s="485">
        <f>+$J$20*q14a!$J$20</f>
        <v>282146929.51999998</v>
      </c>
      <c r="Z20" s="485">
        <f>+$K$20*q14a!$K$20</f>
        <v>304201345.34999996</v>
      </c>
      <c r="AA20" s="485">
        <f>+$L$20*q14a!$L$20</f>
        <v>342745736.22000003</v>
      </c>
      <c r="AB20" s="485">
        <f>+$M$20*q14a!$M$20</f>
        <v>382615643.47999996</v>
      </c>
    </row>
    <row r="21" spans="1:28" s="262" customFormat="1" ht="12.75" customHeight="1">
      <c r="A21" s="256"/>
      <c r="B21" s="270" t="str">
        <f>+'q23'!B21</f>
        <v>H</v>
      </c>
      <c r="C21" s="381">
        <f>+'q23'!C21</f>
        <v>1073.52</v>
      </c>
      <c r="D21" s="381">
        <f>+'q23'!D21</f>
        <v>1065.48</v>
      </c>
      <c r="E21" s="381">
        <f>+'q23'!E21</f>
        <v>1066.47</v>
      </c>
      <c r="F21" s="381">
        <f>+'q23'!F21</f>
        <v>1063.57</v>
      </c>
      <c r="G21" s="381">
        <f>+'q23'!G21</f>
        <v>1088.3399999999999</v>
      </c>
      <c r="H21" s="381">
        <f>+'q23'!H21</f>
        <v>1111</v>
      </c>
      <c r="I21" s="381">
        <f>+'q23'!I21</f>
        <v>1137.7</v>
      </c>
      <c r="J21" s="381">
        <f>+'q23'!J21</f>
        <v>1178.51</v>
      </c>
      <c r="K21" s="381">
        <f>+'q23'!K21</f>
        <v>1235.8</v>
      </c>
      <c r="L21" s="381">
        <f>+'q23'!L21</f>
        <v>1280.67</v>
      </c>
      <c r="M21" s="381">
        <f>+'q23'!M21</f>
        <v>1351.32</v>
      </c>
      <c r="P21" s="256"/>
      <c r="Q21" s="270" t="s">
        <v>53</v>
      </c>
      <c r="R21" s="485">
        <f>+$C$21*q14a!$C$21</f>
        <v>124046309.52</v>
      </c>
      <c r="S21" s="485">
        <f>+$D$21*q14a!$D$21</f>
        <v>125767128.24000001</v>
      </c>
      <c r="T21" s="485">
        <f>+$E$21*q14a!$E$21</f>
        <v>131891411.37</v>
      </c>
      <c r="U21" s="485">
        <f>+$F$21*q14a!$F$21</f>
        <v>137088855.15000001</v>
      </c>
      <c r="V21" s="485">
        <f>+$G$21*q14a!$G$21</f>
        <v>146215213.97999999</v>
      </c>
      <c r="W21" s="485">
        <f>+$H$21*q14a!$H$21</f>
        <v>156248818</v>
      </c>
      <c r="X21" s="485">
        <f>+$I$21*q14a!$I$21</f>
        <v>163228094.40000001</v>
      </c>
      <c r="Y21" s="485">
        <f>+$J$21*q14a!$J$21</f>
        <v>164703843.56</v>
      </c>
      <c r="Z21" s="485">
        <f>+$K$21*q14a!$K$21</f>
        <v>176918363.79999998</v>
      </c>
      <c r="AA21" s="485">
        <f>+$L$21*q14a!$L$21</f>
        <v>199916429.01000002</v>
      </c>
      <c r="AB21" s="485">
        <f>+$M$21*q14a!$M$21</f>
        <v>222713751.84</v>
      </c>
    </row>
    <row r="22" spans="1:28" s="262" customFormat="1" ht="12.75" customHeight="1">
      <c r="A22" s="256"/>
      <c r="B22" s="270" t="str">
        <f>+'q23'!B22</f>
        <v>M</v>
      </c>
      <c r="C22" s="381">
        <f>+'q23'!C22</f>
        <v>831.3</v>
      </c>
      <c r="D22" s="381">
        <f>+'q23'!D22</f>
        <v>837.07</v>
      </c>
      <c r="E22" s="381">
        <f>+'q23'!E22</f>
        <v>841.62</v>
      </c>
      <c r="F22" s="381">
        <f>+'q23'!F22</f>
        <v>853.08</v>
      </c>
      <c r="G22" s="381">
        <f>+'q23'!G22</f>
        <v>878.07</v>
      </c>
      <c r="H22" s="381">
        <f>+'q23'!H22</f>
        <v>902.82</v>
      </c>
      <c r="I22" s="381">
        <f>+'q23'!I22</f>
        <v>935.48</v>
      </c>
      <c r="J22" s="381">
        <f>+'q23'!J22</f>
        <v>977.05</v>
      </c>
      <c r="K22" s="381">
        <f>+'q23'!K22</f>
        <v>1019.51</v>
      </c>
      <c r="L22" s="381">
        <f>+'q23'!L22</f>
        <v>1066.72</v>
      </c>
      <c r="M22" s="381">
        <f>+'q23'!M22</f>
        <v>1144.3499999999999</v>
      </c>
      <c r="P22" s="256"/>
      <c r="Q22" s="270" t="s">
        <v>54</v>
      </c>
      <c r="R22" s="485">
        <f>+$C$22*q14a!$C$22</f>
        <v>86202484.799999997</v>
      </c>
      <c r="S22" s="485">
        <f>+$D$22*q14a!$D$22</f>
        <v>88529360.270000011</v>
      </c>
      <c r="T22" s="485">
        <f>+$E$22*q14a!$E$22</f>
        <v>94518134.099999994</v>
      </c>
      <c r="U22" s="485">
        <f>+$F$22*q14a!$F$22</f>
        <v>99585146.88000001</v>
      </c>
      <c r="V22" s="485">
        <f>+$G$22*q14a!$G$22</f>
        <v>104172468.66000001</v>
      </c>
      <c r="W22" s="485">
        <f>+$H$22*q14a!$H$22</f>
        <v>111494658.72</v>
      </c>
      <c r="X22" s="485">
        <f>+$I$22*q14a!$I$22</f>
        <v>116572033.76000001</v>
      </c>
      <c r="Y22" s="485">
        <f>+$J$22*q14a!$J$22</f>
        <v>117442387.05</v>
      </c>
      <c r="Z22" s="485">
        <f>+$K$22*q14a!$K$22</f>
        <v>127281745.45999999</v>
      </c>
      <c r="AA22" s="485">
        <f>+$L$22*q14a!$L$22</f>
        <v>142828474.40000001</v>
      </c>
      <c r="AB22" s="485">
        <f>+$M$22*q14a!$M$22</f>
        <v>159901169.84999999</v>
      </c>
    </row>
    <row r="23" spans="1:28" s="264" customFormat="1" ht="16.5" customHeight="1">
      <c r="A23" s="263" t="str">
        <f>+'q23'!A23</f>
        <v>100-149 pessoas</v>
      </c>
      <c r="B23" s="440" t="str">
        <f>+'q23'!B23</f>
        <v>T</v>
      </c>
      <c r="C23" s="380">
        <f>+'q23'!C23</f>
        <v>1094.1400000000001</v>
      </c>
      <c r="D23" s="380">
        <f>+'q23'!D23</f>
        <v>1085.9100000000001</v>
      </c>
      <c r="E23" s="380">
        <f>+'q23'!E23</f>
        <v>1091.48</v>
      </c>
      <c r="F23" s="380">
        <f>+'q23'!F23</f>
        <v>1084.18</v>
      </c>
      <c r="G23" s="380">
        <f>+'q23'!G23</f>
        <v>1059.06</v>
      </c>
      <c r="H23" s="380">
        <f>+'q23'!H23</f>
        <v>1100.5899999999999</v>
      </c>
      <c r="I23" s="380">
        <f>+'q23'!I23</f>
        <v>1141.5</v>
      </c>
      <c r="J23" s="380">
        <f>+'q23'!J23</f>
        <v>1166.0999999999999</v>
      </c>
      <c r="K23" s="380">
        <f>+'q23'!K23</f>
        <v>1205.97</v>
      </c>
      <c r="L23" s="380">
        <f>+'q23'!L23</f>
        <v>1287.1600000000001</v>
      </c>
      <c r="M23" s="380">
        <f>+'q23'!M23</f>
        <v>1374.88</v>
      </c>
      <c r="P23" s="263" t="s">
        <v>37</v>
      </c>
      <c r="Q23" s="440" t="s">
        <v>45</v>
      </c>
      <c r="R23" s="485">
        <f>+$C$23*q14a!$C$23</f>
        <v>122288745.38000001</v>
      </c>
      <c r="S23" s="485">
        <f>+$D$23*q14a!$D$23</f>
        <v>127440225.78000002</v>
      </c>
      <c r="T23" s="485">
        <f>+$E$23*q14a!$E$23</f>
        <v>123556627.48</v>
      </c>
      <c r="U23" s="485">
        <f>+$F$23*q14a!$F$23</f>
        <v>127822653.64</v>
      </c>
      <c r="V23" s="485">
        <f>+$G$23*q14a!$G$23</f>
        <v>128954322.77999999</v>
      </c>
      <c r="W23" s="485">
        <f>+$H$23*q14a!$H$23</f>
        <v>138682044.13</v>
      </c>
      <c r="X23" s="485">
        <f>+$I$23*q14a!$I$23</f>
        <v>145913379</v>
      </c>
      <c r="Y23" s="485">
        <f>+$J$23*q14a!$J$23</f>
        <v>142367982.89999998</v>
      </c>
      <c r="Z23" s="485">
        <f>+$K$23*q14a!$K$23</f>
        <v>153861270.50999999</v>
      </c>
      <c r="AA23" s="485">
        <f>+$L$23*q14a!$L$23</f>
        <v>177693725.16</v>
      </c>
      <c r="AB23" s="485">
        <f>+$M$23*q14a!$M$23</f>
        <v>200966209.60000002</v>
      </c>
    </row>
    <row r="24" spans="1:28" s="262" customFormat="1" ht="12.75" customHeight="1">
      <c r="A24" s="256"/>
      <c r="B24" s="270" t="str">
        <f>+'q23'!B24</f>
        <v>H</v>
      </c>
      <c r="C24" s="381">
        <f>+'q23'!C24</f>
        <v>1210.1199999999999</v>
      </c>
      <c r="D24" s="381">
        <f>+'q23'!D24</f>
        <v>1197.26</v>
      </c>
      <c r="E24" s="381">
        <f>+'q23'!E24</f>
        <v>1201.18</v>
      </c>
      <c r="F24" s="381">
        <f>+'q23'!F24</f>
        <v>1185.8399999999999</v>
      </c>
      <c r="G24" s="381">
        <f>+'q23'!G24</f>
        <v>1134.3800000000001</v>
      </c>
      <c r="H24" s="381">
        <f>+'q23'!H24</f>
        <v>1171.6099999999999</v>
      </c>
      <c r="I24" s="381">
        <f>+'q23'!I24</f>
        <v>1215.1600000000001</v>
      </c>
      <c r="J24" s="381">
        <f>+'q23'!J24</f>
        <v>1239.32</v>
      </c>
      <c r="K24" s="381">
        <f>+'q23'!K24</f>
        <v>1286.47</v>
      </c>
      <c r="L24" s="381">
        <f>+'q23'!L24</f>
        <v>1366.19</v>
      </c>
      <c r="M24" s="381">
        <f>+'q23'!M24</f>
        <v>1457.99</v>
      </c>
      <c r="P24" s="256"/>
      <c r="Q24" s="270" t="s">
        <v>53</v>
      </c>
      <c r="R24" s="485">
        <f>+$C$24*q14a!$C$24</f>
        <v>75965283</v>
      </c>
      <c r="S24" s="485">
        <f>+$D$24*q14a!$D$24</f>
        <v>79744699.560000002</v>
      </c>
      <c r="T24" s="485">
        <f>+$E$24*q14a!$E$24</f>
        <v>77225063.38000001</v>
      </c>
      <c r="U24" s="485">
        <f>+$F$24*q14a!$F$24</f>
        <v>78208519.679999992</v>
      </c>
      <c r="V24" s="485">
        <f>+$G$24*q14a!$G$24</f>
        <v>78280160.660000011</v>
      </c>
      <c r="W24" s="485">
        <f>+$H$24*q14a!$H$24</f>
        <v>83984519.629999995</v>
      </c>
      <c r="X24" s="485">
        <f>+$I$24*q14a!$I$24</f>
        <v>87914395.680000007</v>
      </c>
      <c r="Y24" s="485">
        <f>+$J$24*q14a!$J$24</f>
        <v>86048466.239999995</v>
      </c>
      <c r="Z24" s="485">
        <f>+$K$24*q14a!$K$24</f>
        <v>92638704.700000003</v>
      </c>
      <c r="AA24" s="485">
        <f>+$L$24*q14a!$L$24</f>
        <v>106629763.31</v>
      </c>
      <c r="AB24" s="485">
        <f>+$M$24*q14a!$M$24</f>
        <v>121441819.06</v>
      </c>
    </row>
    <row r="25" spans="1:28" s="262" customFormat="1" ht="12.75" customHeight="1">
      <c r="A25" s="256"/>
      <c r="B25" s="270" t="str">
        <f>+'q23'!B25</f>
        <v>M</v>
      </c>
      <c r="C25" s="381">
        <f>+'q23'!C25</f>
        <v>945.54</v>
      </c>
      <c r="D25" s="381">
        <f>+'q23'!D25</f>
        <v>939.79</v>
      </c>
      <c r="E25" s="381">
        <f>+'q23'!E25</f>
        <v>947.28</v>
      </c>
      <c r="F25" s="381">
        <f>+'q23'!F25</f>
        <v>955.1</v>
      </c>
      <c r="G25" s="381">
        <f>+'q23'!G25</f>
        <v>960.54</v>
      </c>
      <c r="H25" s="381">
        <f>+'q23'!H25</f>
        <v>1006.88</v>
      </c>
      <c r="I25" s="381">
        <f>+'q23'!I25</f>
        <v>1045.45</v>
      </c>
      <c r="J25" s="381">
        <f>+'q23'!J25</f>
        <v>1069.55</v>
      </c>
      <c r="K25" s="381">
        <f>+'q23'!K25</f>
        <v>1101.6500000000001</v>
      </c>
      <c r="L25" s="381">
        <f>+'q23'!L25</f>
        <v>1184.3699999999999</v>
      </c>
      <c r="M25" s="381">
        <f>+'q23'!M25</f>
        <v>1264.77</v>
      </c>
      <c r="P25" s="256"/>
      <c r="Q25" s="270" t="s">
        <v>54</v>
      </c>
      <c r="R25" s="485">
        <f>+$C$25*q14a!$C$25</f>
        <v>46323895.68</v>
      </c>
      <c r="S25" s="485">
        <f>+$D$25*q14a!$D$25</f>
        <v>47696222.079999998</v>
      </c>
      <c r="T25" s="485">
        <f>+$E$25*q14a!$E$25</f>
        <v>46331464.799999997</v>
      </c>
      <c r="U25" s="485">
        <f>+$F$25*q14a!$F$25</f>
        <v>49613624.600000001</v>
      </c>
      <c r="V25" s="485">
        <f>+$G$25*q14a!$G$25</f>
        <v>50674248.239999995</v>
      </c>
      <c r="W25" s="485">
        <f>+$H$25*q14a!$H$25</f>
        <v>54697749.119999997</v>
      </c>
      <c r="X25" s="485">
        <f>+$I$25*q14a!$I$25</f>
        <v>57999475.100000001</v>
      </c>
      <c r="Y25" s="485">
        <f>+$J$25*q14a!$J$25</f>
        <v>56319294.349999994</v>
      </c>
      <c r="Z25" s="485">
        <f>+$K$25*q14a!$K$25</f>
        <v>61221995.450000003</v>
      </c>
      <c r="AA25" s="485">
        <f>+$L$25*q14a!$L$25</f>
        <v>71064568.739999995</v>
      </c>
      <c r="AB25" s="485">
        <f>+$M$25*q14a!$M$25</f>
        <v>79523678.519999996</v>
      </c>
    </row>
    <row r="26" spans="1:28" s="265" customFormat="1" ht="16.5" customHeight="1">
      <c r="A26" s="263" t="str">
        <f>+'q23'!A26</f>
        <v>150-199 pessoas</v>
      </c>
      <c r="B26" s="440" t="str">
        <f>+'q23'!B26</f>
        <v>T</v>
      </c>
      <c r="C26" s="380">
        <f>+'q23'!C26</f>
        <v>1147.32</v>
      </c>
      <c r="D26" s="380">
        <f>+'q23'!D26</f>
        <v>1128.02</v>
      </c>
      <c r="E26" s="380">
        <f>+'q23'!E26</f>
        <v>1086.8499999999999</v>
      </c>
      <c r="F26" s="380">
        <f>+'q23'!F26</f>
        <v>1182.75</v>
      </c>
      <c r="G26" s="380">
        <f>+'q23'!G26</f>
        <v>1143.55</v>
      </c>
      <c r="H26" s="380">
        <f>+'q23'!H26</f>
        <v>1150.9000000000001</v>
      </c>
      <c r="I26" s="380">
        <f>+'q23'!I26</f>
        <v>1141.4000000000001</v>
      </c>
      <c r="J26" s="380">
        <f>+'q23'!J26</f>
        <v>1208.0999999999999</v>
      </c>
      <c r="K26" s="380">
        <f>+'q23'!K26</f>
        <v>1237.3800000000001</v>
      </c>
      <c r="L26" s="380">
        <f>+'q23'!L26</f>
        <v>1300.4000000000001</v>
      </c>
      <c r="M26" s="380">
        <f>+'q23'!M26</f>
        <v>1401.14</v>
      </c>
      <c r="N26" s="264"/>
      <c r="P26" s="263" t="s">
        <v>38</v>
      </c>
      <c r="Q26" s="440" t="s">
        <v>45</v>
      </c>
      <c r="R26" s="485">
        <f>+$C$26*q14a!$C$26</f>
        <v>83685520.799999997</v>
      </c>
      <c r="S26" s="485">
        <f>+$D$26*q14a!$D$26</f>
        <v>79647236.159999996</v>
      </c>
      <c r="T26" s="485">
        <f>+$E$26*q14a!$E$26</f>
        <v>81862628.849999994</v>
      </c>
      <c r="U26" s="485">
        <f>+$F$26*q14a!$F$26</f>
        <v>89978889</v>
      </c>
      <c r="V26" s="485">
        <f>+$G$26*q14a!$G$26</f>
        <v>89506802.049999997</v>
      </c>
      <c r="W26" s="485">
        <f>+$H$26*q14a!$H$26</f>
        <v>97056547.900000006</v>
      </c>
      <c r="X26" s="485">
        <f>+$I$26*q14a!$I$26</f>
        <v>96254262.000000015</v>
      </c>
      <c r="Y26" s="485">
        <f>+$J$26*q14a!$J$26</f>
        <v>95096799.599999994</v>
      </c>
      <c r="Z26" s="485">
        <f>+$K$26*q14a!$K$26</f>
        <v>104656363.02000001</v>
      </c>
      <c r="AA26" s="485">
        <f>+$L$26*q14a!$L$26</f>
        <v>125081574.80000001</v>
      </c>
      <c r="AB26" s="485">
        <f>+$M$26*q14a!$M$26</f>
        <v>138274303.18000001</v>
      </c>
    </row>
    <row r="27" spans="1:28" s="252" customFormat="1" ht="12.75" customHeight="1">
      <c r="A27" s="256"/>
      <c r="B27" s="270" t="str">
        <f>+'q23'!B27</f>
        <v>H</v>
      </c>
      <c r="C27" s="381">
        <f>+'q23'!C27</f>
        <v>1247.73</v>
      </c>
      <c r="D27" s="381">
        <f>+'q23'!D27</f>
        <v>1220.43</v>
      </c>
      <c r="E27" s="381">
        <f>+'q23'!E27</f>
        <v>1160.83</v>
      </c>
      <c r="F27" s="381">
        <f>+'q23'!F27</f>
        <v>1317.15</v>
      </c>
      <c r="G27" s="381">
        <f>+'q23'!G27</f>
        <v>1252.29</v>
      </c>
      <c r="H27" s="381">
        <f>+'q23'!H27</f>
        <v>1246.04</v>
      </c>
      <c r="I27" s="381">
        <f>+'q23'!I27</f>
        <v>1202.8499999999999</v>
      </c>
      <c r="J27" s="381">
        <f>+'q23'!J27</f>
        <v>1257.22</v>
      </c>
      <c r="K27" s="381">
        <f>+'q23'!K27</f>
        <v>1300.1400000000001</v>
      </c>
      <c r="L27" s="381">
        <f>+'q23'!L27</f>
        <v>1371.53</v>
      </c>
      <c r="M27" s="381">
        <f>+'q23'!M27</f>
        <v>1468.2</v>
      </c>
      <c r="N27" s="262"/>
      <c r="P27" s="256"/>
      <c r="Q27" s="270" t="s">
        <v>53</v>
      </c>
      <c r="R27" s="485">
        <f>+$C$27*q14a!$C$27</f>
        <v>54205134.390000001</v>
      </c>
      <c r="S27" s="485">
        <f>+$D$27*q14a!$D$27</f>
        <v>50087667.630000003</v>
      </c>
      <c r="T27" s="485">
        <f>+$E$27*q14a!$E$27</f>
        <v>51477006.349999994</v>
      </c>
      <c r="U27" s="485">
        <f>+$F$27*q14a!$F$27</f>
        <v>58067874.900000006</v>
      </c>
      <c r="V27" s="485">
        <f>+$G$27*q14a!$G$27</f>
        <v>55655524.469999999</v>
      </c>
      <c r="W27" s="485">
        <f>+$H$27*q14a!$H$27</f>
        <v>60211144.879999995</v>
      </c>
      <c r="X27" s="485">
        <f>+$I$27*q14a!$I$27</f>
        <v>58145768.999999993</v>
      </c>
      <c r="Y27" s="485">
        <f>+$J$27*q14a!$J$27</f>
        <v>57617135.380000003</v>
      </c>
      <c r="Z27" s="485">
        <f>+$K$27*q14a!$K$27</f>
        <v>61826857.560000002</v>
      </c>
      <c r="AA27" s="485">
        <f>+$L$27*q14a!$L$27</f>
        <v>74245033.489999995</v>
      </c>
      <c r="AB27" s="485">
        <f>+$M$27*q14a!$M$27</f>
        <v>83647758.600000009</v>
      </c>
    </row>
    <row r="28" spans="1:28" s="252" customFormat="1" ht="12.75" customHeight="1">
      <c r="A28" s="256"/>
      <c r="B28" s="270" t="str">
        <f>+'q23'!B28</f>
        <v>M</v>
      </c>
      <c r="C28" s="381">
        <f>+'q23'!C28</f>
        <v>999.45</v>
      </c>
      <c r="D28" s="381">
        <f>+'q23'!D28</f>
        <v>999.75</v>
      </c>
      <c r="E28" s="381">
        <f>+'q23'!E28</f>
        <v>980.93</v>
      </c>
      <c r="F28" s="381">
        <f>+'q23'!F28</f>
        <v>997.52</v>
      </c>
      <c r="G28" s="381">
        <f>+'q23'!G28</f>
        <v>1000.69</v>
      </c>
      <c r="H28" s="381">
        <f>+'q23'!H28</f>
        <v>1023.21</v>
      </c>
      <c r="I28" s="381">
        <f>+'q23'!I28</f>
        <v>1058.8699999999999</v>
      </c>
      <c r="J28" s="381">
        <f>+'q23'!J28</f>
        <v>1139.6500000000001</v>
      </c>
      <c r="K28" s="381">
        <f>+'q23'!K28</f>
        <v>1156.79</v>
      </c>
      <c r="L28" s="381">
        <f>+'q23'!L28</f>
        <v>1208.8399999999999</v>
      </c>
      <c r="M28" s="381">
        <f>+'q23'!M28</f>
        <v>1309.55</v>
      </c>
      <c r="N28" s="262"/>
      <c r="P28" s="256"/>
      <c r="Q28" s="270" t="s">
        <v>54</v>
      </c>
      <c r="R28" s="485">
        <f>+$C$28*q14a!$C$28</f>
        <v>29480776.650000002</v>
      </c>
      <c r="S28" s="485">
        <f>+$D$28*q14a!$D$28</f>
        <v>29559608.25</v>
      </c>
      <c r="T28" s="485">
        <f>+$E$28*q14a!$E$28</f>
        <v>30385287.68</v>
      </c>
      <c r="U28" s="485">
        <f>+$F$28*q14a!$F$28</f>
        <v>31910664.800000001</v>
      </c>
      <c r="V28" s="485">
        <f>+$G$28*q14a!$G$28</f>
        <v>33851341.32</v>
      </c>
      <c r="W28" s="485">
        <f>+$H$28*q14a!$H$28</f>
        <v>36844768.890000001</v>
      </c>
      <c r="X28" s="485">
        <f>+$I$28*q14a!$I$28</f>
        <v>38108731.299999997</v>
      </c>
      <c r="Y28" s="485">
        <f>+$J$28*q14a!$J$28</f>
        <v>37479669.550000004</v>
      </c>
      <c r="Z28" s="485">
        <f>+$K$28*q14a!$K$28</f>
        <v>42830149.75</v>
      </c>
      <c r="AA28" s="485">
        <f>+$L$28*q14a!$L$28</f>
        <v>50836557.359999999</v>
      </c>
      <c r="AB28" s="485">
        <f>+$M$28*q14a!$M$28</f>
        <v>54626568.699999996</v>
      </c>
    </row>
    <row r="29" spans="1:28" s="265" customFormat="1" ht="16.5" customHeight="1">
      <c r="A29" s="263" t="str">
        <f>+'q23'!A29</f>
        <v>200-249 pessoas</v>
      </c>
      <c r="B29" s="440" t="str">
        <f>+'q23'!B29</f>
        <v>T</v>
      </c>
      <c r="C29" s="380">
        <f>+'q23'!C29</f>
        <v>1151.8399999999999</v>
      </c>
      <c r="D29" s="380">
        <f>+'q23'!D29</f>
        <v>1115.29</v>
      </c>
      <c r="E29" s="380">
        <f>+'q23'!E29</f>
        <v>1264.18</v>
      </c>
      <c r="F29" s="380">
        <f>+'q23'!F29</f>
        <v>1171.43</v>
      </c>
      <c r="G29" s="380">
        <f>+'q23'!G29</f>
        <v>1277.6600000000001</v>
      </c>
      <c r="H29" s="380">
        <f>+'q23'!H29</f>
        <v>1320.53</v>
      </c>
      <c r="I29" s="380">
        <f>+'q23'!I29</f>
        <v>1368.96</v>
      </c>
      <c r="J29" s="380">
        <f>+'q23'!J29</f>
        <v>1439.37</v>
      </c>
      <c r="K29" s="380">
        <f>+'q23'!K29</f>
        <v>1365.36</v>
      </c>
      <c r="L29" s="380">
        <f>+'q23'!L29</f>
        <v>1409.73</v>
      </c>
      <c r="M29" s="380">
        <f>+'q23'!M29</f>
        <v>1438.98</v>
      </c>
      <c r="N29" s="264"/>
      <c r="P29" s="263" t="s">
        <v>39</v>
      </c>
      <c r="Q29" s="440" t="s">
        <v>45</v>
      </c>
      <c r="R29" s="485">
        <f>+$C$29*q14a!$C$29</f>
        <v>52666732.159999996</v>
      </c>
      <c r="S29" s="485">
        <f>+$D$29*q14a!$D$29</f>
        <v>56593160.469999999</v>
      </c>
      <c r="T29" s="485">
        <f>+$E$29*q14a!$E$29</f>
        <v>65139402.860000007</v>
      </c>
      <c r="U29" s="485">
        <f>+$F$29*q14a!$F$29</f>
        <v>63373191.57</v>
      </c>
      <c r="V29" s="485">
        <f>+$G$29*q14a!$G$29</f>
        <v>76331241.38000001</v>
      </c>
      <c r="W29" s="485">
        <f>+$H$29*q14a!$H$29</f>
        <v>80363494.209999993</v>
      </c>
      <c r="X29" s="485">
        <f>+$I$29*q14a!$I$29</f>
        <v>84437452.799999997</v>
      </c>
      <c r="Y29" s="485">
        <f>+$J$29*q14a!$J$29</f>
        <v>89374801.409999996</v>
      </c>
      <c r="Z29" s="485">
        <f>+$K$29*q14a!$K$29</f>
        <v>85601245.199999988</v>
      </c>
      <c r="AA29" s="485">
        <f>+$L$29*q14a!$L$29</f>
        <v>97646358.180000007</v>
      </c>
      <c r="AB29" s="485">
        <f>+$M$29*q14a!$M$29</f>
        <v>102779146.5</v>
      </c>
    </row>
    <row r="30" spans="1:28" s="252" customFormat="1" ht="12.75" customHeight="1">
      <c r="A30" s="256"/>
      <c r="B30" s="270" t="str">
        <f>+'q23'!B30</f>
        <v>H</v>
      </c>
      <c r="C30" s="381">
        <f>+'q23'!C30</f>
        <v>1269.42</v>
      </c>
      <c r="D30" s="381">
        <f>+'q23'!D30</f>
        <v>1205.6500000000001</v>
      </c>
      <c r="E30" s="381">
        <f>+'q23'!E30</f>
        <v>1409.34</v>
      </c>
      <c r="F30" s="381">
        <f>+'q23'!F30</f>
        <v>1254.28</v>
      </c>
      <c r="G30" s="381">
        <f>+'q23'!G30</f>
        <v>1459.87</v>
      </c>
      <c r="H30" s="381">
        <f>+'q23'!H30</f>
        <v>1496.08</v>
      </c>
      <c r="I30" s="381">
        <f>+'q23'!I30</f>
        <v>1568.84</v>
      </c>
      <c r="J30" s="381">
        <f>+'q23'!J30</f>
        <v>1640.28</v>
      </c>
      <c r="K30" s="381">
        <f>+'q23'!K30</f>
        <v>1475.92</v>
      </c>
      <c r="L30" s="381">
        <f>+'q23'!L30</f>
        <v>1507.23</v>
      </c>
      <c r="M30" s="381">
        <f>+'q23'!M30</f>
        <v>1561.77</v>
      </c>
      <c r="N30" s="262"/>
      <c r="P30" s="256"/>
      <c r="Q30" s="270" t="s">
        <v>53</v>
      </c>
      <c r="R30" s="485">
        <f>+$C$30*q14a!$C$30</f>
        <v>33725950.560000002</v>
      </c>
      <c r="S30" s="485">
        <f>+$D$30*q14a!$D$30</f>
        <v>36145387</v>
      </c>
      <c r="T30" s="485">
        <f>+$E$30*q14a!$E$30</f>
        <v>42736826.159999996</v>
      </c>
      <c r="U30" s="485">
        <f>+$F$30*q14a!$F$30</f>
        <v>40935936.359999999</v>
      </c>
      <c r="V30" s="485">
        <f>+$G$30*q14a!$G$30</f>
        <v>51708595.399999999</v>
      </c>
      <c r="W30" s="485">
        <f>+$H$30*q14a!$H$30</f>
        <v>54574006.239999995</v>
      </c>
      <c r="X30" s="485">
        <f>+$I$30*q14a!$I$30</f>
        <v>57905884.399999999</v>
      </c>
      <c r="Y30" s="485">
        <f>+$J$30*q14a!$J$30</f>
        <v>60979049.280000001</v>
      </c>
      <c r="Z30" s="485">
        <f>+$K$30*q14a!$K$30</f>
        <v>55035580.880000003</v>
      </c>
      <c r="AA30" s="485">
        <f>+$L$30*q14a!$L$30</f>
        <v>63089633.340000004</v>
      </c>
      <c r="AB30" s="485">
        <f>+$M$30*q14a!$M$30</f>
        <v>62911219.140000001</v>
      </c>
    </row>
    <row r="31" spans="1:28" s="252" customFormat="1" ht="12.75" customHeight="1">
      <c r="A31" s="256"/>
      <c r="B31" s="270" t="str">
        <f>+'q23'!B31</f>
        <v>M</v>
      </c>
      <c r="C31" s="381">
        <f>+'q23'!C31</f>
        <v>988.76</v>
      </c>
      <c r="D31" s="381">
        <f>+'q23'!D31</f>
        <v>984.83</v>
      </c>
      <c r="E31" s="381">
        <f>+'q23'!E31</f>
        <v>1056.57</v>
      </c>
      <c r="F31" s="381">
        <f>+'q23'!F31</f>
        <v>1045.45</v>
      </c>
      <c r="G31" s="381">
        <f>+'q23'!G31</f>
        <v>1012.31</v>
      </c>
      <c r="H31" s="381">
        <f>+'q23'!H31</f>
        <v>1057.8599999999999</v>
      </c>
      <c r="I31" s="381">
        <f>+'q23'!I31</f>
        <v>1071.1199999999999</v>
      </c>
      <c r="J31" s="381">
        <f>+'q23'!J31</f>
        <v>1139.6199999999999</v>
      </c>
      <c r="K31" s="381">
        <f>+'q23'!K31</f>
        <v>1203.0899999999999</v>
      </c>
      <c r="L31" s="381">
        <f>+'q23'!L31</f>
        <v>1260.82</v>
      </c>
      <c r="M31" s="381">
        <f>+'q23'!M31</f>
        <v>1280.1600000000001</v>
      </c>
      <c r="N31" s="262"/>
      <c r="P31" s="256"/>
      <c r="Q31" s="270" t="s">
        <v>54</v>
      </c>
      <c r="R31" s="485">
        <f>+$C$31*q14a!$C$31</f>
        <v>18940686.559999999</v>
      </c>
      <c r="S31" s="485">
        <f>+$D$31*q14a!$D$31</f>
        <v>20448025.289999999</v>
      </c>
      <c r="T31" s="485">
        <f>+$E$31*q14a!$E$31</f>
        <v>22402453.709999997</v>
      </c>
      <c r="U31" s="485">
        <f>+$F$31*q14a!$F$31</f>
        <v>22437447.900000002</v>
      </c>
      <c r="V31" s="485">
        <f>+$G$31*q14a!$G$31</f>
        <v>24622416.129999999</v>
      </c>
      <c r="W31" s="485">
        <f>+$H$31*q14a!$H$31</f>
        <v>25789568.939999998</v>
      </c>
      <c r="X31" s="485">
        <f>+$I$31*q14a!$I$31</f>
        <v>26531642.399999999</v>
      </c>
      <c r="Y31" s="485">
        <f>+$J$31*q14a!$J$31</f>
        <v>28395911.539999999</v>
      </c>
      <c r="Z31" s="485">
        <f>+$K$31*q14a!$K$31</f>
        <v>30565704.539999999</v>
      </c>
      <c r="AA31" s="485">
        <f>+$L$31*q14a!$L$31</f>
        <v>34556554.559999995</v>
      </c>
      <c r="AB31" s="485">
        <f>+$M$31*q14a!$M$31</f>
        <v>39868022.880000003</v>
      </c>
    </row>
    <row r="32" spans="1:28" s="265" customFormat="1" ht="16.5" customHeight="1">
      <c r="A32" s="263" t="str">
        <f>+'q23'!A32</f>
        <v>250-499 pessoas</v>
      </c>
      <c r="B32" s="440" t="str">
        <f>+'q23'!B32</f>
        <v>T</v>
      </c>
      <c r="C32" s="380">
        <f>+'q23'!C32</f>
        <v>1080.52</v>
      </c>
      <c r="D32" s="380">
        <f>+'q23'!D32</f>
        <v>1119.71</v>
      </c>
      <c r="E32" s="380">
        <f>+'q23'!E32</f>
        <v>1109.27</v>
      </c>
      <c r="F32" s="380">
        <f>+'q23'!F32</f>
        <v>1149.42</v>
      </c>
      <c r="G32" s="380">
        <f>+'q23'!G32</f>
        <v>1180.82</v>
      </c>
      <c r="H32" s="380">
        <f>+'q23'!H32</f>
        <v>1182.5899999999999</v>
      </c>
      <c r="I32" s="380">
        <f>+'q23'!I32</f>
        <v>1200.5899999999999</v>
      </c>
      <c r="J32" s="380">
        <f>+'q23'!J32</f>
        <v>1251.8</v>
      </c>
      <c r="K32" s="380">
        <f>+'q23'!K32</f>
        <v>1327.57</v>
      </c>
      <c r="L32" s="380">
        <f>+'q23'!L32</f>
        <v>1385.82</v>
      </c>
      <c r="M32" s="380">
        <f>+'q23'!M32</f>
        <v>1487.96</v>
      </c>
      <c r="N32" s="264"/>
      <c r="P32" s="263" t="s">
        <v>40</v>
      </c>
      <c r="Q32" s="440" t="s">
        <v>45</v>
      </c>
      <c r="R32" s="485">
        <f>+$C$32*q14a!$C$32</f>
        <v>131573839.88</v>
      </c>
      <c r="S32" s="485">
        <f>+$D$32*q14a!$D$32</f>
        <v>133176067.98</v>
      </c>
      <c r="T32" s="485">
        <f>+$E$32*q14a!$E$32</f>
        <v>145448591.66999999</v>
      </c>
      <c r="U32" s="485">
        <f>+$F$32*q14a!$F$32</f>
        <v>159171681.60000002</v>
      </c>
      <c r="V32" s="485">
        <f>+$G$32*q14a!$G$32</f>
        <v>174694053.25999999</v>
      </c>
      <c r="W32" s="485">
        <f>+$H$32*q14a!$H$32</f>
        <v>185201872.13</v>
      </c>
      <c r="X32" s="485">
        <f>+$I$32*q14a!$I$32</f>
        <v>188544255.36999997</v>
      </c>
      <c r="Y32" s="485">
        <f>+$J$32*q14a!$J$32</f>
        <v>192942437.59999999</v>
      </c>
      <c r="Z32" s="485">
        <f>+$K$32*q14a!$K$32</f>
        <v>202879247.39999998</v>
      </c>
      <c r="AA32" s="485">
        <f>+$L$32*q14a!$L$32</f>
        <v>227907799.73999998</v>
      </c>
      <c r="AB32" s="485">
        <f>+$M$32*q14a!$M$32</f>
        <v>261800610.16</v>
      </c>
    </row>
    <row r="33" spans="1:28" s="252" customFormat="1" ht="12.75" customHeight="1">
      <c r="A33" s="256"/>
      <c r="B33" s="270" t="str">
        <f>+'q23'!B33</f>
        <v>H</v>
      </c>
      <c r="C33" s="381">
        <f>+'q23'!C33</f>
        <v>1148.6099999999999</v>
      </c>
      <c r="D33" s="381">
        <f>+'q23'!D33</f>
        <v>1195.8699999999999</v>
      </c>
      <c r="E33" s="381">
        <f>+'q23'!E33</f>
        <v>1185.72</v>
      </c>
      <c r="F33" s="381">
        <f>+'q23'!F33</f>
        <v>1221.54</v>
      </c>
      <c r="G33" s="381">
        <f>+'q23'!G33</f>
        <v>1243.32</v>
      </c>
      <c r="H33" s="381">
        <f>+'q23'!H33</f>
        <v>1238.52</v>
      </c>
      <c r="I33" s="381">
        <f>+'q23'!I33</f>
        <v>1261.46</v>
      </c>
      <c r="J33" s="381">
        <f>+'q23'!J33</f>
        <v>1317.32</v>
      </c>
      <c r="K33" s="381">
        <f>+'q23'!K33</f>
        <v>1419.94</v>
      </c>
      <c r="L33" s="381">
        <f>+'q23'!L33</f>
        <v>1486.15</v>
      </c>
      <c r="M33" s="381">
        <f>+'q23'!M33</f>
        <v>1587.68</v>
      </c>
      <c r="N33" s="262"/>
      <c r="P33" s="256"/>
      <c r="Q33" s="270" t="s">
        <v>53</v>
      </c>
      <c r="R33" s="485">
        <f>+$C$33*q14a!$C$33</f>
        <v>82440334.139999986</v>
      </c>
      <c r="S33" s="485">
        <f>+$D$33*q14a!$D$33</f>
        <v>84191639.739999995</v>
      </c>
      <c r="T33" s="485">
        <f>+$E$33*q14a!$E$33</f>
        <v>91167639.359999999</v>
      </c>
      <c r="U33" s="485">
        <f>+$F$33*q14a!$F$33</f>
        <v>98789604.420000002</v>
      </c>
      <c r="V33" s="485">
        <f>+$G$33*q14a!$G$33</f>
        <v>109010567.64</v>
      </c>
      <c r="W33" s="485">
        <f>+$H$33*q14a!$H$33</f>
        <v>116086479.59999999</v>
      </c>
      <c r="X33" s="485">
        <f>+$I$33*q14a!$I$33</f>
        <v>118213939.52000001</v>
      </c>
      <c r="Y33" s="485">
        <f>+$J$33*q14a!$J$33</f>
        <v>120590107.44</v>
      </c>
      <c r="Z33" s="485">
        <f>+$K$33*q14a!$K$33</f>
        <v>129663241.04000001</v>
      </c>
      <c r="AA33" s="485">
        <f>+$L$33*q14a!$L$33</f>
        <v>144340832.59999999</v>
      </c>
      <c r="AB33" s="485">
        <f>+$M$33*q14a!$M$33</f>
        <v>164805947.04000002</v>
      </c>
    </row>
    <row r="34" spans="1:28" s="252" customFormat="1" ht="12.75" customHeight="1">
      <c r="A34" s="256"/>
      <c r="B34" s="270" t="str">
        <f>+'q23'!B34</f>
        <v>M</v>
      </c>
      <c r="C34" s="381">
        <f>+'q23'!C34</f>
        <v>982.77</v>
      </c>
      <c r="D34" s="381">
        <f>+'q23'!D34</f>
        <v>1009.24</v>
      </c>
      <c r="E34" s="381">
        <f>+'q23'!E34</f>
        <v>1000.88</v>
      </c>
      <c r="F34" s="381">
        <f>+'q23'!F34</f>
        <v>1048.17</v>
      </c>
      <c r="G34" s="381">
        <f>+'q23'!G34</f>
        <v>1089.8900000000001</v>
      </c>
      <c r="H34" s="381">
        <f>+'q23'!H34</f>
        <v>1099.22</v>
      </c>
      <c r="I34" s="381">
        <f>+'q23'!I34</f>
        <v>1110.53</v>
      </c>
      <c r="J34" s="381">
        <f>+'q23'!J34</f>
        <v>1155.98</v>
      </c>
      <c r="K34" s="381">
        <f>+'q23'!K34</f>
        <v>1190.43</v>
      </c>
      <c r="L34" s="381">
        <f>+'q23'!L34</f>
        <v>1241.0899999999999</v>
      </c>
      <c r="M34" s="381">
        <f>+'q23'!M34</f>
        <v>1344.48</v>
      </c>
      <c r="N34" s="262"/>
      <c r="P34" s="256"/>
      <c r="Q34" s="270" t="s">
        <v>54</v>
      </c>
      <c r="R34" s="485">
        <f>+$C$34*q14a!$C$34</f>
        <v>49133586.149999999</v>
      </c>
      <c r="S34" s="485">
        <f>+$D$34*q14a!$D$34</f>
        <v>48984472.640000001</v>
      </c>
      <c r="T34" s="485">
        <f>+$E$34*q14a!$E$34</f>
        <v>54280725.039999999</v>
      </c>
      <c r="U34" s="485">
        <f>+$F$34*q14a!$F$34</f>
        <v>60381929.190000005</v>
      </c>
      <c r="V34" s="485">
        <f>+$G$34*q14a!$G$34</f>
        <v>65683310.74000001</v>
      </c>
      <c r="W34" s="485">
        <f>+$H$34*q14a!$H$34</f>
        <v>69115655.939999998</v>
      </c>
      <c r="X34" s="485">
        <f>+$I$34*q14a!$I$34</f>
        <v>70330975.429999992</v>
      </c>
      <c r="Y34" s="485">
        <f>+$J$34*q14a!$J$34</f>
        <v>72352788.200000003</v>
      </c>
      <c r="Z34" s="485">
        <f>+$K$34*q14a!$K$34</f>
        <v>73216206.719999999</v>
      </c>
      <c r="AA34" s="485">
        <f>+$L$34*q14a!$L$34</f>
        <v>83566312.969999999</v>
      </c>
      <c r="AB34" s="485">
        <f>+$M$34*q14a!$M$34</f>
        <v>96994820.640000001</v>
      </c>
    </row>
    <row r="35" spans="1:28" s="265" customFormat="1" ht="16.5" customHeight="1">
      <c r="A35" s="263" t="str">
        <f>+'q23'!A35</f>
        <v>500-999 pessoas</v>
      </c>
      <c r="B35" s="440" t="str">
        <f>+'q23'!B35</f>
        <v>T</v>
      </c>
      <c r="C35" s="380">
        <f>+'q23'!C35</f>
        <v>1187.75</v>
      </c>
      <c r="D35" s="380">
        <f>+'q23'!D35</f>
        <v>1154.24</v>
      </c>
      <c r="E35" s="380">
        <f>+'q23'!E35</f>
        <v>1151.3699999999999</v>
      </c>
      <c r="F35" s="380">
        <f>+'q23'!F35</f>
        <v>1156.6300000000001</v>
      </c>
      <c r="G35" s="380">
        <f>+'q23'!G35</f>
        <v>1124.5899999999999</v>
      </c>
      <c r="H35" s="380">
        <f>+'q23'!H35</f>
        <v>1175.06</v>
      </c>
      <c r="I35" s="380">
        <f>+'q23'!I35</f>
        <v>1241.52</v>
      </c>
      <c r="J35" s="380">
        <f>+'q23'!J35</f>
        <v>1278.25</v>
      </c>
      <c r="K35" s="380">
        <f>+'q23'!K35</f>
        <v>1314.59</v>
      </c>
      <c r="L35" s="380">
        <f>+'q23'!L35</f>
        <v>1406.26</v>
      </c>
      <c r="M35" s="380">
        <f>+'q23'!M35</f>
        <v>1500.95</v>
      </c>
      <c r="N35" s="264"/>
      <c r="P35" s="263" t="s">
        <v>41</v>
      </c>
      <c r="Q35" s="440" t="s">
        <v>45</v>
      </c>
      <c r="R35" s="485">
        <f>+$C$35*q14a!$C$35</f>
        <v>98154472.25</v>
      </c>
      <c r="S35" s="485">
        <f>+$D$35*q14a!$D$35</f>
        <v>98230440.959999993</v>
      </c>
      <c r="T35" s="485">
        <f>+$E$35*q14a!$E$35</f>
        <v>102991197.86999999</v>
      </c>
      <c r="U35" s="485">
        <f>+$F$35*q14a!$F$35</f>
        <v>100691581.28000002</v>
      </c>
      <c r="V35" s="485">
        <f>+$G$35*q14a!$G$35</f>
        <v>105078315.83</v>
      </c>
      <c r="W35" s="485">
        <f>+$H$35*q14a!$H$35</f>
        <v>115014872.8</v>
      </c>
      <c r="X35" s="485">
        <f>+$I$35*q14a!$I$35</f>
        <v>138281739.12</v>
      </c>
      <c r="Y35" s="485">
        <f>+$J$35*q14a!$J$35</f>
        <v>143606274.5</v>
      </c>
      <c r="Z35" s="485">
        <f>+$K$35*q14a!$K$35</f>
        <v>142263615.20999998</v>
      </c>
      <c r="AA35" s="485">
        <f>+$L$35*q14a!$L$35</f>
        <v>177934077.80000001</v>
      </c>
      <c r="AB35" s="485">
        <f>+$M$35*q14a!$M$35</f>
        <v>207090574.34999999</v>
      </c>
    </row>
    <row r="36" spans="1:28" s="252" customFormat="1" ht="12.75" customHeight="1">
      <c r="A36" s="256"/>
      <c r="B36" s="270" t="str">
        <f>+'q23'!B36</f>
        <v>H</v>
      </c>
      <c r="C36" s="381">
        <f>+'q23'!C36</f>
        <v>1293.8900000000001</v>
      </c>
      <c r="D36" s="381">
        <f>+'q23'!D36</f>
        <v>1227.71</v>
      </c>
      <c r="E36" s="381">
        <f>+'q23'!E36</f>
        <v>1228.2</v>
      </c>
      <c r="F36" s="381">
        <f>+'q23'!F36</f>
        <v>1227.9000000000001</v>
      </c>
      <c r="G36" s="381">
        <f>+'q23'!G36</f>
        <v>1183.95</v>
      </c>
      <c r="H36" s="381">
        <f>+'q23'!H36</f>
        <v>1255.73</v>
      </c>
      <c r="I36" s="381">
        <f>+'q23'!I36</f>
        <v>1326.22</v>
      </c>
      <c r="J36" s="381">
        <f>+'q23'!J36</f>
        <v>1368.4</v>
      </c>
      <c r="K36" s="381">
        <f>+'q23'!K36</f>
        <v>1400.9</v>
      </c>
      <c r="L36" s="381">
        <f>+'q23'!L36</f>
        <v>1474.39</v>
      </c>
      <c r="M36" s="381">
        <f>+'q23'!M36</f>
        <v>1553.34</v>
      </c>
      <c r="N36" s="262"/>
      <c r="P36" s="256"/>
      <c r="Q36" s="270" t="s">
        <v>53</v>
      </c>
      <c r="R36" s="485">
        <f>+$C$36*q14a!$C$36</f>
        <v>59165708.030000001</v>
      </c>
      <c r="S36" s="485">
        <f>+$D$36*q14a!$D$36</f>
        <v>58113652.850000001</v>
      </c>
      <c r="T36" s="485">
        <f>+$E$36*q14a!$E$36</f>
        <v>60309532.800000004</v>
      </c>
      <c r="U36" s="485">
        <f>+$F$36*q14a!$F$36</f>
        <v>59425448.400000006</v>
      </c>
      <c r="V36" s="485">
        <f>+$G$36*q14a!$G$36</f>
        <v>59658056.550000004</v>
      </c>
      <c r="W36" s="485">
        <f>+$H$36*q14a!$H$36</f>
        <v>66425605.539999999</v>
      </c>
      <c r="X36" s="485">
        <f>+$I$36*q14a!$I$36</f>
        <v>79510867.659999996</v>
      </c>
      <c r="Y36" s="485">
        <f>+$J$36*q14a!$J$36</f>
        <v>85330687.200000003</v>
      </c>
      <c r="Z36" s="485">
        <f>+$K$36*q14a!$K$36</f>
        <v>83099987.100000009</v>
      </c>
      <c r="AA36" s="485">
        <f>+$L$36*q14a!$L$36</f>
        <v>104131742.53</v>
      </c>
      <c r="AB36" s="485">
        <f>+$M$36*q14a!$M$36</f>
        <v>124810869</v>
      </c>
    </row>
    <row r="37" spans="1:28" s="252" customFormat="1" ht="12.75" customHeight="1">
      <c r="A37" s="266"/>
      <c r="B37" s="270" t="str">
        <f>+'q23'!B37</f>
        <v>M</v>
      </c>
      <c r="C37" s="381">
        <f>+'q23'!C37</f>
        <v>1056.27</v>
      </c>
      <c r="D37" s="381">
        <f>+'q23'!D37</f>
        <v>1062.1500000000001</v>
      </c>
      <c r="E37" s="381">
        <f>+'q23'!E37</f>
        <v>1057.8699999999999</v>
      </c>
      <c r="F37" s="381">
        <f>+'q23'!F37</f>
        <v>1067.4100000000001</v>
      </c>
      <c r="G37" s="381">
        <f>+'q23'!G37</f>
        <v>1055.1099999999999</v>
      </c>
      <c r="H37" s="381">
        <f>+'q23'!H37</f>
        <v>1080.19</v>
      </c>
      <c r="I37" s="381">
        <f>+'q23'!I37</f>
        <v>1142.78</v>
      </c>
      <c r="J37" s="381">
        <f>+'q23'!J37</f>
        <v>1165.79</v>
      </c>
      <c r="K37" s="381">
        <f>+'q23'!K37</f>
        <v>1209.8800000000001</v>
      </c>
      <c r="L37" s="381">
        <f>+'q23'!L37</f>
        <v>1320.19</v>
      </c>
      <c r="M37" s="381">
        <f>+'q23'!M37</f>
        <v>1427.89</v>
      </c>
      <c r="N37" s="262"/>
      <c r="P37" s="266"/>
      <c r="Q37" s="270" t="s">
        <v>54</v>
      </c>
      <c r="R37" s="485">
        <f>+$C$37*q14a!$C$37</f>
        <v>38989038.240000002</v>
      </c>
      <c r="S37" s="485">
        <f>+$D$37*q14a!$D$37</f>
        <v>40116343.350000001</v>
      </c>
      <c r="T37" s="485">
        <f>+$E$37*q14a!$E$37</f>
        <v>42681880.889999993</v>
      </c>
      <c r="U37" s="485">
        <f>+$F$37*q14a!$F$37</f>
        <v>41266070.600000001</v>
      </c>
      <c r="V37" s="485">
        <f>+$G$37*q14a!$G$37</f>
        <v>45420375.279999994</v>
      </c>
      <c r="W37" s="485">
        <f>+$H$37*q14a!$H$37</f>
        <v>48589106.580000006</v>
      </c>
      <c r="X37" s="485">
        <f>+$I$37*q14a!$I$37</f>
        <v>58770889.839999996</v>
      </c>
      <c r="Y37" s="485">
        <f>+$J$37*q14a!$J$37</f>
        <v>58275510.519999996</v>
      </c>
      <c r="Z37" s="485">
        <f>+$K$37*q14a!$K$37</f>
        <v>59163132.000000007</v>
      </c>
      <c r="AA37" s="485">
        <f>+$L$37*q14a!$L$37</f>
        <v>73802581.570000008</v>
      </c>
      <c r="AB37" s="485">
        <f>+$M$37*q14a!$M$37</f>
        <v>82279305.469999999</v>
      </c>
    </row>
    <row r="38" spans="1:28" s="265" customFormat="1" ht="16.5" customHeight="1">
      <c r="A38" s="267" t="str">
        <f>+'q23'!A38</f>
        <v>1 000 e + pessoas</v>
      </c>
      <c r="B38" s="440" t="str">
        <f>+'q23'!B38</f>
        <v>T</v>
      </c>
      <c r="C38" s="380">
        <f>+'q23'!C38</f>
        <v>1008.99</v>
      </c>
      <c r="D38" s="380">
        <f>+'q23'!D38</f>
        <v>989.69</v>
      </c>
      <c r="E38" s="380">
        <f>+'q23'!E38</f>
        <v>1012.18</v>
      </c>
      <c r="F38" s="380">
        <f>+'q23'!F38</f>
        <v>1011.28</v>
      </c>
      <c r="G38" s="380">
        <f>+'q23'!G38</f>
        <v>1042.51</v>
      </c>
      <c r="H38" s="380">
        <f>+'q23'!H38</f>
        <v>1087.9000000000001</v>
      </c>
      <c r="I38" s="380">
        <f>+'q23'!I38</f>
        <v>1152.04</v>
      </c>
      <c r="J38" s="380">
        <f>+'q23'!J38</f>
        <v>1110.18</v>
      </c>
      <c r="K38" s="380">
        <f>+'q23'!K38</f>
        <v>1200.8900000000001</v>
      </c>
      <c r="L38" s="380">
        <f>+'q23'!L38</f>
        <v>1319.01</v>
      </c>
      <c r="M38" s="380">
        <f>+'q23'!M38</f>
        <v>1390.45</v>
      </c>
      <c r="N38" s="264"/>
      <c r="P38" s="267" t="s">
        <v>72</v>
      </c>
      <c r="Q38" s="440" t="s">
        <v>45</v>
      </c>
      <c r="R38" s="485">
        <f>+$C$38*q14a!$C$38</f>
        <v>99886983.030000001</v>
      </c>
      <c r="S38" s="485">
        <f>+$D$38*q14a!$D$38</f>
        <v>103330563.83000001</v>
      </c>
      <c r="T38" s="485">
        <f>+$E$38*q14a!$E$38</f>
        <v>109679824.8</v>
      </c>
      <c r="U38" s="485">
        <f>+$F$38*q14a!$F$38</f>
        <v>120961223.36</v>
      </c>
      <c r="V38" s="485">
        <f>+$G$38*q14a!$G$38</f>
        <v>138848779.37</v>
      </c>
      <c r="W38" s="485">
        <f>+$H$38*q14a!$H$38</f>
        <v>153660435.5</v>
      </c>
      <c r="X38" s="485">
        <f>+$I$38*q14a!$I$38</f>
        <v>175939548.79999998</v>
      </c>
      <c r="Y38" s="485">
        <f>+$J$38*q14a!$J$38</f>
        <v>169787598.66</v>
      </c>
      <c r="Z38" s="485">
        <f>+$K$38*q14a!$K$38</f>
        <v>188976853.96000001</v>
      </c>
      <c r="AA38" s="485">
        <f>+$L$38*q14a!$L$38</f>
        <v>232247323.77000001</v>
      </c>
      <c r="AB38" s="485">
        <f>+$M$38*q14a!$M$38</f>
        <v>237501374.05000001</v>
      </c>
    </row>
    <row r="39" spans="1:28" s="252" customFormat="1" ht="12.75" customHeight="1">
      <c r="A39" s="266"/>
      <c r="B39" s="270" t="str">
        <f>+'q23'!B39</f>
        <v>H</v>
      </c>
      <c r="C39" s="381">
        <f>+'q23'!C39</f>
        <v>1106.8599999999999</v>
      </c>
      <c r="D39" s="381">
        <f>+'q23'!D39</f>
        <v>1071.92</v>
      </c>
      <c r="E39" s="381">
        <f>+'q23'!E39</f>
        <v>1102.03</v>
      </c>
      <c r="F39" s="381">
        <f>+'q23'!F39</f>
        <v>1094.95</v>
      </c>
      <c r="G39" s="381">
        <f>+'q23'!G39</f>
        <v>1110.8900000000001</v>
      </c>
      <c r="H39" s="381">
        <f>+'q23'!H39</f>
        <v>1163.3399999999999</v>
      </c>
      <c r="I39" s="381">
        <f>+'q23'!I39</f>
        <v>1239.6300000000001</v>
      </c>
      <c r="J39" s="381">
        <f>+'q23'!J39</f>
        <v>1174.2</v>
      </c>
      <c r="K39" s="381">
        <f>+'q23'!K39</f>
        <v>1274.7</v>
      </c>
      <c r="L39" s="381">
        <f>+'q23'!L39</f>
        <v>1447.72</v>
      </c>
      <c r="M39" s="381">
        <f>+'q23'!M39</f>
        <v>1531.81</v>
      </c>
      <c r="N39" s="262"/>
      <c r="P39" s="266"/>
      <c r="Q39" s="270" t="s">
        <v>53</v>
      </c>
      <c r="R39" s="485">
        <f>+$C$39*q14a!$C$39</f>
        <v>54188545.019999996</v>
      </c>
      <c r="S39" s="485">
        <f>+$D$39*q14a!$D$39</f>
        <v>57389524.880000003</v>
      </c>
      <c r="T39" s="485">
        <f>+$E$39*q14a!$E$39</f>
        <v>59604394.579999998</v>
      </c>
      <c r="U39" s="485">
        <f>+$F$39*q14a!$F$39</f>
        <v>63649443.5</v>
      </c>
      <c r="V39" s="485">
        <f>+$G$39*q14a!$G$39</f>
        <v>75583844.710000008</v>
      </c>
      <c r="W39" s="485">
        <f>+$H$39*q14a!$H$39</f>
        <v>84213019.25999999</v>
      </c>
      <c r="X39" s="485">
        <f>+$I$39*q14a!$I$39</f>
        <v>95425477.770000011</v>
      </c>
      <c r="Y39" s="485">
        <f>+$J$39*q14a!$J$39</f>
        <v>84517741.799999997</v>
      </c>
      <c r="Z39" s="485">
        <f>+$K$39*q14a!$K$39</f>
        <v>96786696.299999997</v>
      </c>
      <c r="AA39" s="485">
        <f>+$L$39*q14a!$L$39</f>
        <v>125556412.44</v>
      </c>
      <c r="AB39" s="485">
        <f>+$M$39*q14a!$M$39</f>
        <v>126859908.77</v>
      </c>
    </row>
    <row r="40" spans="1:28" s="252" customFormat="1" ht="12.75" customHeight="1">
      <c r="A40" s="268"/>
      <c r="B40" s="269" t="str">
        <f>+'q23'!B40</f>
        <v>M</v>
      </c>
      <c r="C40" s="382">
        <f>+'q23'!C40</f>
        <v>913.22</v>
      </c>
      <c r="D40" s="382">
        <f>+'q23'!D40</f>
        <v>903.14</v>
      </c>
      <c r="E40" s="382">
        <f>+'q23'!E40</f>
        <v>922.64</v>
      </c>
      <c r="F40" s="382">
        <f>+'q23'!F40</f>
        <v>932.17</v>
      </c>
      <c r="G40" s="382">
        <f>+'q23'!G40</f>
        <v>971.1</v>
      </c>
      <c r="H40" s="382">
        <f>+'q23'!H40</f>
        <v>1008.59</v>
      </c>
      <c r="I40" s="382">
        <f>+'q23'!I40</f>
        <v>1063.01</v>
      </c>
      <c r="J40" s="382">
        <f>+'q23'!J40</f>
        <v>1053.26</v>
      </c>
      <c r="K40" s="382">
        <f>+'q23'!K40</f>
        <v>1132.07</v>
      </c>
      <c r="L40" s="382">
        <f>+'q23'!L40</f>
        <v>1194.0899999999999</v>
      </c>
      <c r="M40" s="382">
        <f>+'q23'!M40</f>
        <v>1257.4100000000001</v>
      </c>
      <c r="N40" s="262"/>
      <c r="P40" s="268"/>
      <c r="Q40" s="269" t="s">
        <v>54</v>
      </c>
      <c r="R40" s="485">
        <f>+$C$40*q14a!$C$40</f>
        <v>45697528.800000004</v>
      </c>
      <c r="S40" s="485">
        <f>+$D$40*q14a!$D$40</f>
        <v>45940925.519999996</v>
      </c>
      <c r="T40" s="485">
        <f>+$E$40*q14a!$E$40</f>
        <v>50075363.359999999</v>
      </c>
      <c r="U40" s="485">
        <f>+$F$40*q14a!$F$40</f>
        <v>57311675.939999998</v>
      </c>
      <c r="V40" s="485">
        <f>+$G$40*q14a!$G$40</f>
        <v>63265222.800000004</v>
      </c>
      <c r="W40" s="485">
        <f>+$H$40*q14a!$H$40</f>
        <v>69447473.040000007</v>
      </c>
      <c r="X40" s="485">
        <f>+$I$40*q14a!$I$40</f>
        <v>80513440.409999996</v>
      </c>
      <c r="Y40" s="485">
        <f>+$J$40*q14a!$J$40</f>
        <v>85269823.079999998</v>
      </c>
      <c r="Z40" s="485">
        <f>+$K$40*q14a!$K$40</f>
        <v>92190120.449999988</v>
      </c>
      <c r="AA40" s="485">
        <f>+$L$40*q14a!$L$40</f>
        <v>106691941.5</v>
      </c>
      <c r="AB40" s="485">
        <f>+$M$40*q14a!$M$40</f>
        <v>110642020.72000001</v>
      </c>
    </row>
    <row r="41" spans="1:28" s="249" customFormat="1" ht="14.25" customHeight="1">
      <c r="A41" s="21" t="str">
        <f>+'q23'!A41</f>
        <v>Fonte: GEP/MTSSS, Quadros de Pessoal.</v>
      </c>
      <c r="B41" s="270"/>
      <c r="C41" s="271"/>
      <c r="D41" s="261"/>
      <c r="E41" s="261"/>
      <c r="G41" s="261"/>
      <c r="H41" s="261"/>
      <c r="I41" s="261"/>
      <c r="J41" s="261"/>
      <c r="K41" s="261"/>
      <c r="L41" s="261"/>
      <c r="M41" s="261"/>
      <c r="N41" s="251"/>
    </row>
    <row r="42" spans="1:28" s="249" customFormat="1" ht="29.25" customHeight="1">
      <c r="A42" s="766" t="str">
        <f>+'q23'!A42:M42</f>
        <v xml:space="preserve">      (1) dos trabalhadores por conta de outrem a tempo completo, que auferiram remuneração completa no período de referência.</v>
      </c>
      <c r="B42" s="766"/>
      <c r="C42" s="766"/>
      <c r="D42" s="766"/>
      <c r="E42" s="766"/>
      <c r="F42" s="766"/>
      <c r="G42" s="766"/>
      <c r="H42" s="766"/>
      <c r="I42" s="766"/>
      <c r="J42" s="766"/>
      <c r="K42" s="766"/>
      <c r="L42" s="766"/>
      <c r="M42" s="766"/>
      <c r="N42" s="251"/>
    </row>
    <row r="43" spans="1:28" s="138" customFormat="1" ht="17.25" customHeight="1">
      <c r="A43" s="139"/>
      <c r="B43" s="139"/>
      <c r="N43" s="140"/>
    </row>
  </sheetData>
  <mergeCells count="2">
    <mergeCell ref="A1:M1"/>
    <mergeCell ref="A42:M42"/>
  </mergeCells>
  <conditionalFormatting sqref="A42 F2 E3 A1 F43:F1048576 G41 N6:N16 A2:D3 A43:D1048576 B41:D41 N41:XFD1048576 O5:O16 N17:O40 N3:XFD3 N2:O2 Q2:XFD2 N1:XFD1 A4:O4 A5:I40 AC4:XFD4 R5:XFD40">
    <cfRule type="cellIs" dxfId="1203" priority="41" operator="equal">
      <formula>0</formula>
    </cfRule>
  </conditionalFormatting>
  <conditionalFormatting sqref="E2 E43:E1048576 E41">
    <cfRule type="cellIs" dxfId="1202" priority="40" operator="equal">
      <formula>0</formula>
    </cfRule>
  </conditionalFormatting>
  <conditionalFormatting sqref="A41">
    <cfRule type="cellIs" dxfId="1201" priority="39" operator="equal">
      <formula>0</formula>
    </cfRule>
  </conditionalFormatting>
  <conditionalFormatting sqref="G2 G43:G1048576">
    <cfRule type="cellIs" dxfId="1200" priority="38" operator="equal">
      <formula>0</formula>
    </cfRule>
  </conditionalFormatting>
  <conditionalFormatting sqref="I41">
    <cfRule type="cellIs" dxfId="1199" priority="36" operator="equal">
      <formula>0</formula>
    </cfRule>
  </conditionalFormatting>
  <conditionalFormatting sqref="I2 I43:I1048576">
    <cfRule type="cellIs" dxfId="1198" priority="35" operator="equal">
      <formula>0</formula>
    </cfRule>
  </conditionalFormatting>
  <conditionalFormatting sqref="N5">
    <cfRule type="cellIs" dxfId="1197" priority="34" operator="equal">
      <formula>0</formula>
    </cfRule>
  </conditionalFormatting>
  <conditionalFormatting sqref="H41">
    <cfRule type="cellIs" dxfId="1196" priority="33" operator="equal">
      <formula>0</formula>
    </cfRule>
  </conditionalFormatting>
  <conditionalFormatting sqref="H2 H43:H1048576">
    <cfRule type="cellIs" dxfId="1195" priority="32" operator="equal">
      <formula>0</formula>
    </cfRule>
  </conditionalFormatting>
  <conditionalFormatting sqref="J8:J40">
    <cfRule type="cellIs" dxfId="1194" priority="31" operator="equal">
      <formula>0</formula>
    </cfRule>
  </conditionalFormatting>
  <conditionalFormatting sqref="J5:J7">
    <cfRule type="cellIs" dxfId="1193" priority="29" operator="equal">
      <formula>0</formula>
    </cfRule>
  </conditionalFormatting>
  <conditionalFormatting sqref="J41">
    <cfRule type="cellIs" dxfId="1192" priority="28" operator="equal">
      <formula>0</formula>
    </cfRule>
  </conditionalFormatting>
  <conditionalFormatting sqref="J2 J43:J1048576">
    <cfRule type="cellIs" dxfId="1191" priority="27" operator="equal">
      <formula>0</formula>
    </cfRule>
  </conditionalFormatting>
  <conditionalFormatting sqref="K8:K40">
    <cfRule type="cellIs" dxfId="1190" priority="26" operator="equal">
      <formula>0</formula>
    </cfRule>
  </conditionalFormatting>
  <conditionalFormatting sqref="K5:K7">
    <cfRule type="cellIs" dxfId="1189" priority="24" operator="equal">
      <formula>0</formula>
    </cfRule>
  </conditionalFormatting>
  <conditionalFormatting sqref="K41">
    <cfRule type="cellIs" dxfId="1188" priority="23" operator="equal">
      <formula>0</formula>
    </cfRule>
  </conditionalFormatting>
  <conditionalFormatting sqref="K2 K43:K1048576">
    <cfRule type="cellIs" dxfId="1187" priority="22" operator="equal">
      <formula>0</formula>
    </cfRule>
  </conditionalFormatting>
  <conditionalFormatting sqref="L8:L40">
    <cfRule type="cellIs" dxfId="1186" priority="21" operator="equal">
      <formula>0</formula>
    </cfRule>
  </conditionalFormatting>
  <conditionalFormatting sqref="L5:L7">
    <cfRule type="cellIs" dxfId="1185" priority="19" operator="equal">
      <formula>0</formula>
    </cfRule>
  </conditionalFormatting>
  <conditionalFormatting sqref="L41">
    <cfRule type="cellIs" dxfId="1184" priority="18" operator="equal">
      <formula>0</formula>
    </cfRule>
  </conditionalFormatting>
  <conditionalFormatting sqref="L2 L43:L1048576">
    <cfRule type="cellIs" dxfId="1183" priority="17" operator="equal">
      <formula>0</formula>
    </cfRule>
  </conditionalFormatting>
  <conditionalFormatting sqref="K3">
    <cfRule type="cellIs" dxfId="1182" priority="16" operator="equal">
      <formula>0</formula>
    </cfRule>
  </conditionalFormatting>
  <conditionalFormatting sqref="L3">
    <cfRule type="cellIs" dxfId="1181" priority="15" operator="equal">
      <formula>0</formula>
    </cfRule>
  </conditionalFormatting>
  <conditionalFormatting sqref="M8:M40">
    <cfRule type="cellIs" dxfId="1180" priority="14" operator="equal">
      <formula>0</formula>
    </cfRule>
  </conditionalFormatting>
  <conditionalFormatting sqref="M5:M7">
    <cfRule type="cellIs" dxfId="1179" priority="12" operator="equal">
      <formula>0</formula>
    </cfRule>
  </conditionalFormatting>
  <conditionalFormatting sqref="M41">
    <cfRule type="cellIs" dxfId="1178" priority="11" operator="equal">
      <formula>0</formula>
    </cfRule>
  </conditionalFormatting>
  <conditionalFormatting sqref="M2 M43:M1048576">
    <cfRule type="cellIs" dxfId="1177" priority="10" operator="equal">
      <formula>0</formula>
    </cfRule>
  </conditionalFormatting>
  <conditionalFormatting sqref="M3">
    <cfRule type="cellIs" dxfId="1176" priority="9" operator="equal">
      <formula>0</formula>
    </cfRule>
  </conditionalFormatting>
  <conditionalFormatting sqref="P4:AB4">
    <cfRule type="cellIs" dxfId="1175" priority="8" operator="equal">
      <formula>0</formula>
    </cfRule>
  </conditionalFormatting>
  <conditionalFormatting sqref="P5:Q40">
    <cfRule type="cellIs" dxfId="117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BBB64-87A2-4A60-AABF-F6A0CAF9033C}">
  <sheetPr>
    <tabColor rgb="FFFFFF00"/>
    <pageSetUpPr fitToPage="1"/>
  </sheetPr>
  <dimension ref="A1:GP50"/>
  <sheetViews>
    <sheetView showGridLines="0" workbookViewId="0">
      <selection activeCell="R62" sqref="R62"/>
    </sheetView>
  </sheetViews>
  <sheetFormatPr defaultColWidth="9.140625" defaultRowHeight="11.25"/>
  <cols>
    <col min="1" max="1" width="14.7109375" style="132" customWidth="1"/>
    <col min="2" max="2" width="2.42578125" style="132" customWidth="1"/>
    <col min="3" max="13" width="6.42578125" style="132" customWidth="1"/>
    <col min="14" max="17" width="9.140625" style="132"/>
    <col min="18" max="28" width="10.140625" style="132" bestFit="1" customWidth="1"/>
    <col min="29" max="198" width="9.140625" style="132"/>
    <col min="199" max="16384" width="9.140625" style="29"/>
  </cols>
  <sheetData>
    <row r="1" spans="1:40" s="137" customFormat="1" ht="28.5" customHeight="1">
      <c r="A1" s="767" t="str">
        <f>+'q34'!A1:M1</f>
        <v>Quadro 34 - Remuneração média mensal ganho(1) por dimensão do estabelecimento e sexo</v>
      </c>
      <c r="B1" s="767"/>
      <c r="C1" s="767"/>
      <c r="D1" s="767"/>
      <c r="E1" s="767"/>
      <c r="F1" s="767"/>
      <c r="G1" s="767"/>
      <c r="H1" s="767"/>
      <c r="I1" s="767"/>
      <c r="J1" s="767"/>
      <c r="K1" s="767"/>
      <c r="L1" s="767"/>
      <c r="M1" s="767"/>
      <c r="P1" s="484" t="s">
        <v>279</v>
      </c>
    </row>
    <row r="2" spans="1:40" s="138" customFormat="1" ht="15" customHeight="1">
      <c r="A2" s="90"/>
      <c r="B2" s="90"/>
      <c r="C2" s="91"/>
      <c r="D2" s="91"/>
      <c r="E2" s="91"/>
      <c r="F2" s="91"/>
      <c r="G2" s="91"/>
      <c r="H2" s="91"/>
      <c r="I2" s="91"/>
      <c r="J2" s="91"/>
      <c r="K2" s="91"/>
      <c r="L2" s="91"/>
      <c r="M2" s="91"/>
      <c r="P2" s="132" t="s">
        <v>283</v>
      </c>
    </row>
    <row r="3" spans="1:40" s="61" customFormat="1" ht="15" customHeight="1">
      <c r="A3" s="67" t="s">
        <v>14</v>
      </c>
      <c r="B3" s="68"/>
      <c r="C3" s="427"/>
      <c r="E3" s="427"/>
      <c r="F3" s="427"/>
      <c r="G3" s="427"/>
      <c r="H3" s="427"/>
      <c r="I3" s="427"/>
      <c r="J3" s="427"/>
      <c r="K3" s="427"/>
      <c r="L3" s="427"/>
      <c r="M3" s="427" t="s">
        <v>68</v>
      </c>
      <c r="P3" s="274" t="s">
        <v>282</v>
      </c>
      <c r="Q3" s="249"/>
      <c r="R3" s="249"/>
      <c r="S3" s="249"/>
      <c r="T3" s="249"/>
      <c r="U3" s="249"/>
      <c r="V3" s="249"/>
      <c r="W3" s="249"/>
      <c r="X3" s="249"/>
      <c r="Y3" s="249"/>
      <c r="Z3" s="249"/>
      <c r="AA3" s="249"/>
      <c r="AB3" s="249"/>
      <c r="AD3" s="660" t="s">
        <v>544</v>
      </c>
      <c r="AE3" s="249"/>
      <c r="AF3" s="249"/>
      <c r="AG3" s="249"/>
      <c r="AH3" s="249"/>
      <c r="AI3" s="249"/>
      <c r="AJ3" s="249"/>
      <c r="AK3" s="249"/>
      <c r="AL3" s="249"/>
      <c r="AM3" s="249"/>
      <c r="AN3" s="249"/>
    </row>
    <row r="4" spans="1:40" s="122" customFormat="1" ht="29.25" customHeight="1" thickBot="1">
      <c r="A4" s="69"/>
      <c r="B4" s="69"/>
      <c r="C4" s="69">
        <f>+'q34'!C4</f>
        <v>2013</v>
      </c>
      <c r="D4" s="69">
        <f>+'q34'!D4</f>
        <v>2014</v>
      </c>
      <c r="E4" s="69">
        <f>+'q34'!E4</f>
        <v>2015</v>
      </c>
      <c r="F4" s="69">
        <f>+'q34'!F4</f>
        <v>2016</v>
      </c>
      <c r="G4" s="69">
        <f>+'q34'!G4</f>
        <v>2017</v>
      </c>
      <c r="H4" s="69">
        <f>+'q34'!H4</f>
        <v>2018</v>
      </c>
      <c r="I4" s="69">
        <f>+'q34'!I4</f>
        <v>2019</v>
      </c>
      <c r="J4" s="69">
        <f>+'q34'!J4</f>
        <v>2020</v>
      </c>
      <c r="K4" s="69">
        <f>+'q34'!K4</f>
        <v>2021</v>
      </c>
      <c r="L4" s="69">
        <f>+'q34'!L4</f>
        <v>2022</v>
      </c>
      <c r="M4" s="69">
        <f>+'q34'!M4</f>
        <v>2023</v>
      </c>
      <c r="P4" s="258"/>
      <c r="Q4" s="258"/>
      <c r="R4" s="241">
        <v>2011</v>
      </c>
      <c r="S4" s="241">
        <v>2012</v>
      </c>
      <c r="T4" s="241">
        <v>2013</v>
      </c>
      <c r="U4" s="241">
        <v>2014</v>
      </c>
      <c r="V4" s="241">
        <v>2015</v>
      </c>
      <c r="W4" s="241">
        <v>2016</v>
      </c>
      <c r="X4" s="241">
        <v>2017</v>
      </c>
      <c r="Y4" s="241">
        <v>2018</v>
      </c>
      <c r="Z4" s="241">
        <v>2019</v>
      </c>
      <c r="AA4" s="241">
        <v>2020</v>
      </c>
      <c r="AB4" s="241">
        <v>2021</v>
      </c>
      <c r="AD4" s="260">
        <f>+C4</f>
        <v>2013</v>
      </c>
      <c r="AE4" s="260">
        <f t="shared" ref="AE4:AL4" si="0">+D4</f>
        <v>2014</v>
      </c>
      <c r="AF4" s="260">
        <f t="shared" si="0"/>
        <v>2015</v>
      </c>
      <c r="AG4" s="260">
        <f t="shared" si="0"/>
        <v>2016</v>
      </c>
      <c r="AH4" s="260">
        <f t="shared" si="0"/>
        <v>2017</v>
      </c>
      <c r="AI4" s="260">
        <f t="shared" si="0"/>
        <v>2018</v>
      </c>
      <c r="AJ4" s="260">
        <f t="shared" si="0"/>
        <v>2019</v>
      </c>
      <c r="AK4" s="260">
        <f t="shared" si="0"/>
        <v>2020</v>
      </c>
      <c r="AL4" s="260">
        <f t="shared" si="0"/>
        <v>2021</v>
      </c>
      <c r="AM4" s="260">
        <f>+L4</f>
        <v>2022</v>
      </c>
      <c r="AN4" s="260">
        <f>+M4</f>
        <v>2023</v>
      </c>
    </row>
    <row r="5" spans="1:40" s="71" customFormat="1" ht="16.5" customHeight="1" thickTop="1">
      <c r="A5" s="65" t="str">
        <f>+'q34'!A5</f>
        <v>Total</v>
      </c>
      <c r="B5" s="68" t="str">
        <f>+'q34'!B5</f>
        <v>T</v>
      </c>
      <c r="C5" s="401">
        <f>+'q34'!C5</f>
        <v>1093.82</v>
      </c>
      <c r="D5" s="401">
        <f>+'q34'!D5</f>
        <v>1093.21</v>
      </c>
      <c r="E5" s="401">
        <f>+'q34'!E5</f>
        <v>1096.6600000000001</v>
      </c>
      <c r="F5" s="401">
        <f>+'q34'!F5</f>
        <v>1107.8599999999999</v>
      </c>
      <c r="G5" s="401">
        <f>+'q34'!G5</f>
        <v>1133.3399999999999</v>
      </c>
      <c r="H5" s="401">
        <f>+'q34'!H5</f>
        <v>1170.25</v>
      </c>
      <c r="I5" s="401">
        <f>+'q34'!I5</f>
        <v>1209.94</v>
      </c>
      <c r="J5" s="401">
        <f>+'q34'!J5</f>
        <v>1250.75</v>
      </c>
      <c r="K5" s="401">
        <f>+'q34'!K5</f>
        <v>1294.1099999999999</v>
      </c>
      <c r="L5" s="401">
        <f>+'q34'!L5</f>
        <v>1368</v>
      </c>
      <c r="M5" s="401">
        <f>+'q34'!M5</f>
        <v>1466.66</v>
      </c>
      <c r="O5" s="429"/>
      <c r="P5" s="248" t="s">
        <v>12</v>
      </c>
      <c r="Q5" s="440" t="s">
        <v>45</v>
      </c>
      <c r="R5" s="485">
        <f>+(R8+R11+R14+R17+R20+R23+R26+R29+R32+R35+R38)/q14a!C5</f>
        <v>1093.8167158879266</v>
      </c>
      <c r="S5" s="485">
        <f>+(S8+S11+S14+S17+S20+S23+S26+S29+S32+S35+S38)/q14a!D5</f>
        <v>1093.2090846893157</v>
      </c>
      <c r="T5" s="485">
        <f>+(T8+T11+T14+T17+T20+T23+T26+T29+T32+T35+T38)/q14a!E5</f>
        <v>1096.6567320683573</v>
      </c>
      <c r="U5" s="485">
        <f>+(U8+U11+U14+U17+U20+U23+U26+U29+U32+U35+U38)/q14a!F5</f>
        <v>1107.8556616125954</v>
      </c>
      <c r="V5" s="485">
        <f>+(V8+V11+V14+V17+V20+V23+V26+V29+V32+V35+V38)/q14a!G5</f>
        <v>1133.3432484311259</v>
      </c>
      <c r="W5" s="485">
        <f>+(W8+W11+W14+W17+W20+W23+W26+W29+W32+W35+W38)/q14a!H5</f>
        <v>1170.2507480426889</v>
      </c>
      <c r="X5" s="485">
        <f>+(X8+X11+X14+X17+X20+X23+X26+X29+X32+X35+X38)/q14a!I5</f>
        <v>1209.9374585737323</v>
      </c>
      <c r="Y5" s="485">
        <f>+(Y8+Y11+Y14+Y17+Y20+Y23+Y26+Y29+Y32+Y35+Y38)/q14a!J5</f>
        <v>1250.7521269635017</v>
      </c>
      <c r="Z5" s="485">
        <f>+(Z8+Z11+Z14+Z17+Z20+Z23+Z26+Z29+Z32+Z35+Z38)/q14a!K5</f>
        <v>1294.1096299635462</v>
      </c>
      <c r="AA5" s="485">
        <f>+(AA8+AA11+AA14+AA17+AA20+AA23+AA26+AA29+AA32+AA35+AA38)/q14a!L5</f>
        <v>1367.9932278951142</v>
      </c>
      <c r="AB5" s="485">
        <f>+(AB8+AB11+AB14+AB17+AB20+AB23+AB26+AB29+AB32+AB35+AB38)/q14a!M5</f>
        <v>1466.6553102082996</v>
      </c>
      <c r="AD5" s="659">
        <f>+R5-C5</f>
        <v>-3.28411207328827E-3</v>
      </c>
      <c r="AE5" s="659">
        <f t="shared" ref="AE5:AN7" si="1">+S5-D5</f>
        <v>-9.15310684376891E-4</v>
      </c>
      <c r="AF5" s="659">
        <f t="shared" si="1"/>
        <v>-3.2679316427675076E-3</v>
      </c>
      <c r="AG5" s="659">
        <f t="shared" si="1"/>
        <v>-4.338387404459354E-3</v>
      </c>
      <c r="AH5" s="659">
        <f t="shared" si="1"/>
        <v>3.2484311259395326E-3</v>
      </c>
      <c r="AI5" s="659">
        <f t="shared" si="1"/>
        <v>7.4804268888328806E-4</v>
      </c>
      <c r="AJ5" s="659">
        <f t="shared" si="1"/>
        <v>-2.5414262677259103E-3</v>
      </c>
      <c r="AK5" s="659">
        <f t="shared" si="1"/>
        <v>2.1269635017233668E-3</v>
      </c>
      <c r="AL5" s="659">
        <f t="shared" si="1"/>
        <v>-3.7003645365984994E-4</v>
      </c>
      <c r="AM5" s="659">
        <f t="shared" si="1"/>
        <v>-6.7721048858402355E-3</v>
      </c>
      <c r="AN5" s="659">
        <f t="shared" si="1"/>
        <v>-4.6897917004571354E-3</v>
      </c>
    </row>
    <row r="6" spans="1:40" s="71" customFormat="1" ht="12.75" customHeight="1">
      <c r="A6" s="40"/>
      <c r="B6" s="68" t="str">
        <f>+'q34'!B6</f>
        <v>H</v>
      </c>
      <c r="C6" s="400">
        <f>+'q34'!C6</f>
        <v>1209.21</v>
      </c>
      <c r="D6" s="400">
        <f>+'q34'!D6</f>
        <v>1203.32</v>
      </c>
      <c r="E6" s="400">
        <f>+'q34'!E6</f>
        <v>1207.76</v>
      </c>
      <c r="F6" s="400">
        <f>+'q34'!F6</f>
        <v>1215.1099999999999</v>
      </c>
      <c r="G6" s="400">
        <f>+'q34'!G6</f>
        <v>1236.8499999999999</v>
      </c>
      <c r="H6" s="400">
        <f>+'q34'!H6</f>
        <v>1273.99</v>
      </c>
      <c r="I6" s="400">
        <f>+'q34'!I6</f>
        <v>1312.43</v>
      </c>
      <c r="J6" s="400">
        <f>+'q34'!J6</f>
        <v>1349.35</v>
      </c>
      <c r="K6" s="400">
        <f>+'q34'!K6</f>
        <v>1395.7</v>
      </c>
      <c r="L6" s="400">
        <f>+'q34'!L6</f>
        <v>1476.2</v>
      </c>
      <c r="M6" s="400">
        <f>+'q34'!M6</f>
        <v>1577.33</v>
      </c>
      <c r="O6" s="429"/>
      <c r="P6" s="238"/>
      <c r="Q6" s="440" t="s">
        <v>53</v>
      </c>
      <c r="R6" s="485">
        <f>+(R9+R12+R15+R18+R21+R24+R27+R30+R33+R36+R39)/q14a!C6</f>
        <v>1209.2115663147058</v>
      </c>
      <c r="S6" s="485">
        <f>+(S9+S12+S15+S18+S21+S24+S27+S30+S33+S36+S39)/q14a!D6</f>
        <v>1203.3169351349954</v>
      </c>
      <c r="T6" s="485">
        <f>+(T9+T12+T15+T18+T21+T24+T27+T30+T33+T36+T39)/q14a!E6</f>
        <v>1207.7616792049566</v>
      </c>
      <c r="U6" s="485">
        <f>+(U9+U12+U15+U18+U21+U24+U27+U30+U33+U36+U39)/q14a!F6</f>
        <v>1215.107525537592</v>
      </c>
      <c r="V6" s="485">
        <f>+(V9+V12+V15+V18+V21+V24+V27+V30+V33+V36+V39)/q14a!G6</f>
        <v>1236.8503656694834</v>
      </c>
      <c r="W6" s="485">
        <f>+(W9+W12+W15+W18+W21+W24+W27+W30+W33+W36+W39)/q14a!H6</f>
        <v>1273.9877646293724</v>
      </c>
      <c r="X6" s="485">
        <f>+(X9+X12+X15+X18+X21+X24+X27+X30+X33+X36+X39)/q14a!I6</f>
        <v>1312.4268394507508</v>
      </c>
      <c r="Y6" s="485">
        <f>+(Y9+Y12+Y15+Y18+Y21+Y24+Y27+Y30+Y33+Y36+Y39)/q14a!J6</f>
        <v>1349.352509539196</v>
      </c>
      <c r="Z6" s="485">
        <f>+(Z9+Z12+Z15+Z18+Z21+Z24+Z27+Z30+Z33+Z36+Z39)/q14a!K6</f>
        <v>1395.6950332210558</v>
      </c>
      <c r="AA6" s="485">
        <f>+(AA9+AA12+AA15+AA18+AA21+AA24+AA27+AA30+AA33+AA36+AA39)/q14a!L6</f>
        <v>1476.2024245116547</v>
      </c>
      <c r="AB6" s="485">
        <f>+(AB9+AB12+AB15+AB18+AB21+AB24+AB27+AB30+AB33+AB36+AB39)/q14a!M6</f>
        <v>1577.3247595553205</v>
      </c>
      <c r="AD6" s="659">
        <f t="shared" ref="AD6:AD7" si="2">+R6-C6</f>
        <v>1.5663147057694005E-3</v>
      </c>
      <c r="AE6" s="659">
        <f t="shared" si="1"/>
        <v>-3.0648650044895476E-3</v>
      </c>
      <c r="AF6" s="659">
        <f t="shared" si="1"/>
        <v>1.6792049566447531E-3</v>
      </c>
      <c r="AG6" s="659">
        <f t="shared" si="1"/>
        <v>-2.4744624079175992E-3</v>
      </c>
      <c r="AH6" s="659">
        <f t="shared" si="1"/>
        <v>3.6566948347172001E-4</v>
      </c>
      <c r="AI6" s="659">
        <f t="shared" si="1"/>
        <v>-2.2353706276589946E-3</v>
      </c>
      <c r="AJ6" s="659">
        <f t="shared" si="1"/>
        <v>-3.1605492492872145E-3</v>
      </c>
      <c r="AK6" s="659">
        <f t="shared" si="1"/>
        <v>2.5095391961258429E-3</v>
      </c>
      <c r="AL6" s="659">
        <f t="shared" si="1"/>
        <v>-4.9667789442082722E-3</v>
      </c>
      <c r="AM6" s="659">
        <f t="shared" si="1"/>
        <v>2.4245116546808276E-3</v>
      </c>
      <c r="AN6" s="659">
        <f t="shared" si="1"/>
        <v>-5.2404446794298565E-3</v>
      </c>
    </row>
    <row r="7" spans="1:40" s="71" customFormat="1" ht="12.75" customHeight="1">
      <c r="A7" s="40"/>
      <c r="B7" s="68" t="str">
        <f>+'q34'!B7</f>
        <v>M</v>
      </c>
      <c r="C7" s="400">
        <f>+'q34'!C7</f>
        <v>958.12</v>
      </c>
      <c r="D7" s="400">
        <f>+'q34'!D7</f>
        <v>963.12</v>
      </c>
      <c r="E7" s="400">
        <f>+'q34'!E7</f>
        <v>966.85</v>
      </c>
      <c r="F7" s="400">
        <f>+'q34'!F7</f>
        <v>982.49</v>
      </c>
      <c r="G7" s="400">
        <f>+'q34'!G7</f>
        <v>1011.02</v>
      </c>
      <c r="H7" s="400">
        <f>+'q34'!H7</f>
        <v>1046.5899999999999</v>
      </c>
      <c r="I7" s="400">
        <f>+'q34'!I7</f>
        <v>1086.97</v>
      </c>
      <c r="J7" s="400">
        <f>+'q34'!J7</f>
        <v>1130.8699999999999</v>
      </c>
      <c r="K7" s="400">
        <f>+'q34'!K7</f>
        <v>1172.08</v>
      </c>
      <c r="L7" s="400">
        <f>+'q34'!L7</f>
        <v>1237.52</v>
      </c>
      <c r="M7" s="400">
        <f>+'q34'!M7</f>
        <v>1332.02</v>
      </c>
      <c r="O7" s="429"/>
      <c r="P7" s="238"/>
      <c r="Q7" s="440" t="s">
        <v>54</v>
      </c>
      <c r="R7" s="485">
        <f>+(R10+R13+R16+R19+R22+R25+R28+R31+R34+R37+R40)/q14a!C7</f>
        <v>958.11578839719277</v>
      </c>
      <c r="S7" s="485">
        <f>+(S10+S13+S16+S19+S22+S25+S28+S31+S34+S37+S40)/q14a!D7</f>
        <v>963.11816630804424</v>
      </c>
      <c r="T7" s="485">
        <f>+(T10+T13+T16+T19+T22+T25+T28+T31+T34+T37+T40)/q14a!E7</f>
        <v>966.85089924249996</v>
      </c>
      <c r="U7" s="485">
        <f>+(U10+U13+U16+U19+U22+U25+U28+U31+U34+U37+U40)/q14a!F7</f>
        <v>982.48695440066035</v>
      </c>
      <c r="V7" s="485">
        <f>+(V10+V13+V16+V19+V22+V25+V28+V31+V34+V37+V40)/q14a!G7</f>
        <v>1011.0183231865503</v>
      </c>
      <c r="W7" s="485">
        <f>+(W10+W13+W16+W19+W22+W25+W28+W31+W34+W37+W40)/q14a!H7</f>
        <v>1046.5876637072788</v>
      </c>
      <c r="X7" s="485">
        <f>+(X10+X13+X16+X19+X22+X25+X28+X31+X34+X37+X40)/q14a!I7</f>
        <v>1086.9736389830225</v>
      </c>
      <c r="Y7" s="485">
        <f>+(Y10+Y13+Y16+Y19+Y22+Y25+Y28+Y31+Y34+Y37+Y40)/q14a!J7</f>
        <v>1130.867243799973</v>
      </c>
      <c r="Z7" s="485">
        <f>+(Z10+Z13+Z16+Z19+Z22+Z25+Z28+Z31+Z34+Z37+Z40)/q14a!K7</f>
        <v>1172.0789121125458</v>
      </c>
      <c r="AA7" s="485">
        <f>+(AA10+AA13+AA16+AA19+AA22+AA25+AA28+AA31+AA34+AA37+AA40)/q14a!L7</f>
        <v>1237.5240987747379</v>
      </c>
      <c r="AB7" s="485">
        <f>+(AB10+AB13+AB16+AB19+AB22+AB25+AB28+AB31+AB34+AB37+AB40)/q14a!M7</f>
        <v>1332.0240690358905</v>
      </c>
      <c r="AD7" s="659">
        <f t="shared" si="2"/>
        <v>-4.2116028072314293E-3</v>
      </c>
      <c r="AE7" s="659">
        <f t="shared" si="1"/>
        <v>-1.8336919557668807E-3</v>
      </c>
      <c r="AF7" s="659">
        <f t="shared" si="1"/>
        <v>8.9924249994055572E-4</v>
      </c>
      <c r="AG7" s="659">
        <f t="shared" si="1"/>
        <v>-3.0455993396572012E-3</v>
      </c>
      <c r="AH7" s="659">
        <f t="shared" si="1"/>
        <v>-1.6768134496487619E-3</v>
      </c>
      <c r="AI7" s="659">
        <f t="shared" si="1"/>
        <v>-2.3362927211110218E-3</v>
      </c>
      <c r="AJ7" s="659">
        <f t="shared" si="1"/>
        <v>3.6389830224834441E-3</v>
      </c>
      <c r="AK7" s="659">
        <f t="shared" si="1"/>
        <v>-2.7562000268517295E-3</v>
      </c>
      <c r="AL7" s="659">
        <f t="shared" si="1"/>
        <v>-1.0878874541049299E-3</v>
      </c>
      <c r="AM7" s="659">
        <f t="shared" si="1"/>
        <v>4.0987747379404027E-3</v>
      </c>
      <c r="AN7" s="659">
        <f t="shared" si="1"/>
        <v>4.0690358905521862E-3</v>
      </c>
    </row>
    <row r="8" spans="1:40" s="71" customFormat="1" ht="16.5" customHeight="1">
      <c r="A8" s="72" t="str">
        <f>+'q34'!A8</f>
        <v>1-4 pessoas</v>
      </c>
      <c r="B8" s="68" t="str">
        <f>+'q34'!B8</f>
        <v>T</v>
      </c>
      <c r="C8" s="400">
        <f>+'q34'!C8</f>
        <v>799.84</v>
      </c>
      <c r="D8" s="400">
        <f>+'q34'!D8</f>
        <v>807.75</v>
      </c>
      <c r="E8" s="400">
        <f>+'q34'!E8</f>
        <v>801.28</v>
      </c>
      <c r="F8" s="400">
        <f>+'q34'!F8</f>
        <v>818.74</v>
      </c>
      <c r="G8" s="400">
        <f>+'q34'!G8</f>
        <v>843.63</v>
      </c>
      <c r="H8" s="400">
        <f>+'q34'!H8</f>
        <v>873.63</v>
      </c>
      <c r="I8" s="400">
        <f>+'q34'!I8</f>
        <v>909.38</v>
      </c>
      <c r="J8" s="400">
        <f>+'q34'!J8</f>
        <v>943.37</v>
      </c>
      <c r="K8" s="400">
        <f>+'q34'!K8</f>
        <v>982.2</v>
      </c>
      <c r="L8" s="400">
        <f>+'q34'!L8</f>
        <v>1033.6600000000001</v>
      </c>
      <c r="M8" s="400">
        <f>+'q34'!M8</f>
        <v>1118.18</v>
      </c>
      <c r="P8" s="263" t="s">
        <v>32</v>
      </c>
      <c r="Q8" s="440" t="s">
        <v>45</v>
      </c>
      <c r="R8" s="485">
        <f>+q34_Aux!C8*q14a!C8</f>
        <v>221086973.76000002</v>
      </c>
      <c r="S8" s="485">
        <f>+q34_Aux!D8*q14a!D8</f>
        <v>224514920.25</v>
      </c>
      <c r="T8" s="485">
        <f>+q34_Aux!E8*q14a!E8</f>
        <v>224897661.44</v>
      </c>
      <c r="U8" s="485">
        <f>+q34_Aux!F8*q14a!F8</f>
        <v>231322705.90000001</v>
      </c>
      <c r="V8" s="485">
        <f>+q34_Aux!G8*q14a!G8</f>
        <v>236547102.96000001</v>
      </c>
      <c r="W8" s="485">
        <f>+q34_Aux!H8*q14a!H8</f>
        <v>244760548.94999999</v>
      </c>
      <c r="X8" s="485">
        <f>+q34_Aux!I8*q14a!I8</f>
        <v>246273744.69999999</v>
      </c>
      <c r="Y8" s="485">
        <f>+q34_Aux!J8*q14a!J8</f>
        <v>249261938.25</v>
      </c>
      <c r="Z8" s="485">
        <f>+q34_Aux!K8*q14a!K8</f>
        <v>259222224</v>
      </c>
      <c r="AA8" s="485">
        <f>+q34_Aux!L8*q14a!L8</f>
        <v>283900920.96000004</v>
      </c>
      <c r="AB8" s="485">
        <f>+q34_Aux!M8*q14a!M8</f>
        <v>309826432.58000004</v>
      </c>
    </row>
    <row r="9" spans="1:40" s="71" customFormat="1" ht="12.75" customHeight="1">
      <c r="A9" s="66"/>
      <c r="B9" s="73" t="str">
        <f>+'q34'!B9</f>
        <v>H</v>
      </c>
      <c r="C9" s="402">
        <f>+'q34'!C9</f>
        <v>851.21</v>
      </c>
      <c r="D9" s="402">
        <f>+'q34'!D9</f>
        <v>855.99</v>
      </c>
      <c r="E9" s="402">
        <f>+'q34'!E9</f>
        <v>849.99</v>
      </c>
      <c r="F9" s="402">
        <f>+'q34'!F9</f>
        <v>864.71</v>
      </c>
      <c r="G9" s="402">
        <f>+'q34'!G9</f>
        <v>888.8</v>
      </c>
      <c r="H9" s="402">
        <f>+'q34'!H9</f>
        <v>919.24</v>
      </c>
      <c r="I9" s="402">
        <f>+'q34'!I9</f>
        <v>956.75</v>
      </c>
      <c r="J9" s="402">
        <f>+'q34'!J9</f>
        <v>990.38</v>
      </c>
      <c r="K9" s="402">
        <f>+'q34'!K9</f>
        <v>1031.6099999999999</v>
      </c>
      <c r="L9" s="402">
        <f>+'q34'!L9</f>
        <v>1085.54</v>
      </c>
      <c r="M9" s="402">
        <f>+'q34'!M9</f>
        <v>1170.1400000000001</v>
      </c>
      <c r="P9" s="256"/>
      <c r="Q9" s="270" t="s">
        <v>53</v>
      </c>
      <c r="R9" s="485">
        <f>+q34_Aux!C9*q14a!C9</f>
        <v>118441615.45</v>
      </c>
      <c r="S9" s="485">
        <f>+q34_Aux!D9*q14a!D9</f>
        <v>119802648.42</v>
      </c>
      <c r="T9" s="485">
        <f>+q34_Aux!E9*q14a!E9</f>
        <v>118666253.91</v>
      </c>
      <c r="U9" s="485">
        <f>+q34_Aux!F9*q14a!F9</f>
        <v>122364247.39</v>
      </c>
      <c r="V9" s="485">
        <f>+q34_Aux!G9*q14a!G9</f>
        <v>124925284</v>
      </c>
      <c r="W9" s="485">
        <f>+q34_Aux!H9*q14a!H9</f>
        <v>129458407.68000001</v>
      </c>
      <c r="X9" s="485">
        <f>+q34_Aux!I9*q14a!I9</f>
        <v>130593504.75</v>
      </c>
      <c r="Y9" s="485">
        <f>+q34_Aux!J9*q14a!J9</f>
        <v>133495300.95999999</v>
      </c>
      <c r="Z9" s="485">
        <f>+q34_Aux!K9*q14a!K9</f>
        <v>138194475.59999999</v>
      </c>
      <c r="AA9" s="485">
        <f>+q34_Aux!L9*q14a!L9</f>
        <v>151017068.18000001</v>
      </c>
      <c r="AB9" s="485">
        <f>+q34_Aux!M9*q14a!M9</f>
        <v>164139048.22000003</v>
      </c>
    </row>
    <row r="10" spans="1:40" s="71" customFormat="1" ht="12.75" customHeight="1">
      <c r="A10" s="66"/>
      <c r="B10" s="73" t="str">
        <f>+'q34'!B10</f>
        <v>M</v>
      </c>
      <c r="C10" s="402">
        <f>+'q34'!C10</f>
        <v>747.77</v>
      </c>
      <c r="D10" s="402">
        <f>+'q34'!D10</f>
        <v>758.83</v>
      </c>
      <c r="E10" s="402">
        <f>+'q34'!E10</f>
        <v>753.07</v>
      </c>
      <c r="F10" s="402">
        <f>+'q34'!F10</f>
        <v>772.61</v>
      </c>
      <c r="G10" s="402">
        <f>+'q34'!G10</f>
        <v>798.22</v>
      </c>
      <c r="H10" s="402">
        <f>+'q34'!H10</f>
        <v>827.54</v>
      </c>
      <c r="I10" s="402">
        <f>+'q34'!I10</f>
        <v>861.25</v>
      </c>
      <c r="J10" s="402">
        <f>+'q34'!J10</f>
        <v>894.41</v>
      </c>
      <c r="K10" s="402">
        <f>+'q34'!K10</f>
        <v>931.26</v>
      </c>
      <c r="L10" s="402">
        <f>+'q34'!L10</f>
        <v>980.42</v>
      </c>
      <c r="M10" s="402">
        <f>+'q34'!M10</f>
        <v>1064.9100000000001</v>
      </c>
      <c r="P10" s="256"/>
      <c r="Q10" s="270" t="s">
        <v>54</v>
      </c>
      <c r="R10" s="485">
        <f>+q34_Aux!C10*q14a!C10</f>
        <v>102645640.13</v>
      </c>
      <c r="S10" s="485">
        <f>+q34_Aux!D10*q14a!D10</f>
        <v>104713228.19000001</v>
      </c>
      <c r="T10" s="485">
        <f>+q34_Aux!E10*q14a!E10</f>
        <v>106231066.48</v>
      </c>
      <c r="U10" s="485">
        <f>+q34_Aux!F10*q14a!F10</f>
        <v>108958097.86</v>
      </c>
      <c r="V10" s="485">
        <f>+q34_Aux!G10*q14a!G10</f>
        <v>111620690.14</v>
      </c>
      <c r="W10" s="485">
        <f>+q34_Aux!H10*q14a!H10</f>
        <v>115303630.81999999</v>
      </c>
      <c r="X10" s="485">
        <f>+q34_Aux!I10*q14a!I10</f>
        <v>115681377.5</v>
      </c>
      <c r="Y10" s="485">
        <f>+q34_Aux!J10*q14a!J10</f>
        <v>115766169.53</v>
      </c>
      <c r="Z10" s="485">
        <f>+q34_Aux!K10*q14a!K10</f>
        <v>121026549.59999999</v>
      </c>
      <c r="AA10" s="485">
        <f>+q34_Aux!L10*q14a!L10</f>
        <v>132885146.38</v>
      </c>
      <c r="AB10" s="485">
        <f>+q34_Aux!M10*q14a!M10</f>
        <v>145688207.28</v>
      </c>
    </row>
    <row r="11" spans="1:40" s="127" customFormat="1" ht="16.5" customHeight="1">
      <c r="A11" s="72" t="str">
        <f>+'q34'!A11</f>
        <v>5-9 pessoas</v>
      </c>
      <c r="B11" s="68" t="str">
        <f>+'q34'!B11</f>
        <v>T</v>
      </c>
      <c r="C11" s="400">
        <f>+'q34'!C11</f>
        <v>945.4</v>
      </c>
      <c r="D11" s="400">
        <f>+'q34'!D11</f>
        <v>943.52</v>
      </c>
      <c r="E11" s="400">
        <f>+'q34'!E11</f>
        <v>938.69</v>
      </c>
      <c r="F11" s="400">
        <f>+'q34'!F11</f>
        <v>944.26</v>
      </c>
      <c r="G11" s="400">
        <f>+'q34'!G11</f>
        <v>962.82</v>
      </c>
      <c r="H11" s="400">
        <f>+'q34'!H11</f>
        <v>989.21</v>
      </c>
      <c r="I11" s="400">
        <f>+'q34'!I11</f>
        <v>1016.15</v>
      </c>
      <c r="J11" s="400">
        <f>+'q34'!J11</f>
        <v>1055.55</v>
      </c>
      <c r="K11" s="400">
        <f>+'q34'!K11</f>
        <v>1090.07</v>
      </c>
      <c r="L11" s="400">
        <f>+'q34'!L11</f>
        <v>1140.05</v>
      </c>
      <c r="M11" s="400">
        <f>+'q34'!M11</f>
        <v>1220.49</v>
      </c>
      <c r="P11" s="263" t="s">
        <v>33</v>
      </c>
      <c r="Q11" s="440" t="s">
        <v>45</v>
      </c>
      <c r="R11" s="485">
        <f>+q34_Aux!C11*q14a!C11</f>
        <v>250577324.59999999</v>
      </c>
      <c r="S11" s="485">
        <f>+q34_Aux!D11*q14a!D11</f>
        <v>252701074.56</v>
      </c>
      <c r="T11" s="485">
        <f>+q34_Aux!E11*q14a!E11</f>
        <v>257205753.45000002</v>
      </c>
      <c r="U11" s="485">
        <f>+q34_Aux!F11*q14a!F11</f>
        <v>265947996.22</v>
      </c>
      <c r="V11" s="485">
        <f>+q34_Aux!G11*q14a!G11</f>
        <v>276026051.69999999</v>
      </c>
      <c r="W11" s="485">
        <f>+q34_Aux!H11*q14a!H11</f>
        <v>289535831.74000001</v>
      </c>
      <c r="X11" s="485">
        <f>+q34_Aux!I11*q14a!I11</f>
        <v>296495295.44999999</v>
      </c>
      <c r="Y11" s="485">
        <f>+q34_Aux!J11*q14a!J11</f>
        <v>296444884.19999999</v>
      </c>
      <c r="Z11" s="485">
        <f>+q34_Aux!K11*q14a!K11</f>
        <v>307553439.87</v>
      </c>
      <c r="AA11" s="485">
        <f>+q34_Aux!L11*q14a!L11</f>
        <v>339799882.84999996</v>
      </c>
      <c r="AB11" s="485">
        <f>+q34_Aux!M11*q14a!M11</f>
        <v>373325922.18000001</v>
      </c>
    </row>
    <row r="12" spans="1:40" s="71" customFormat="1" ht="12.75" customHeight="1">
      <c r="A12" s="66"/>
      <c r="B12" s="73" t="str">
        <f>+'q34'!B12</f>
        <v>H</v>
      </c>
      <c r="C12" s="402">
        <f>+'q34'!C12</f>
        <v>998.88</v>
      </c>
      <c r="D12" s="402">
        <f>+'q34'!D12</f>
        <v>991.32</v>
      </c>
      <c r="E12" s="402">
        <f>+'q34'!E12</f>
        <v>983.19</v>
      </c>
      <c r="F12" s="402">
        <f>+'q34'!F12</f>
        <v>986.26</v>
      </c>
      <c r="G12" s="402">
        <f>+'q34'!G12</f>
        <v>1001.68</v>
      </c>
      <c r="H12" s="402">
        <f>+'q34'!H12</f>
        <v>1029.0999999999999</v>
      </c>
      <c r="I12" s="402">
        <f>+'q34'!I12</f>
        <v>1054.94</v>
      </c>
      <c r="J12" s="402">
        <f>+'q34'!J12</f>
        <v>1093.76</v>
      </c>
      <c r="K12" s="402">
        <f>+'q34'!K12</f>
        <v>1129.1500000000001</v>
      </c>
      <c r="L12" s="402">
        <f>+'q34'!L12</f>
        <v>1182.83</v>
      </c>
      <c r="M12" s="402">
        <f>+'q34'!M12</f>
        <v>1263.18</v>
      </c>
      <c r="P12" s="256"/>
      <c r="Q12" s="270" t="s">
        <v>53</v>
      </c>
      <c r="R12" s="485">
        <f>+q34_Aux!C12*q14a!C12</f>
        <v>143858697.59999999</v>
      </c>
      <c r="S12" s="485">
        <f>+q34_Aux!D12*q14a!D12</f>
        <v>144239042.64000002</v>
      </c>
      <c r="T12" s="485">
        <f>+q34_Aux!E12*q14a!E12</f>
        <v>145549481.22</v>
      </c>
      <c r="U12" s="485">
        <f>+q34_Aux!F12*q14a!F12</f>
        <v>150294188.88</v>
      </c>
      <c r="V12" s="485">
        <f>+q34_Aux!G12*q14a!G12</f>
        <v>154762565.03999999</v>
      </c>
      <c r="W12" s="485">
        <f>+q34_Aux!H12*q14a!H12</f>
        <v>162654400.5</v>
      </c>
      <c r="X12" s="485">
        <f>+q34_Aux!I12*q14a!I12</f>
        <v>166645706.98000002</v>
      </c>
      <c r="Y12" s="485">
        <f>+q34_Aux!J12*q14a!J12</f>
        <v>168631541.75999999</v>
      </c>
      <c r="Z12" s="485">
        <f>+q34_Aux!K12*q14a!K12</f>
        <v>173842804.85000002</v>
      </c>
      <c r="AA12" s="485">
        <f>+q34_Aux!L12*q14a!L12</f>
        <v>191040056.13</v>
      </c>
      <c r="AB12" s="485">
        <f>+q34_Aux!M12*q14a!M12</f>
        <v>210088308.06</v>
      </c>
    </row>
    <row r="13" spans="1:40" s="71" customFormat="1" ht="12.75" customHeight="1">
      <c r="A13" s="66"/>
      <c r="B13" s="73" t="str">
        <f>+'q34'!B13</f>
        <v>M</v>
      </c>
      <c r="C13" s="402">
        <f>+'q34'!C13</f>
        <v>881.77</v>
      </c>
      <c r="D13" s="402">
        <f>+'q34'!D13</f>
        <v>886.66</v>
      </c>
      <c r="E13" s="402">
        <f>+'q34'!E13</f>
        <v>886.4</v>
      </c>
      <c r="F13" s="402">
        <f>+'q34'!F13</f>
        <v>894.76</v>
      </c>
      <c r="G13" s="402">
        <f>+'q34'!G13</f>
        <v>917.4</v>
      </c>
      <c r="H13" s="402">
        <f>+'q34'!H13</f>
        <v>942.39</v>
      </c>
      <c r="I13" s="402">
        <f>+'q34'!I13</f>
        <v>970.37</v>
      </c>
      <c r="J13" s="402">
        <f>+'q34'!J13</f>
        <v>1009.03</v>
      </c>
      <c r="K13" s="402">
        <f>+'q34'!K13</f>
        <v>1043.1300000000001</v>
      </c>
      <c r="L13" s="402">
        <f>+'q34'!L13</f>
        <v>1089.45</v>
      </c>
      <c r="M13" s="402">
        <f>+'q34'!M13</f>
        <v>1169.6199999999999</v>
      </c>
      <c r="P13" s="256"/>
      <c r="Q13" s="270" t="s">
        <v>54</v>
      </c>
      <c r="R13" s="485">
        <f>+q34_Aux!C13*q14a!C13</f>
        <v>106719741.33</v>
      </c>
      <c r="S13" s="485">
        <f>+q34_Aux!D13*q14a!D13</f>
        <v>108461571.16</v>
      </c>
      <c r="T13" s="485">
        <f>+q34_Aux!E13*q14a!E13</f>
        <v>111657148.8</v>
      </c>
      <c r="U13" s="485">
        <f>+q34_Aux!F13*q14a!F13</f>
        <v>115655782.84</v>
      </c>
      <c r="V13" s="485">
        <f>+q34_Aux!G13*q14a!G13</f>
        <v>121263766.8</v>
      </c>
      <c r="W13" s="485">
        <f>+q34_Aux!H13*q14a!H13</f>
        <v>126882447.20999999</v>
      </c>
      <c r="X13" s="485">
        <f>+q34_Aux!I13*q14a!I13</f>
        <v>129851031.92</v>
      </c>
      <c r="Y13" s="485">
        <f>+q34_Aux!J13*q14a!J13</f>
        <v>127811812.03999999</v>
      </c>
      <c r="Z13" s="485">
        <f>+q34_Aux!K13*q14a!K13</f>
        <v>133710489.66000001</v>
      </c>
      <c r="AA13" s="485">
        <f>+q34_Aux!L13*q14a!L13</f>
        <v>148760039.70000002</v>
      </c>
      <c r="AB13" s="485">
        <f>+q34_Aux!M13*q14a!M13</f>
        <v>163238015.29999998</v>
      </c>
    </row>
    <row r="14" spans="1:40" s="127" customFormat="1" ht="16.5" customHeight="1">
      <c r="A14" s="72" t="str">
        <f>+'q34'!A14</f>
        <v>10-19 pessoas</v>
      </c>
      <c r="B14" s="68" t="str">
        <f>+'q34'!B14</f>
        <v>T</v>
      </c>
      <c r="C14" s="400">
        <f>+'q34'!C14</f>
        <v>991.35</v>
      </c>
      <c r="D14" s="400">
        <f>+'q34'!D14</f>
        <v>992.6</v>
      </c>
      <c r="E14" s="400">
        <f>+'q34'!E14</f>
        <v>990.45</v>
      </c>
      <c r="F14" s="400">
        <f>+'q34'!F14</f>
        <v>994.21</v>
      </c>
      <c r="G14" s="400">
        <f>+'q34'!G14</f>
        <v>1017.87</v>
      </c>
      <c r="H14" s="400">
        <f>+'q34'!H14</f>
        <v>1046.67</v>
      </c>
      <c r="I14" s="400">
        <f>+'q34'!I14</f>
        <v>1076.53</v>
      </c>
      <c r="J14" s="400">
        <f>+'q34'!J14</f>
        <v>1122.79</v>
      </c>
      <c r="K14" s="400">
        <f>+'q34'!K14</f>
        <v>1155.2</v>
      </c>
      <c r="L14" s="400">
        <f>+'q34'!L14</f>
        <v>1209.76</v>
      </c>
      <c r="M14" s="400">
        <f>+'q34'!M14</f>
        <v>1293.48</v>
      </c>
      <c r="P14" s="263" t="s">
        <v>34</v>
      </c>
      <c r="Q14" s="440" t="s">
        <v>45</v>
      </c>
      <c r="R14" s="485">
        <f>+q34_Aux!C14*q14a!C14</f>
        <v>254110762.80000001</v>
      </c>
      <c r="S14" s="485">
        <f>+q34_Aux!D14*q14a!D14</f>
        <v>262023570.20000002</v>
      </c>
      <c r="T14" s="485">
        <f>+q34_Aux!E14*q14a!E14</f>
        <v>269957052</v>
      </c>
      <c r="U14" s="485">
        <f>+q34_Aux!F14*q14a!F14</f>
        <v>278515006.76999998</v>
      </c>
      <c r="V14" s="485">
        <f>+q34_Aux!G14*q14a!G14</f>
        <v>297387006.42000002</v>
      </c>
      <c r="W14" s="485">
        <f>+q34_Aux!H14*q14a!H14</f>
        <v>318065219.61000001</v>
      </c>
      <c r="X14" s="485">
        <f>+q34_Aux!I14*q14a!I14</f>
        <v>331477581.88999999</v>
      </c>
      <c r="Y14" s="485">
        <f>+q34_Aux!J14*q14a!J14</f>
        <v>327742401</v>
      </c>
      <c r="Z14" s="485">
        <f>+q34_Aux!K14*q14a!K14</f>
        <v>343959644.80000001</v>
      </c>
      <c r="AA14" s="485">
        <f>+q34_Aux!L14*q14a!L14</f>
        <v>385121047.19999999</v>
      </c>
      <c r="AB14" s="485">
        <f>+q34_Aux!M14*q14a!M14</f>
        <v>428016412.44</v>
      </c>
    </row>
    <row r="15" spans="1:40" s="71" customFormat="1" ht="12.75" customHeight="1">
      <c r="A15" s="66"/>
      <c r="B15" s="73" t="str">
        <f>+'q34'!B15</f>
        <v>H</v>
      </c>
      <c r="C15" s="402">
        <f>+'q34'!C15</f>
        <v>1067.97</v>
      </c>
      <c r="D15" s="402">
        <f>+'q34'!D15</f>
        <v>1065.08</v>
      </c>
      <c r="E15" s="402">
        <f>+'q34'!E15</f>
        <v>1063.74</v>
      </c>
      <c r="F15" s="402">
        <f>+'q34'!F15</f>
        <v>1059.92</v>
      </c>
      <c r="G15" s="402">
        <f>+'q34'!G15</f>
        <v>1080.57</v>
      </c>
      <c r="H15" s="402">
        <f>+'q34'!H15</f>
        <v>1108.77</v>
      </c>
      <c r="I15" s="402">
        <f>+'q34'!I15</f>
        <v>1139.4000000000001</v>
      </c>
      <c r="J15" s="402">
        <f>+'q34'!J15</f>
        <v>1183.01</v>
      </c>
      <c r="K15" s="402">
        <f>+'q34'!K15</f>
        <v>1218.78</v>
      </c>
      <c r="L15" s="402">
        <f>+'q34'!L15</f>
        <v>1273.77</v>
      </c>
      <c r="M15" s="402">
        <f>+'q34'!M15</f>
        <v>1356.37</v>
      </c>
      <c r="P15" s="256"/>
      <c r="Q15" s="270" t="s">
        <v>53</v>
      </c>
      <c r="R15" s="485">
        <f>+q34_Aux!C15*q14a!C15</f>
        <v>152760292.86000001</v>
      </c>
      <c r="S15" s="485">
        <f>+q34_Aux!D15*q14a!D15</f>
        <v>156535872.67999998</v>
      </c>
      <c r="T15" s="485">
        <f>+q34_Aux!E15*q14a!E15</f>
        <v>160119463.5</v>
      </c>
      <c r="U15" s="485">
        <f>+q34_Aux!F15*q14a!F15</f>
        <v>164870556</v>
      </c>
      <c r="V15" s="485">
        <f>+q34_Aux!G15*q14a!G15</f>
        <v>176068075.79999998</v>
      </c>
      <c r="W15" s="485">
        <f>+q34_Aux!H15*q14a!H15</f>
        <v>187847813.40000001</v>
      </c>
      <c r="X15" s="485">
        <f>+q34_Aux!I15*q14a!I15</f>
        <v>196663858.20000002</v>
      </c>
      <c r="Y15" s="485">
        <f>+q34_Aux!J15*q14a!J15</f>
        <v>197822932.19999999</v>
      </c>
      <c r="Z15" s="485">
        <f>+q34_Aux!K15*q14a!K15</f>
        <v>205257177.35999998</v>
      </c>
      <c r="AA15" s="485">
        <f>+q34_Aux!L15*q14a!L15</f>
        <v>229278600</v>
      </c>
      <c r="AB15" s="485">
        <f>+q34_Aux!M15*q14a!M15</f>
        <v>253234278.99999997</v>
      </c>
    </row>
    <row r="16" spans="1:40" s="71" customFormat="1" ht="12.75" customHeight="1">
      <c r="A16" s="66"/>
      <c r="B16" s="73" t="str">
        <f>+'q34'!B16</f>
        <v>M</v>
      </c>
      <c r="C16" s="402">
        <f>+'q34'!C16</f>
        <v>894.61</v>
      </c>
      <c r="D16" s="402">
        <f>+'q34'!D16</f>
        <v>901.55</v>
      </c>
      <c r="E16" s="402">
        <f>+'q34'!E16</f>
        <v>900.05</v>
      </c>
      <c r="F16" s="402">
        <f>+'q34'!F16</f>
        <v>912.18</v>
      </c>
      <c r="G16" s="402">
        <f>+'q34'!G16</f>
        <v>938.81</v>
      </c>
      <c r="H16" s="402">
        <f>+'q34'!H16</f>
        <v>968.43</v>
      </c>
      <c r="I16" s="402">
        <f>+'q34'!I16</f>
        <v>996.33</v>
      </c>
      <c r="J16" s="402">
        <f>+'q34'!J16</f>
        <v>1042.02</v>
      </c>
      <c r="K16" s="402">
        <f>+'q34'!K16</f>
        <v>1072.4100000000001</v>
      </c>
      <c r="L16" s="402">
        <f>+'q34'!L16</f>
        <v>1126.48</v>
      </c>
      <c r="M16" s="402">
        <f>+'q34'!M16</f>
        <v>1212.06</v>
      </c>
      <c r="P16" s="256"/>
      <c r="Q16" s="270" t="s">
        <v>54</v>
      </c>
      <c r="R16" s="485">
        <f>+q34_Aux!C16*q14a!C16</f>
        <v>101350366.90000001</v>
      </c>
      <c r="S16" s="485">
        <f>+q34_Aux!D16*q14a!D16</f>
        <v>105486759.3</v>
      </c>
      <c r="T16" s="485">
        <f>+q34_Aux!E16*q14a!E16</f>
        <v>109837601.75</v>
      </c>
      <c r="U16" s="485">
        <f>+q34_Aux!F16*q14a!F16</f>
        <v>113645769.66</v>
      </c>
      <c r="V16" s="485">
        <f>+q34_Aux!G16*q14a!G16</f>
        <v>121318661.05999999</v>
      </c>
      <c r="W16" s="485">
        <f>+q34_Aux!H16*q14a!H16</f>
        <v>130218003.08999999</v>
      </c>
      <c r="X16" s="485">
        <f>+q34_Aux!I16*q14a!I16</f>
        <v>134813412.30000001</v>
      </c>
      <c r="Y16" s="485">
        <f>+q34_Aux!J16*q14a!J16</f>
        <v>129919053.59999999</v>
      </c>
      <c r="Z16" s="485">
        <f>+q34_Aux!K16*q14a!K16</f>
        <v>138702292.17000002</v>
      </c>
      <c r="AA16" s="485">
        <f>+q34_Aux!L16*q14a!L16</f>
        <v>155842875.59999999</v>
      </c>
      <c r="AB16" s="485">
        <f>+q34_Aux!M16*q14a!M16</f>
        <v>174782688.17999998</v>
      </c>
    </row>
    <row r="17" spans="1:28" s="127" customFormat="1" ht="16.5" customHeight="1">
      <c r="A17" s="72" t="str">
        <f>+'q34'!A17</f>
        <v>20-49 pessoas</v>
      </c>
      <c r="B17" s="68" t="str">
        <f>+'q34'!B17</f>
        <v>T</v>
      </c>
      <c r="C17" s="400">
        <f>+'q34'!C17</f>
        <v>1077.58</v>
      </c>
      <c r="D17" s="400">
        <f>+'q34'!D17</f>
        <v>1073.23</v>
      </c>
      <c r="E17" s="400">
        <f>+'q34'!E17</f>
        <v>1071.8800000000001</v>
      </c>
      <c r="F17" s="400">
        <f>+'q34'!F17</f>
        <v>1077.8800000000001</v>
      </c>
      <c r="G17" s="400">
        <f>+'q34'!G17</f>
        <v>1097.3599999999999</v>
      </c>
      <c r="H17" s="400">
        <f>+'q34'!H17</f>
        <v>1128.57</v>
      </c>
      <c r="I17" s="400">
        <f>+'q34'!I17</f>
        <v>1168.72</v>
      </c>
      <c r="J17" s="400">
        <f>+'q34'!J17</f>
        <v>1211.7</v>
      </c>
      <c r="K17" s="400">
        <f>+'q34'!K17</f>
        <v>1250.6400000000001</v>
      </c>
      <c r="L17" s="400">
        <f>+'q34'!L17</f>
        <v>1303.3499999999999</v>
      </c>
      <c r="M17" s="400">
        <f>+'q34'!M17</f>
        <v>1402.73</v>
      </c>
      <c r="P17" s="263" t="s">
        <v>35</v>
      </c>
      <c r="Q17" s="440" t="s">
        <v>45</v>
      </c>
      <c r="R17" s="485">
        <f>+q34_Aux!C17*q14a!C17</f>
        <v>365986038.45999998</v>
      </c>
      <c r="S17" s="485">
        <f>+q34_Aux!D17*q14a!D17</f>
        <v>373048308.62</v>
      </c>
      <c r="T17" s="485">
        <f>+q34_Aux!E17*q14a!E17</f>
        <v>384736319.68000007</v>
      </c>
      <c r="U17" s="485">
        <f>+q34_Aux!F17*q14a!F17</f>
        <v>400691111.20000005</v>
      </c>
      <c r="V17" s="485">
        <f>+q34_Aux!G17*q14a!G17</f>
        <v>422890720.55999994</v>
      </c>
      <c r="W17" s="485">
        <f>+q34_Aux!H17*q14a!H17</f>
        <v>448771346.21999997</v>
      </c>
      <c r="X17" s="485">
        <f>+q34_Aux!I17*q14a!I17</f>
        <v>466114754</v>
      </c>
      <c r="Y17" s="485">
        <f>+q34_Aux!J17*q14a!J17</f>
        <v>466357884.30000001</v>
      </c>
      <c r="Z17" s="485">
        <f>+q34_Aux!K17*q14a!K17</f>
        <v>494649380.88000005</v>
      </c>
      <c r="AA17" s="485">
        <f>+q34_Aux!L17*q14a!L17</f>
        <v>553260344.8499999</v>
      </c>
      <c r="AB17" s="485">
        <f>+q34_Aux!M17*q14a!M17</f>
        <v>628676934.13</v>
      </c>
    </row>
    <row r="18" spans="1:28" s="71" customFormat="1" ht="12.75" customHeight="1">
      <c r="A18" s="66"/>
      <c r="B18" s="73" t="str">
        <f>+'q34'!B18</f>
        <v>H</v>
      </c>
      <c r="C18" s="402">
        <f>+'q34'!C18</f>
        <v>1209.51</v>
      </c>
      <c r="D18" s="402">
        <f>+'q34'!D18</f>
        <v>1201.45</v>
      </c>
      <c r="E18" s="402">
        <f>+'q34'!E18</f>
        <v>1192.8</v>
      </c>
      <c r="F18" s="402">
        <f>+'q34'!F18</f>
        <v>1193.95</v>
      </c>
      <c r="G18" s="402">
        <f>+'q34'!G18</f>
        <v>1207.56</v>
      </c>
      <c r="H18" s="402">
        <f>+'q34'!H18</f>
        <v>1235.6600000000001</v>
      </c>
      <c r="I18" s="402">
        <f>+'q34'!I18</f>
        <v>1274.7</v>
      </c>
      <c r="J18" s="402">
        <f>+'q34'!J18</f>
        <v>1318.5</v>
      </c>
      <c r="K18" s="402">
        <f>+'q34'!K18</f>
        <v>1360.47</v>
      </c>
      <c r="L18" s="402">
        <f>+'q34'!L18</f>
        <v>1413.74</v>
      </c>
      <c r="M18" s="402">
        <f>+'q34'!M18</f>
        <v>1515.37</v>
      </c>
      <c r="P18" s="256"/>
      <c r="Q18" s="270" t="s">
        <v>53</v>
      </c>
      <c r="R18" s="485">
        <f>+q34_Aux!C18*q14a!C18</f>
        <v>218565714.06</v>
      </c>
      <c r="S18" s="485">
        <f>+q34_Aux!D18*q14a!D18</f>
        <v>222264645.65000001</v>
      </c>
      <c r="T18" s="485">
        <f>+q34_Aux!E18*q14a!E18</f>
        <v>228977044.79999998</v>
      </c>
      <c r="U18" s="485">
        <f>+q34_Aux!F18*q14a!F18</f>
        <v>237678432.55000001</v>
      </c>
      <c r="V18" s="485">
        <f>+q34_Aux!G18*q14a!G18</f>
        <v>250527642.95999998</v>
      </c>
      <c r="W18" s="485">
        <f>+q34_Aux!H18*q14a!H18</f>
        <v>265592760.40000001</v>
      </c>
      <c r="X18" s="485">
        <f>+q34_Aux!I18*q14a!I18</f>
        <v>278914557.60000002</v>
      </c>
      <c r="Y18" s="485">
        <f>+q34_Aux!J18*q14a!J18</f>
        <v>281116066.5</v>
      </c>
      <c r="Z18" s="485">
        <f>+q34_Aux!K18*q14a!K18</f>
        <v>296563413.42000002</v>
      </c>
      <c r="AA18" s="485">
        <f>+q34_Aux!L18*q14a!L18</f>
        <v>330287834.98000002</v>
      </c>
      <c r="AB18" s="485">
        <f>+q34_Aux!M18*q14a!M18</f>
        <v>376877065.10999995</v>
      </c>
    </row>
    <row r="19" spans="1:28" s="71" customFormat="1" ht="12.75" customHeight="1">
      <c r="A19" s="66"/>
      <c r="B19" s="73" t="str">
        <f>+'q34'!B19</f>
        <v>M</v>
      </c>
      <c r="C19" s="402">
        <f>+'q34'!C19</f>
        <v>927.58</v>
      </c>
      <c r="D19" s="402">
        <f>+'q34'!D19</f>
        <v>927.35</v>
      </c>
      <c r="E19" s="402">
        <f>+'q34'!E19</f>
        <v>932.86</v>
      </c>
      <c r="F19" s="402">
        <f>+'q34'!F19</f>
        <v>944.06</v>
      </c>
      <c r="G19" s="402">
        <f>+'q34'!G19</f>
        <v>968.84</v>
      </c>
      <c r="H19" s="402">
        <f>+'q34'!H19</f>
        <v>1002.6</v>
      </c>
      <c r="I19" s="402">
        <f>+'q34'!I19</f>
        <v>1039.92</v>
      </c>
      <c r="J19" s="402">
        <f>+'q34'!J19</f>
        <v>1079.06</v>
      </c>
      <c r="K19" s="402">
        <f>+'q34'!K19</f>
        <v>1115.78</v>
      </c>
      <c r="L19" s="402">
        <f>+'q34'!L19</f>
        <v>1168.23</v>
      </c>
      <c r="M19" s="402">
        <f>+'q34'!M19</f>
        <v>1262.29</v>
      </c>
      <c r="P19" s="256"/>
      <c r="Q19" s="270" t="s">
        <v>54</v>
      </c>
      <c r="R19" s="485">
        <f>+q34_Aux!C19*q14a!C19</f>
        <v>147421216.98000002</v>
      </c>
      <c r="S19" s="485">
        <f>+q34_Aux!D19*q14a!D19</f>
        <v>150784327.95000002</v>
      </c>
      <c r="T19" s="485">
        <f>+q34_Aux!E19*q14a!E19</f>
        <v>155759634.19999999</v>
      </c>
      <c r="U19" s="485">
        <f>+q34_Aux!F19*q14a!F19</f>
        <v>163011784.25999999</v>
      </c>
      <c r="V19" s="485">
        <f>+q34_Aux!G19*q14a!G19</f>
        <v>172361480.20000002</v>
      </c>
      <c r="W19" s="485">
        <f>+q34_Aux!H19*q14a!H19</f>
        <v>183181035.59999999</v>
      </c>
      <c r="X19" s="485">
        <f>+q34_Aux!I19*q14a!I19</f>
        <v>187203278.64000002</v>
      </c>
      <c r="Y19" s="485">
        <f>+q34_Aux!J19*q14a!J19</f>
        <v>185242230.19999999</v>
      </c>
      <c r="Z19" s="485">
        <f>+q34_Aux!K19*q14a!K19</f>
        <v>198085539.18000001</v>
      </c>
      <c r="AA19" s="485">
        <f>+q34_Aux!L19*q14a!L19</f>
        <v>222973050.72</v>
      </c>
      <c r="AB19" s="485">
        <f>+q34_Aux!M19*q14a!M19</f>
        <v>251799084.62</v>
      </c>
    </row>
    <row r="20" spans="1:28" s="127" customFormat="1" ht="16.5" customHeight="1">
      <c r="A20" s="72" t="str">
        <f>+'q34'!A20</f>
        <v>50-99 pessoas</v>
      </c>
      <c r="B20" s="68" t="str">
        <f>+'q34'!B20</f>
        <v>T</v>
      </c>
      <c r="C20" s="400">
        <f>+'q34'!C20</f>
        <v>1144.75</v>
      </c>
      <c r="D20" s="400">
        <f>+'q34'!D20</f>
        <v>1150.3900000000001</v>
      </c>
      <c r="E20" s="400">
        <f>+'q34'!E20</f>
        <v>1152.7</v>
      </c>
      <c r="F20" s="400">
        <f>+'q34'!F20</f>
        <v>1157.8499999999999</v>
      </c>
      <c r="G20" s="400">
        <f>+'q34'!G20</f>
        <v>1193.68</v>
      </c>
      <c r="H20" s="400">
        <f>+'q34'!H20</f>
        <v>1225.69</v>
      </c>
      <c r="I20" s="400">
        <f>+'q34'!I20</f>
        <v>1259.05</v>
      </c>
      <c r="J20" s="400">
        <f>+'q34'!J20</f>
        <v>1298.27</v>
      </c>
      <c r="K20" s="400">
        <f>+'q34'!K20</f>
        <v>1354.79</v>
      </c>
      <c r="L20" s="400">
        <f>+'q34'!L20</f>
        <v>1418.21</v>
      </c>
      <c r="M20" s="400">
        <f>+'q34'!M20</f>
        <v>1513.04</v>
      </c>
      <c r="P20" s="263" t="s">
        <v>36</v>
      </c>
      <c r="Q20" s="440" t="s">
        <v>45</v>
      </c>
      <c r="R20" s="485">
        <f>+q34_Aux!C20*q14a!C20</f>
        <v>250983003.25</v>
      </c>
      <c r="S20" s="485">
        <f>+q34_Aux!D20*q14a!D20</f>
        <v>257456131.61000001</v>
      </c>
      <c r="T20" s="485">
        <f>+q34_Aux!E20*q14a!E20</f>
        <v>272009535.19999999</v>
      </c>
      <c r="U20" s="485">
        <f>+q34_Aux!F20*q14a!F20</f>
        <v>284403853.34999996</v>
      </c>
      <c r="V20" s="485">
        <f>+q34_Aux!G20*q14a!G20</f>
        <v>301983134.80000001</v>
      </c>
      <c r="W20" s="485">
        <f>+q34_Aux!H20*q14a!H20</f>
        <v>323746402.46000004</v>
      </c>
      <c r="X20" s="485">
        <f>+q34_Aux!I20*q14a!I20</f>
        <v>337531160.19999999</v>
      </c>
      <c r="Y20" s="485">
        <f>+q34_Aux!J20*q14a!J20</f>
        <v>337494374.38999999</v>
      </c>
      <c r="Z20" s="485">
        <f>+q34_Aux!K20*q14a!K20</f>
        <v>363093203.52999997</v>
      </c>
      <c r="AA20" s="485">
        <f>+q34_Aux!L20*q14a!L20</f>
        <v>411278063.57999998</v>
      </c>
      <c r="AB20" s="485">
        <f>+q34_Aux!M20*q14a!M20</f>
        <v>460785740.71999997</v>
      </c>
    </row>
    <row r="21" spans="1:28" s="71" customFormat="1" ht="12.75" customHeight="1">
      <c r="A21" s="66"/>
      <c r="B21" s="73" t="str">
        <f>+'q34'!B21</f>
        <v>H</v>
      </c>
      <c r="C21" s="402">
        <f>+'q34'!C21</f>
        <v>1302.48</v>
      </c>
      <c r="D21" s="402">
        <f>+'q34'!D21</f>
        <v>1303.53</v>
      </c>
      <c r="E21" s="402">
        <f>+'q34'!E21</f>
        <v>1305.5999999999999</v>
      </c>
      <c r="F21" s="402">
        <f>+'q34'!F21</f>
        <v>1304.81</v>
      </c>
      <c r="G21" s="402">
        <f>+'q34'!G21</f>
        <v>1340.33</v>
      </c>
      <c r="H21" s="402">
        <f>+'q34'!H21</f>
        <v>1371.62</v>
      </c>
      <c r="I21" s="402">
        <f>+'q34'!I21</f>
        <v>1397.33</v>
      </c>
      <c r="J21" s="402">
        <f>+'q34'!J21</f>
        <v>1431.57</v>
      </c>
      <c r="K21" s="402">
        <f>+'q34'!K21</f>
        <v>1497.9</v>
      </c>
      <c r="L21" s="402">
        <f>+'q34'!L21</f>
        <v>1563.11</v>
      </c>
      <c r="M21" s="402">
        <f>+'q34'!M21</f>
        <v>1653.43</v>
      </c>
      <c r="P21" s="256"/>
      <c r="Q21" s="270" t="s">
        <v>53</v>
      </c>
      <c r="R21" s="485">
        <f>+q34_Aux!C21*q14a!C21</f>
        <v>150502866.47999999</v>
      </c>
      <c r="S21" s="485">
        <f>+q34_Aux!D21*q14a!D21</f>
        <v>153866074.13999999</v>
      </c>
      <c r="T21" s="485">
        <f>+q34_Aux!E21*q14a!E21</f>
        <v>161464857.59999999</v>
      </c>
      <c r="U21" s="485">
        <f>+q34_Aux!F21*q14a!F21</f>
        <v>168183484.94999999</v>
      </c>
      <c r="V21" s="485">
        <f>+q34_Aux!G21*q14a!G21</f>
        <v>180069314.50999999</v>
      </c>
      <c r="W21" s="485">
        <f>+q34_Aux!H21*q14a!H21</f>
        <v>192901893.55999997</v>
      </c>
      <c r="X21" s="485">
        <f>+q34_Aux!I21*q14a!I21</f>
        <v>200477729.75999999</v>
      </c>
      <c r="Y21" s="485">
        <f>+q34_Aux!J21*q14a!J21</f>
        <v>200070496.91999999</v>
      </c>
      <c r="Z21" s="485">
        <f>+q34_Aux!K21*q14a!K21</f>
        <v>214440861.90000001</v>
      </c>
      <c r="AA21" s="485">
        <f>+q34_Aux!L21*q14a!L21</f>
        <v>244006160.32999998</v>
      </c>
      <c r="AB21" s="485">
        <f>+q34_Aux!M21*q14a!M21</f>
        <v>272505105.16000003</v>
      </c>
    </row>
    <row r="22" spans="1:28" s="71" customFormat="1" ht="12.75" customHeight="1">
      <c r="A22" s="66"/>
      <c r="B22" s="73" t="str">
        <f>+'q34'!B22</f>
        <v>M</v>
      </c>
      <c r="C22" s="402">
        <f>+'q34'!C22</f>
        <v>968.99</v>
      </c>
      <c r="D22" s="402">
        <f>+'q34'!D22</f>
        <v>979.47</v>
      </c>
      <c r="E22" s="402">
        <f>+'q34'!E22</f>
        <v>984.32</v>
      </c>
      <c r="F22" s="402">
        <f>+'q34'!F22</f>
        <v>995.59</v>
      </c>
      <c r="G22" s="402">
        <f>+'q34'!G22</f>
        <v>1027.6199999999999</v>
      </c>
      <c r="H22" s="402">
        <f>+'q34'!H22</f>
        <v>1059.51</v>
      </c>
      <c r="I22" s="402">
        <f>+'q34'!I22</f>
        <v>1099.8499999999999</v>
      </c>
      <c r="J22" s="402">
        <f>+'q34'!J22</f>
        <v>1143.3</v>
      </c>
      <c r="K22" s="402">
        <f>+'q34'!K22</f>
        <v>1190.68</v>
      </c>
      <c r="L22" s="402">
        <f>+'q34'!L22</f>
        <v>1249.28</v>
      </c>
      <c r="M22" s="402">
        <f>+'q34'!M22</f>
        <v>1347.45</v>
      </c>
      <c r="P22" s="256"/>
      <c r="Q22" s="270" t="s">
        <v>54</v>
      </c>
      <c r="R22" s="485">
        <f>+q34_Aux!C22*q14a!C22</f>
        <v>100480387.04000001</v>
      </c>
      <c r="S22" s="485">
        <f>+q34_Aux!D22*q14a!D22</f>
        <v>103589726.67</v>
      </c>
      <c r="T22" s="485">
        <f>+q34_Aux!E22*q14a!E22</f>
        <v>110544057.60000001</v>
      </c>
      <c r="U22" s="485">
        <f>+q34_Aux!F22*q14a!F22</f>
        <v>116221194.24000001</v>
      </c>
      <c r="V22" s="485">
        <f>+q34_Aux!G22*q14a!G22</f>
        <v>121914781.55999999</v>
      </c>
      <c r="W22" s="485">
        <f>+q34_Aux!H22*q14a!H22</f>
        <v>130845246.95999999</v>
      </c>
      <c r="X22" s="485">
        <f>+q34_Aux!I22*q14a!I22</f>
        <v>137054508.19999999</v>
      </c>
      <c r="Y22" s="485">
        <f>+q34_Aux!J22*q14a!J22</f>
        <v>137425803.29999998</v>
      </c>
      <c r="Z22" s="485">
        <f>+q34_Aux!K22*q14a!K22</f>
        <v>148651635.28</v>
      </c>
      <c r="AA22" s="485">
        <f>+q34_Aux!L22*q14a!L22</f>
        <v>167272345.59999999</v>
      </c>
      <c r="AB22" s="485">
        <f>+q34_Aux!M22*q14a!M22</f>
        <v>188280535.95000002</v>
      </c>
    </row>
    <row r="23" spans="1:28" s="127" customFormat="1" ht="16.5" customHeight="1">
      <c r="A23" s="72" t="str">
        <f>+'q34'!A23</f>
        <v>100-149 pessoas</v>
      </c>
      <c r="B23" s="68" t="str">
        <f>+'q34'!B23</f>
        <v>T</v>
      </c>
      <c r="C23" s="400">
        <f>+'q34'!C23</f>
        <v>1323.3</v>
      </c>
      <c r="D23" s="400">
        <f>+'q34'!D23</f>
        <v>1313.56</v>
      </c>
      <c r="E23" s="400">
        <f>+'q34'!E23</f>
        <v>1327.59</v>
      </c>
      <c r="F23" s="400">
        <f>+'q34'!F23</f>
        <v>1303.5</v>
      </c>
      <c r="G23" s="400">
        <f>+'q34'!G23</f>
        <v>1300.19</v>
      </c>
      <c r="H23" s="400">
        <f>+'q34'!H23</f>
        <v>1352.9</v>
      </c>
      <c r="I23" s="400">
        <f>+'q34'!I23</f>
        <v>1389.89</v>
      </c>
      <c r="J23" s="400">
        <f>+'q34'!J23</f>
        <v>1425.82</v>
      </c>
      <c r="K23" s="400">
        <f>+'q34'!K23</f>
        <v>1467.44</v>
      </c>
      <c r="L23" s="400">
        <f>+'q34'!L23</f>
        <v>1552.23</v>
      </c>
      <c r="M23" s="400">
        <f>+'q34'!M23</f>
        <v>1671.12</v>
      </c>
      <c r="P23" s="263" t="s">
        <v>37</v>
      </c>
      <c r="Q23" s="440" t="s">
        <v>45</v>
      </c>
      <c r="R23" s="485">
        <f>+q34_Aux!C23*q14a!C23</f>
        <v>147901271.09999999</v>
      </c>
      <c r="S23" s="485">
        <f>+q34_Aux!D23*q14a!D23</f>
        <v>154156774.47999999</v>
      </c>
      <c r="T23" s="485">
        <f>+q34_Aux!E23*q14a!E23</f>
        <v>150284515.59</v>
      </c>
      <c r="U23" s="485">
        <f>+q34_Aux!F23*q14a!F23</f>
        <v>153680043</v>
      </c>
      <c r="V23" s="485">
        <f>+q34_Aux!G23*q14a!G23</f>
        <v>158315034.97</v>
      </c>
      <c r="W23" s="485">
        <f>+q34_Aux!H23*q14a!H23</f>
        <v>170474870.30000001</v>
      </c>
      <c r="X23" s="485">
        <f>+q34_Aux!I23*q14a!I23</f>
        <v>177664079.14000002</v>
      </c>
      <c r="Y23" s="485">
        <f>+q34_Aux!J23*q14a!J23</f>
        <v>174076937.97999999</v>
      </c>
      <c r="Z23" s="485">
        <f>+q34_Aux!K23*q14a!K23</f>
        <v>187220397.52000001</v>
      </c>
      <c r="AA23" s="485">
        <f>+q34_Aux!L23*q14a!L23</f>
        <v>214286903.72999999</v>
      </c>
      <c r="AB23" s="485">
        <f>+q34_Aux!M23*q14a!M23</f>
        <v>244267610.39999998</v>
      </c>
    </row>
    <row r="24" spans="1:28" s="71" customFormat="1" ht="12.75" customHeight="1">
      <c r="A24" s="66"/>
      <c r="B24" s="73" t="str">
        <f>+'q34'!B24</f>
        <v>H</v>
      </c>
      <c r="C24" s="402">
        <f>+'q34'!C24</f>
        <v>1487.56</v>
      </c>
      <c r="D24" s="402">
        <f>+'q34'!D24</f>
        <v>1472.2</v>
      </c>
      <c r="E24" s="402">
        <f>+'q34'!E24</f>
        <v>1490.16</v>
      </c>
      <c r="F24" s="402">
        <f>+'q34'!F24</f>
        <v>1453.72</v>
      </c>
      <c r="G24" s="402">
        <f>+'q34'!G24</f>
        <v>1430.19</v>
      </c>
      <c r="H24" s="402">
        <f>+'q34'!H24</f>
        <v>1475.82</v>
      </c>
      <c r="I24" s="402">
        <f>+'q34'!I24</f>
        <v>1514.58</v>
      </c>
      <c r="J24" s="402">
        <f>+'q34'!J24</f>
        <v>1550.11</v>
      </c>
      <c r="K24" s="402">
        <f>+'q34'!K24</f>
        <v>1599.54</v>
      </c>
      <c r="L24" s="402">
        <f>+'q34'!L24</f>
        <v>1681.31</v>
      </c>
      <c r="M24" s="402">
        <f>+'q34'!M24</f>
        <v>1806.44</v>
      </c>
      <c r="P24" s="256"/>
      <c r="Q24" s="270" t="s">
        <v>53</v>
      </c>
      <c r="R24" s="485">
        <f>+q34_Aux!C24*q14a!C24</f>
        <v>93381579</v>
      </c>
      <c r="S24" s="485">
        <f>+q34_Aux!D24*q14a!D24</f>
        <v>98057353.200000003</v>
      </c>
      <c r="T24" s="485">
        <f>+q34_Aux!E24*q14a!E24</f>
        <v>95803876.560000002</v>
      </c>
      <c r="U24" s="485">
        <f>+q34_Aux!F24*q14a!F24</f>
        <v>95875741.439999998</v>
      </c>
      <c r="V24" s="485">
        <f>+q34_Aux!G24*q14a!G24</f>
        <v>98693121.329999998</v>
      </c>
      <c r="W24" s="485">
        <f>+q34_Aux!H24*q14a!H24</f>
        <v>105791205.06</v>
      </c>
      <c r="X24" s="485">
        <f>+q34_Aux!I24*q14a!I24</f>
        <v>109576833.83999999</v>
      </c>
      <c r="Y24" s="485">
        <f>+q34_Aux!J24*q14a!J24</f>
        <v>107627237.52</v>
      </c>
      <c r="Z24" s="485">
        <f>+q34_Aux!K24*q14a!K24</f>
        <v>115182875.39999999</v>
      </c>
      <c r="AA24" s="485">
        <f>+q34_Aux!L24*q14a!L24</f>
        <v>131224564.19</v>
      </c>
      <c r="AB24" s="485">
        <f>+q34_Aux!M24*q14a!M24</f>
        <v>150465613.36000001</v>
      </c>
    </row>
    <row r="25" spans="1:28" s="71" customFormat="1" ht="12.75" customHeight="1">
      <c r="A25" s="66"/>
      <c r="B25" s="73" t="str">
        <f>+'q34'!B25</f>
        <v>M</v>
      </c>
      <c r="C25" s="402">
        <f>+'q34'!C25</f>
        <v>1112.81</v>
      </c>
      <c r="D25" s="402">
        <f>+'q34'!D25</f>
        <v>1105.3699999999999</v>
      </c>
      <c r="E25" s="402">
        <f>+'q34'!E25</f>
        <v>1113.8800000000001</v>
      </c>
      <c r="F25" s="402">
        <f>+'q34'!F25</f>
        <v>1112.76</v>
      </c>
      <c r="G25" s="402">
        <f>+'q34'!G25</f>
        <v>1130.1400000000001</v>
      </c>
      <c r="H25" s="402">
        <f>+'q34'!H25</f>
        <v>1190.72</v>
      </c>
      <c r="I25" s="402">
        <f>+'q34'!I25</f>
        <v>1227.28</v>
      </c>
      <c r="J25" s="402">
        <f>+'q34'!J25</f>
        <v>1261.93</v>
      </c>
      <c r="K25" s="402">
        <f>+'q34'!K25</f>
        <v>1296.28</v>
      </c>
      <c r="L25" s="402">
        <f>+'q34'!L25</f>
        <v>1384.33</v>
      </c>
      <c r="M25" s="402">
        <f>+'q34'!M25</f>
        <v>1491.86</v>
      </c>
      <c r="P25" s="256"/>
      <c r="Q25" s="270" t="s">
        <v>54</v>
      </c>
      <c r="R25" s="485">
        <f>+q34_Aux!C25*q14a!C25</f>
        <v>54518787.519999996</v>
      </c>
      <c r="S25" s="485">
        <f>+q34_Aux!D25*q14a!D25</f>
        <v>56099738.239999995</v>
      </c>
      <c r="T25" s="485">
        <f>+q34_Aux!E25*q14a!E25</f>
        <v>54479870.800000004</v>
      </c>
      <c r="U25" s="485">
        <f>+q34_Aux!F25*q14a!F25</f>
        <v>57803430.960000001</v>
      </c>
      <c r="V25" s="485">
        <f>+q34_Aux!G25*q14a!G25</f>
        <v>59621665.840000004</v>
      </c>
      <c r="W25" s="485">
        <f>+q34_Aux!H25*q14a!H25</f>
        <v>64684673.280000001</v>
      </c>
      <c r="X25" s="485">
        <f>+q34_Aux!I25*q14a!I25</f>
        <v>68087039.840000004</v>
      </c>
      <c r="Y25" s="485">
        <f>+q34_Aux!J25*q14a!J25</f>
        <v>66449448.010000005</v>
      </c>
      <c r="Z25" s="485">
        <f>+q34_Aux!K25*q14a!K25</f>
        <v>72038168.439999998</v>
      </c>
      <c r="AA25" s="485">
        <f>+q34_Aux!L25*q14a!L25</f>
        <v>83062568.659999996</v>
      </c>
      <c r="AB25" s="485">
        <f>+q34_Aux!M25*q14a!M25</f>
        <v>93802189.359999999</v>
      </c>
    </row>
    <row r="26" spans="1:28" s="126" customFormat="1" ht="16.5" customHeight="1">
      <c r="A26" s="72" t="str">
        <f>+'q34'!A26</f>
        <v>150-199 pessoas</v>
      </c>
      <c r="B26" s="68" t="str">
        <f>+'q34'!B26</f>
        <v>T</v>
      </c>
      <c r="C26" s="400">
        <f>+'q34'!C26</f>
        <v>1400.59</v>
      </c>
      <c r="D26" s="400">
        <f>+'q34'!D26</f>
        <v>1384.81</v>
      </c>
      <c r="E26" s="400">
        <f>+'q34'!E26</f>
        <v>1322.84</v>
      </c>
      <c r="F26" s="400">
        <f>+'q34'!F26</f>
        <v>1445.39</v>
      </c>
      <c r="G26" s="400">
        <f>+'q34'!G26</f>
        <v>1376.14</v>
      </c>
      <c r="H26" s="400">
        <f>+'q34'!H26</f>
        <v>1396.1</v>
      </c>
      <c r="I26" s="400">
        <f>+'q34'!I26</f>
        <v>1402.4</v>
      </c>
      <c r="J26" s="400">
        <f>+'q34'!J26</f>
        <v>1472.49</v>
      </c>
      <c r="K26" s="400">
        <f>+'q34'!K26</f>
        <v>1512</v>
      </c>
      <c r="L26" s="400">
        <f>+'q34'!L26</f>
        <v>1587.08</v>
      </c>
      <c r="M26" s="400">
        <f>+'q34'!M26</f>
        <v>1701.74</v>
      </c>
      <c r="P26" s="263" t="s">
        <v>38</v>
      </c>
      <c r="Q26" s="440" t="s">
        <v>45</v>
      </c>
      <c r="R26" s="485">
        <f>+q34_Aux!C26*q14a!C26</f>
        <v>102159034.59999999</v>
      </c>
      <c r="S26" s="485">
        <f>+q34_Aux!D26*q14a!D26</f>
        <v>97778664.479999989</v>
      </c>
      <c r="T26" s="485">
        <f>+q34_Aux!E26*q14a!E26</f>
        <v>99637631.640000001</v>
      </c>
      <c r="U26" s="485">
        <f>+q34_Aux!F26*q14a!F26</f>
        <v>109959489.64</v>
      </c>
      <c r="V26" s="485">
        <f>+q34_Aux!G26*q14a!G26</f>
        <v>107711853.94000001</v>
      </c>
      <c r="W26" s="485">
        <f>+q34_Aux!H26*q14a!H26</f>
        <v>117734509.09999999</v>
      </c>
      <c r="X26" s="485">
        <f>+q34_Aux!I26*q14a!I26</f>
        <v>118264392.00000001</v>
      </c>
      <c r="Y26" s="485">
        <f>+q34_Aux!J26*q14a!J26</f>
        <v>115908522.84</v>
      </c>
      <c r="Z26" s="485">
        <f>+q34_Aux!K26*q14a!K26</f>
        <v>127883448</v>
      </c>
      <c r="AA26" s="485">
        <f>+q34_Aux!L26*q14a!L26</f>
        <v>152656463.95999998</v>
      </c>
      <c r="AB26" s="485">
        <f>+q34_Aux!M26*q14a!M26</f>
        <v>167939615.38</v>
      </c>
    </row>
    <row r="27" spans="1:28" s="211" customFormat="1" ht="12.75" customHeight="1">
      <c r="A27" s="66"/>
      <c r="B27" s="73" t="str">
        <f>+'q34'!B27</f>
        <v>H</v>
      </c>
      <c r="C27" s="402">
        <f>+'q34'!C27</f>
        <v>1541.41</v>
      </c>
      <c r="D27" s="402">
        <f>+'q34'!D27</f>
        <v>1526.42</v>
      </c>
      <c r="E27" s="402">
        <f>+'q34'!E27</f>
        <v>1434.04</v>
      </c>
      <c r="F27" s="402">
        <f>+'q34'!F27</f>
        <v>1628.69</v>
      </c>
      <c r="G27" s="402">
        <f>+'q34'!G27</f>
        <v>1522.4</v>
      </c>
      <c r="H27" s="402">
        <f>+'q34'!H27</f>
        <v>1534.08</v>
      </c>
      <c r="I27" s="402">
        <f>+'q34'!I27</f>
        <v>1506.43</v>
      </c>
      <c r="J27" s="402">
        <f>+'q34'!J27</f>
        <v>1558.5</v>
      </c>
      <c r="K27" s="402">
        <f>+'q34'!K27</f>
        <v>1624.77</v>
      </c>
      <c r="L27" s="402">
        <f>+'q34'!L27</f>
        <v>1706.09</v>
      </c>
      <c r="M27" s="402">
        <f>+'q34'!M27</f>
        <v>1809.92</v>
      </c>
      <c r="P27" s="256"/>
      <c r="Q27" s="270" t="s">
        <v>53</v>
      </c>
      <c r="R27" s="485">
        <f>+q34_Aux!C27*q14a!C27</f>
        <v>66963474.630000003</v>
      </c>
      <c r="S27" s="485">
        <f>+q34_Aux!D27*q14a!D27</f>
        <v>62645803.220000006</v>
      </c>
      <c r="T27" s="485">
        <f>+q34_Aux!E27*q14a!E27</f>
        <v>63592503.799999997</v>
      </c>
      <c r="U27" s="485">
        <f>+q34_Aux!F27*q14a!F27</f>
        <v>71802427.340000004</v>
      </c>
      <c r="V27" s="485">
        <f>+q34_Aux!G27*q14a!G27</f>
        <v>67660023.200000003</v>
      </c>
      <c r="W27" s="485">
        <f>+q34_Aux!H27*q14a!H27</f>
        <v>74129813.75999999</v>
      </c>
      <c r="X27" s="485">
        <f>+q34_Aux!I27*q14a!I27</f>
        <v>72820826.200000003</v>
      </c>
      <c r="Y27" s="485">
        <f>+q34_Aux!J27*q14a!J27</f>
        <v>71424496.5</v>
      </c>
      <c r="Z27" s="485">
        <f>+q34_Aux!K27*q14a!K27</f>
        <v>77264312.579999998</v>
      </c>
      <c r="AA27" s="485">
        <f>+q34_Aux!L27*q14a!L27</f>
        <v>92355769.969999999</v>
      </c>
      <c r="AB27" s="485">
        <f>+q34_Aux!M27*q14a!M27</f>
        <v>103116572.16000001</v>
      </c>
    </row>
    <row r="28" spans="1:28" s="211" customFormat="1" ht="12.75" customHeight="1">
      <c r="A28" s="66"/>
      <c r="B28" s="73" t="str">
        <f>+'q34'!B28</f>
        <v>M</v>
      </c>
      <c r="C28" s="402">
        <f>+'q34'!C28</f>
        <v>1193.19</v>
      </c>
      <c r="D28" s="402">
        <f>+'q34'!D28</f>
        <v>1188.25</v>
      </c>
      <c r="E28" s="402">
        <f>+'q34'!E28</f>
        <v>1163.6400000000001</v>
      </c>
      <c r="F28" s="402">
        <f>+'q34'!F28</f>
        <v>1192.8</v>
      </c>
      <c r="G28" s="402">
        <f>+'q34'!G28</f>
        <v>1183.98</v>
      </c>
      <c r="H28" s="402">
        <f>+'q34'!H28</f>
        <v>1210.93</v>
      </c>
      <c r="I28" s="402">
        <f>+'q34'!I28</f>
        <v>1262.6600000000001</v>
      </c>
      <c r="J28" s="402">
        <f>+'q34'!J28</f>
        <v>1352.63</v>
      </c>
      <c r="K28" s="402">
        <f>+'q34'!K28</f>
        <v>1367.16</v>
      </c>
      <c r="L28" s="402">
        <f>+'q34'!L28</f>
        <v>1433.89</v>
      </c>
      <c r="M28" s="402">
        <f>+'q34'!M28</f>
        <v>1553.99</v>
      </c>
      <c r="P28" s="256"/>
      <c r="Q28" s="270" t="s">
        <v>54</v>
      </c>
      <c r="R28" s="485">
        <f>+q34_Aux!C28*q14a!C28</f>
        <v>35195525.43</v>
      </c>
      <c r="S28" s="485">
        <f>+q34_Aux!D28*q14a!D28</f>
        <v>35132987.75</v>
      </c>
      <c r="T28" s="485">
        <f>+q34_Aux!E28*q14a!E28</f>
        <v>36044912.640000001</v>
      </c>
      <c r="U28" s="485">
        <f>+q34_Aux!F28*q14a!F28</f>
        <v>38157672</v>
      </c>
      <c r="V28" s="485">
        <f>+q34_Aux!G28*q14a!G28</f>
        <v>40051675.439999998</v>
      </c>
      <c r="W28" s="485">
        <f>+q34_Aux!H28*q14a!H28</f>
        <v>43604378.370000005</v>
      </c>
      <c r="X28" s="485">
        <f>+q34_Aux!I28*q14a!I28</f>
        <v>45443133.400000006</v>
      </c>
      <c r="Y28" s="485">
        <f>+q34_Aux!J28*q14a!J28</f>
        <v>44483942.810000002</v>
      </c>
      <c r="Z28" s="485">
        <f>+q34_Aux!K28*q14a!K28</f>
        <v>50619099</v>
      </c>
      <c r="AA28" s="485">
        <f>+q34_Aux!L28*q14a!L28</f>
        <v>60300810.060000002</v>
      </c>
      <c r="AB28" s="485">
        <f>+q34_Aux!M28*q14a!M28</f>
        <v>64823138.859999999</v>
      </c>
    </row>
    <row r="29" spans="1:28" s="126" customFormat="1" ht="16.5" customHeight="1">
      <c r="A29" s="72" t="str">
        <f>+'q34'!A29</f>
        <v>200-249 pessoas</v>
      </c>
      <c r="B29" s="68" t="str">
        <f>+'q34'!B29</f>
        <v>T</v>
      </c>
      <c r="C29" s="400">
        <f>+'q34'!C29</f>
        <v>1439.84</v>
      </c>
      <c r="D29" s="400">
        <f>+'q34'!D29</f>
        <v>1389.18</v>
      </c>
      <c r="E29" s="400">
        <f>+'q34'!E29</f>
        <v>1550.47</v>
      </c>
      <c r="F29" s="400">
        <f>+'q34'!F29</f>
        <v>1457.94</v>
      </c>
      <c r="G29" s="400">
        <f>+'q34'!G29</f>
        <v>1565.5</v>
      </c>
      <c r="H29" s="400">
        <f>+'q34'!H29</f>
        <v>1614.65</v>
      </c>
      <c r="I29" s="400">
        <f>+'q34'!I29</f>
        <v>1633.33</v>
      </c>
      <c r="J29" s="400">
        <f>+'q34'!J29</f>
        <v>1753.65</v>
      </c>
      <c r="K29" s="400">
        <f>+'q34'!K29</f>
        <v>1653.73</v>
      </c>
      <c r="L29" s="400">
        <f>+'q34'!L29</f>
        <v>1727.94</v>
      </c>
      <c r="M29" s="400">
        <f>+'q34'!M29</f>
        <v>1769.4</v>
      </c>
      <c r="P29" s="263" t="s">
        <v>39</v>
      </c>
      <c r="Q29" s="440" t="s">
        <v>45</v>
      </c>
      <c r="R29" s="485">
        <f>+q34_Aux!C29*q14a!C29</f>
        <v>65835244.159999996</v>
      </c>
      <c r="S29" s="485">
        <f>+q34_Aux!D29*q14a!D29</f>
        <v>70491160.74000001</v>
      </c>
      <c r="T29" s="485">
        <f>+q34_Aux!E29*q14a!E29</f>
        <v>79891067.689999998</v>
      </c>
      <c r="U29" s="485">
        <f>+q34_Aux!F29*q14a!F29</f>
        <v>78873096.060000002</v>
      </c>
      <c r="V29" s="485">
        <f>+q34_Aux!G29*q14a!G29</f>
        <v>93527666.5</v>
      </c>
      <c r="W29" s="485">
        <f>+q34_Aux!H29*q14a!H29</f>
        <v>98262755.050000012</v>
      </c>
      <c r="X29" s="485">
        <f>+q34_Aux!I29*q14a!I29</f>
        <v>100743794.39999999</v>
      </c>
      <c r="Y29" s="485">
        <f>+q34_Aux!J29*q14a!J29</f>
        <v>108889389.45</v>
      </c>
      <c r="Z29" s="485">
        <f>+q34_Aux!K29*q14a!K29</f>
        <v>103680602.34999999</v>
      </c>
      <c r="AA29" s="485">
        <f>+q34_Aux!L29*q14a!L29</f>
        <v>119687492.04000001</v>
      </c>
      <c r="AB29" s="485">
        <f>+q34_Aux!M29*q14a!M29</f>
        <v>126379395</v>
      </c>
    </row>
    <row r="30" spans="1:28" s="211" customFormat="1" ht="12.75" customHeight="1">
      <c r="A30" s="66"/>
      <c r="B30" s="73" t="str">
        <f>+'q34'!B30</f>
        <v>H</v>
      </c>
      <c r="C30" s="402">
        <f>+'q34'!C30</f>
        <v>1618.35</v>
      </c>
      <c r="D30" s="402">
        <f>+'q34'!D30</f>
        <v>1529.71</v>
      </c>
      <c r="E30" s="402">
        <f>+'q34'!E30</f>
        <v>1747.43</v>
      </c>
      <c r="F30" s="402">
        <f>+'q34'!F30</f>
        <v>1590.94</v>
      </c>
      <c r="G30" s="402">
        <f>+'q34'!G30</f>
        <v>1803.78</v>
      </c>
      <c r="H30" s="402">
        <f>+'q34'!H30</f>
        <v>1843.08</v>
      </c>
      <c r="I30" s="402">
        <f>+'q34'!I30</f>
        <v>1875.32</v>
      </c>
      <c r="J30" s="402">
        <f>+'q34'!J30</f>
        <v>2004.11</v>
      </c>
      <c r="K30" s="402">
        <f>+'q34'!K30</f>
        <v>1802.34</v>
      </c>
      <c r="L30" s="402">
        <f>+'q34'!L30</f>
        <v>1868.14</v>
      </c>
      <c r="M30" s="402">
        <f>+'q34'!M30</f>
        <v>1952.17</v>
      </c>
      <c r="P30" s="256"/>
      <c r="Q30" s="270" t="s">
        <v>53</v>
      </c>
      <c r="R30" s="485">
        <f>+q34_Aux!C30*q14a!C30</f>
        <v>42996322.799999997</v>
      </c>
      <c r="S30" s="485">
        <f>+q34_Aux!D30*q14a!D30</f>
        <v>45860705.800000004</v>
      </c>
      <c r="T30" s="485">
        <f>+q34_Aux!E30*q14a!E30</f>
        <v>52989067.32</v>
      </c>
      <c r="U30" s="485">
        <f>+q34_Aux!F30*q14a!F30</f>
        <v>51923508.780000001</v>
      </c>
      <c r="V30" s="485">
        <f>+q34_Aux!G30*q14a!G30</f>
        <v>63889887.600000001</v>
      </c>
      <c r="W30" s="485">
        <f>+q34_Aux!H30*q14a!H30</f>
        <v>67231872.239999995</v>
      </c>
      <c r="X30" s="485">
        <f>+q34_Aux!I30*q14a!I30</f>
        <v>69218061.200000003</v>
      </c>
      <c r="Y30" s="485">
        <f>+q34_Aux!J30*q14a!J30</f>
        <v>74504793.359999999</v>
      </c>
      <c r="Z30" s="485">
        <f>+q34_Aux!K30*q14a!K30</f>
        <v>67207456.25999999</v>
      </c>
      <c r="AA30" s="485">
        <f>+q34_Aux!L30*q14a!L30</f>
        <v>78196604.120000005</v>
      </c>
      <c r="AB30" s="485">
        <f>+q34_Aux!M30*q14a!M30</f>
        <v>78637311.939999998</v>
      </c>
    </row>
    <row r="31" spans="1:28" s="211" customFormat="1" ht="12.75" customHeight="1">
      <c r="A31" s="66"/>
      <c r="B31" s="73" t="str">
        <f>+'q34'!B31</f>
        <v>M</v>
      </c>
      <c r="C31" s="402">
        <f>+'q34'!C31</f>
        <v>1192.27</v>
      </c>
      <c r="D31" s="402">
        <f>+'q34'!D31</f>
        <v>1186.27</v>
      </c>
      <c r="E31" s="402">
        <f>+'q34'!E31</f>
        <v>1268.79</v>
      </c>
      <c r="F31" s="402">
        <f>+'q34'!F31</f>
        <v>1255.68</v>
      </c>
      <c r="G31" s="402">
        <f>+'q34'!G31</f>
        <v>1218.51</v>
      </c>
      <c r="H31" s="402">
        <f>+'q34'!H31</f>
        <v>1272.8499999999999</v>
      </c>
      <c r="I31" s="402">
        <f>+'q34'!I31</f>
        <v>1272.74</v>
      </c>
      <c r="J31" s="402">
        <f>+'q34'!J31</f>
        <v>1379.96</v>
      </c>
      <c r="K31" s="402">
        <f>+'q34'!K31</f>
        <v>1435.63</v>
      </c>
      <c r="L31" s="402">
        <f>+'q34'!L31</f>
        <v>1513.81</v>
      </c>
      <c r="M31" s="402">
        <f>+'q34'!M31</f>
        <v>1532.98</v>
      </c>
      <c r="P31" s="256"/>
      <c r="Q31" s="270" t="s">
        <v>54</v>
      </c>
      <c r="R31" s="485">
        <f>+q34_Aux!C31*q14a!C31</f>
        <v>22839124.120000001</v>
      </c>
      <c r="S31" s="485">
        <f>+q34_Aux!D31*q14a!D31</f>
        <v>24630524.009999998</v>
      </c>
      <c r="T31" s="485">
        <f>+q34_Aux!E31*q14a!E31</f>
        <v>26902154.370000001</v>
      </c>
      <c r="U31" s="485">
        <f>+q34_Aux!F31*q14a!F31</f>
        <v>26949404.16</v>
      </c>
      <c r="V31" s="485">
        <f>+q34_Aux!G31*q14a!G31</f>
        <v>29637818.73</v>
      </c>
      <c r="W31" s="485">
        <f>+q34_Aux!H31*q14a!H31</f>
        <v>31030810.149999999</v>
      </c>
      <c r="X31" s="485">
        <f>+q34_Aux!I31*q14a!I31</f>
        <v>31525769.800000001</v>
      </c>
      <c r="Y31" s="485">
        <f>+q34_Aux!J31*q14a!J31</f>
        <v>34384463.32</v>
      </c>
      <c r="Z31" s="485">
        <f>+q34_Aux!K31*q14a!K31</f>
        <v>36473615.780000001</v>
      </c>
      <c r="AA31" s="485">
        <f>+q34_Aux!L31*q14a!L31</f>
        <v>41490504.479999997</v>
      </c>
      <c r="AB31" s="485">
        <f>+q34_Aux!M31*q14a!M31</f>
        <v>47741596.140000001</v>
      </c>
    </row>
    <row r="32" spans="1:28" s="126" customFormat="1" ht="16.5" customHeight="1">
      <c r="A32" s="72" t="str">
        <f>+'q34'!A32</f>
        <v>250-499 pessoas</v>
      </c>
      <c r="B32" s="68" t="str">
        <f>+'q34'!B32</f>
        <v>T</v>
      </c>
      <c r="C32" s="400">
        <f>+'q34'!C32</f>
        <v>1331.73</v>
      </c>
      <c r="D32" s="400">
        <f>+'q34'!D32</f>
        <v>1380.77</v>
      </c>
      <c r="E32" s="400">
        <f>+'q34'!E32</f>
        <v>1377.5</v>
      </c>
      <c r="F32" s="400">
        <f>+'q34'!F32</f>
        <v>1431.92</v>
      </c>
      <c r="G32" s="400">
        <f>+'q34'!G32</f>
        <v>1464.31</v>
      </c>
      <c r="H32" s="400">
        <f>+'q34'!H32</f>
        <v>1486.22</v>
      </c>
      <c r="I32" s="400">
        <f>+'q34'!I32</f>
        <v>1501.69</v>
      </c>
      <c r="J32" s="400">
        <f>+'q34'!J32</f>
        <v>1567.08</v>
      </c>
      <c r="K32" s="400">
        <f>+'q34'!K32</f>
        <v>1645.98</v>
      </c>
      <c r="L32" s="400">
        <f>+'q34'!L32</f>
        <v>1710.6</v>
      </c>
      <c r="M32" s="400">
        <f>+'q34'!M32</f>
        <v>1838.92</v>
      </c>
      <c r="P32" s="263" t="s">
        <v>40</v>
      </c>
      <c r="Q32" s="440" t="s">
        <v>45</v>
      </c>
      <c r="R32" s="485">
        <f>+q34_Aux!C32*q14a!C32</f>
        <v>162163430.37</v>
      </c>
      <c r="S32" s="485">
        <f>+q34_Aux!D32*q14a!D32</f>
        <v>164226022.25999999</v>
      </c>
      <c r="T32" s="485">
        <f>+q34_Aux!E32*q14a!E32</f>
        <v>180619177.5</v>
      </c>
      <c r="U32" s="485">
        <f>+q34_Aux!F32*q14a!F32</f>
        <v>198292281.60000002</v>
      </c>
      <c r="V32" s="485">
        <f>+q34_Aux!G32*q14a!G32</f>
        <v>216634414.32999998</v>
      </c>
      <c r="W32" s="485">
        <f>+q34_Aux!H32*q14a!H32</f>
        <v>232752455.53999999</v>
      </c>
      <c r="X32" s="485">
        <f>+q34_Aux!I32*q14a!I32</f>
        <v>235829902.67000002</v>
      </c>
      <c r="Y32" s="485">
        <f>+q34_Aux!J32*q14a!J32</f>
        <v>241537174.56</v>
      </c>
      <c r="Z32" s="485">
        <f>+q34_Aux!K32*q14a!K32</f>
        <v>251538663.59999999</v>
      </c>
      <c r="AA32" s="485">
        <f>+q34_Aux!L32*q14a!L32</f>
        <v>281320144.19999999</v>
      </c>
      <c r="AB32" s="485">
        <f>+q34_Aux!M32*q14a!M32</f>
        <v>323550618.31999999</v>
      </c>
    </row>
    <row r="33" spans="1:28" s="211" customFormat="1" ht="12.75" customHeight="1">
      <c r="A33" s="66"/>
      <c r="B33" s="73" t="str">
        <f>+'q34'!B33</f>
        <v>H</v>
      </c>
      <c r="C33" s="402">
        <f>+'q34'!C33</f>
        <v>1440.6</v>
      </c>
      <c r="D33" s="402">
        <f>+'q34'!D33</f>
        <v>1496.83</v>
      </c>
      <c r="E33" s="402">
        <f>+'q34'!E33</f>
        <v>1498.32</v>
      </c>
      <c r="F33" s="402">
        <f>+'q34'!F33</f>
        <v>1550.33</v>
      </c>
      <c r="G33" s="402">
        <f>+'q34'!G33</f>
        <v>1569.7</v>
      </c>
      <c r="H33" s="402">
        <f>+'q34'!H33</f>
        <v>1588.96</v>
      </c>
      <c r="I33" s="402">
        <f>+'q34'!I33</f>
        <v>1606.96</v>
      </c>
      <c r="J33" s="402">
        <f>+'q34'!J33</f>
        <v>1674.03</v>
      </c>
      <c r="K33" s="402">
        <f>+'q34'!K33</f>
        <v>1781.25</v>
      </c>
      <c r="L33" s="402">
        <f>+'q34'!L33</f>
        <v>1854.45</v>
      </c>
      <c r="M33" s="402">
        <f>+'q34'!M33</f>
        <v>1981.43</v>
      </c>
      <c r="P33" s="256"/>
      <c r="Q33" s="270" t="s">
        <v>53</v>
      </c>
      <c r="R33" s="485">
        <f>+q34_Aux!C33*q14a!C33</f>
        <v>103397624.39999999</v>
      </c>
      <c r="S33" s="485">
        <f>+q34_Aux!D33*q14a!D33</f>
        <v>105379825.66</v>
      </c>
      <c r="T33" s="485">
        <f>+q34_Aux!E33*q14a!E33</f>
        <v>115202828.16</v>
      </c>
      <c r="U33" s="485">
        <f>+q34_Aux!F33*q14a!F33</f>
        <v>125379838.08999999</v>
      </c>
      <c r="V33" s="485">
        <f>+q34_Aux!G33*q14a!G33</f>
        <v>137626586.90000001</v>
      </c>
      <c r="W33" s="485">
        <f>+q34_Aux!H33*q14a!H33</f>
        <v>148933220.80000001</v>
      </c>
      <c r="X33" s="485">
        <f>+q34_Aux!I33*q14a!I33</f>
        <v>150591435.52000001</v>
      </c>
      <c r="Y33" s="485">
        <f>+q34_Aux!J33*q14a!J33</f>
        <v>153244054.25999999</v>
      </c>
      <c r="Z33" s="485">
        <f>+q34_Aux!K33*q14a!K33</f>
        <v>162656625</v>
      </c>
      <c r="AA33" s="485">
        <f>+q34_Aux!L33*q14a!L33</f>
        <v>180111601.80000001</v>
      </c>
      <c r="AB33" s="485">
        <f>+q34_Aux!M33*q14a!M33</f>
        <v>205678378.29000002</v>
      </c>
    </row>
    <row r="34" spans="1:28" s="211" customFormat="1" ht="12.75" customHeight="1">
      <c r="A34" s="66"/>
      <c r="B34" s="73" t="str">
        <f>+'q34'!B34</f>
        <v>M</v>
      </c>
      <c r="C34" s="402">
        <f>+'q34'!C34</f>
        <v>1175.44</v>
      </c>
      <c r="D34" s="402">
        <f>+'q34'!D34</f>
        <v>1212.42</v>
      </c>
      <c r="E34" s="402">
        <f>+'q34'!E34</f>
        <v>1206.21</v>
      </c>
      <c r="F34" s="402">
        <f>+'q34'!F34</f>
        <v>1265.68</v>
      </c>
      <c r="G34" s="402">
        <f>+'q34'!G34</f>
        <v>1310.99</v>
      </c>
      <c r="H34" s="402">
        <f>+'q34'!H34</f>
        <v>1333.08</v>
      </c>
      <c r="I34" s="402">
        <f>+'q34'!I34</f>
        <v>1345.92</v>
      </c>
      <c r="J34" s="402">
        <f>+'q34'!J34</f>
        <v>1410.67</v>
      </c>
      <c r="K34" s="402">
        <f>+'q34'!K34</f>
        <v>1445.15</v>
      </c>
      <c r="L34" s="402">
        <f>+'q34'!L34</f>
        <v>1503.11</v>
      </c>
      <c r="M34" s="402">
        <f>+'q34'!M34</f>
        <v>1633.86</v>
      </c>
      <c r="P34" s="256"/>
      <c r="Q34" s="270" t="s">
        <v>54</v>
      </c>
      <c r="R34" s="485">
        <f>+q34_Aux!C34*q14a!C34</f>
        <v>58766122.800000004</v>
      </c>
      <c r="S34" s="485">
        <f>+q34_Aux!D34*q14a!D34</f>
        <v>58846017.120000005</v>
      </c>
      <c r="T34" s="485">
        <f>+q34_Aux!E34*q14a!E34</f>
        <v>65416386.93</v>
      </c>
      <c r="U34" s="485">
        <f>+q34_Aux!F34*q14a!F34</f>
        <v>72912027.760000005</v>
      </c>
      <c r="V34" s="485">
        <f>+q34_Aux!G34*q14a!G34</f>
        <v>79008123.340000004</v>
      </c>
      <c r="W34" s="485">
        <f>+q34_Aux!H34*q14a!H34</f>
        <v>83820071.159999996</v>
      </c>
      <c r="X34" s="485">
        <f>+q34_Aux!I34*q14a!I34</f>
        <v>85238459.520000011</v>
      </c>
      <c r="Y34" s="485">
        <f>+q34_Aux!J34*q14a!J34</f>
        <v>88293835.300000012</v>
      </c>
      <c r="Z34" s="485">
        <f>+q34_Aux!K34*q14a!K34</f>
        <v>88882505.600000009</v>
      </c>
      <c r="AA34" s="485">
        <f>+q34_Aux!L34*q14a!L34</f>
        <v>101208905.63</v>
      </c>
      <c r="AB34" s="485">
        <f>+q34_Aux!M34*q14a!M34</f>
        <v>117871561.97999999</v>
      </c>
    </row>
    <row r="35" spans="1:28" s="126" customFormat="1" ht="16.5" customHeight="1">
      <c r="A35" s="72" t="str">
        <f>+'q34'!A35</f>
        <v>500-999 pessoas</v>
      </c>
      <c r="B35" s="68" t="str">
        <f>+'q34'!B35</f>
        <v>T</v>
      </c>
      <c r="C35" s="400">
        <f>+'q34'!C35</f>
        <v>1485.52</v>
      </c>
      <c r="D35" s="400">
        <f>+'q34'!D35</f>
        <v>1449.4</v>
      </c>
      <c r="E35" s="400">
        <f>+'q34'!E35</f>
        <v>1435.29</v>
      </c>
      <c r="F35" s="400">
        <f>+'q34'!F35</f>
        <v>1436.39</v>
      </c>
      <c r="G35" s="400">
        <f>+'q34'!G35</f>
        <v>1413.67</v>
      </c>
      <c r="H35" s="400">
        <f>+'q34'!H35</f>
        <v>1480.55</v>
      </c>
      <c r="I35" s="400">
        <f>+'q34'!I35</f>
        <v>1546.27</v>
      </c>
      <c r="J35" s="400">
        <f>+'q34'!J35</f>
        <v>1593.82</v>
      </c>
      <c r="K35" s="400">
        <f>+'q34'!K35</f>
        <v>1639.07</v>
      </c>
      <c r="L35" s="400">
        <f>+'q34'!L35</f>
        <v>1762.6</v>
      </c>
      <c r="M35" s="400">
        <f>+'q34'!M35</f>
        <v>1881.07</v>
      </c>
      <c r="P35" s="263" t="s">
        <v>41</v>
      </c>
      <c r="Q35" s="440" t="s">
        <v>45</v>
      </c>
      <c r="R35" s="485">
        <f>+q34_Aux!C35*q14a!C35</f>
        <v>122761887.28</v>
      </c>
      <c r="S35" s="485">
        <f>+q34_Aux!D35*q14a!D35</f>
        <v>123349737.60000001</v>
      </c>
      <c r="T35" s="485">
        <f>+q34_Aux!E35*q14a!E35</f>
        <v>128388125.78999999</v>
      </c>
      <c r="U35" s="485">
        <f>+q34_Aux!F35*q14a!F35</f>
        <v>125046367.84</v>
      </c>
      <c r="V35" s="485">
        <f>+q34_Aux!G35*q14a!G35</f>
        <v>132089083.79000001</v>
      </c>
      <c r="W35" s="485">
        <f>+q34_Aux!H35*q14a!H35</f>
        <v>144916234</v>
      </c>
      <c r="X35" s="485">
        <f>+q34_Aux!I35*q14a!I35</f>
        <v>172225098.87</v>
      </c>
      <c r="Y35" s="485">
        <f>+q34_Aux!J35*q14a!J35</f>
        <v>179059301.72</v>
      </c>
      <c r="Z35" s="485">
        <f>+q34_Aux!K35*q14a!K35</f>
        <v>177378516.32999998</v>
      </c>
      <c r="AA35" s="485">
        <f>+q34_Aux!L35*q14a!L35</f>
        <v>223021778</v>
      </c>
      <c r="AB35" s="485">
        <f>+q34_Aux!M35*q14a!M35</f>
        <v>259536871.10999998</v>
      </c>
    </row>
    <row r="36" spans="1:28" s="211" customFormat="1" ht="12.75" customHeight="1">
      <c r="A36" s="66"/>
      <c r="B36" s="73" t="str">
        <f>+'q34'!B36</f>
        <v>H</v>
      </c>
      <c r="C36" s="402">
        <f>+'q34'!C36</f>
        <v>1654.24</v>
      </c>
      <c r="D36" s="402">
        <f>+'q34'!D36</f>
        <v>1578.33</v>
      </c>
      <c r="E36" s="402">
        <f>+'q34'!E36</f>
        <v>1569.61</v>
      </c>
      <c r="F36" s="402">
        <f>+'q34'!F36</f>
        <v>1561.95</v>
      </c>
      <c r="G36" s="402">
        <f>+'q34'!G36</f>
        <v>1527.74</v>
      </c>
      <c r="H36" s="402">
        <f>+'q34'!H36</f>
        <v>1622.22</v>
      </c>
      <c r="I36" s="402">
        <f>+'q34'!I36</f>
        <v>1694.07</v>
      </c>
      <c r="J36" s="402">
        <f>+'q34'!J36</f>
        <v>1734.11</v>
      </c>
      <c r="K36" s="402">
        <f>+'q34'!K36</f>
        <v>1782.45</v>
      </c>
      <c r="L36" s="402">
        <f>+'q34'!L36</f>
        <v>1884.36</v>
      </c>
      <c r="M36" s="402">
        <f>+'q34'!M36</f>
        <v>1988.82</v>
      </c>
      <c r="P36" s="256"/>
      <c r="Q36" s="270" t="s">
        <v>53</v>
      </c>
      <c r="R36" s="485">
        <f>+q34_Aux!C36*q14a!C36</f>
        <v>75643432.480000004</v>
      </c>
      <c r="S36" s="485">
        <f>+q34_Aux!D36*q14a!D36</f>
        <v>74710250.549999997</v>
      </c>
      <c r="T36" s="485">
        <f>+q34_Aux!E36*q14a!E36</f>
        <v>77074129.439999998</v>
      </c>
      <c r="U36" s="485">
        <f>+q34_Aux!F36*q14a!F36</f>
        <v>75592132.200000003</v>
      </c>
      <c r="V36" s="485">
        <f>+q34_Aux!G36*q14a!G36</f>
        <v>76981290.859999999</v>
      </c>
      <c r="W36" s="485">
        <f>+q34_Aux!H36*q14a!H36</f>
        <v>85812193.560000002</v>
      </c>
      <c r="X36" s="485">
        <f>+q34_Aux!I36*q14a!I36</f>
        <v>101564578.70999999</v>
      </c>
      <c r="Y36" s="485">
        <f>+q34_Aux!J36*q14a!J36</f>
        <v>108135631.38</v>
      </c>
      <c r="Z36" s="485">
        <f>+q34_Aux!K36*q14a!K36</f>
        <v>105733151.55</v>
      </c>
      <c r="AA36" s="485">
        <f>+q34_Aux!L36*q14a!L36</f>
        <v>133086693.72</v>
      </c>
      <c r="AB36" s="485">
        <f>+q34_Aux!M36*q14a!M36</f>
        <v>159801687</v>
      </c>
    </row>
    <row r="37" spans="1:28" s="211" customFormat="1" ht="12.75" customHeight="1">
      <c r="A37" s="74"/>
      <c r="B37" s="73" t="str">
        <f>+'q34'!B37</f>
        <v>M</v>
      </c>
      <c r="C37" s="402">
        <f>+'q34'!C37</f>
        <v>1276.51</v>
      </c>
      <c r="D37" s="402">
        <f>+'q34'!D37</f>
        <v>1287.82</v>
      </c>
      <c r="E37" s="402">
        <f>+'q34'!E37</f>
        <v>1271.83</v>
      </c>
      <c r="F37" s="402">
        <f>+'q34'!F37</f>
        <v>1279.21</v>
      </c>
      <c r="G37" s="402">
        <f>+'q34'!G37</f>
        <v>1280.1600000000001</v>
      </c>
      <c r="H37" s="402">
        <f>+'q34'!H37</f>
        <v>1313.95</v>
      </c>
      <c r="I37" s="402">
        <f>+'q34'!I37</f>
        <v>1373.97</v>
      </c>
      <c r="J37" s="402">
        <f>+'q34'!J37</f>
        <v>1418.8</v>
      </c>
      <c r="K37" s="402">
        <f>+'q34'!K37</f>
        <v>1465.14</v>
      </c>
      <c r="L37" s="402">
        <f>+'q34'!L37</f>
        <v>1608.77</v>
      </c>
      <c r="M37" s="402">
        <f>+'q34'!M37</f>
        <v>1730.83</v>
      </c>
      <c r="P37" s="266"/>
      <c r="Q37" s="270" t="s">
        <v>54</v>
      </c>
      <c r="R37" s="485">
        <f>+q34_Aux!C37*q14a!C37</f>
        <v>47118537.119999997</v>
      </c>
      <c r="S37" s="485">
        <f>+q34_Aux!D37*q14a!D37</f>
        <v>48639673.579999998</v>
      </c>
      <c r="T37" s="485">
        <f>+q34_Aux!E37*q14a!E37</f>
        <v>51314525.009999998</v>
      </c>
      <c r="U37" s="485">
        <f>+q34_Aux!F37*q14a!F37</f>
        <v>49454258.600000001</v>
      </c>
      <c r="V37" s="485">
        <f>+q34_Aux!G37*q14a!G37</f>
        <v>55108327.680000007</v>
      </c>
      <c r="W37" s="485">
        <f>+q34_Aux!H37*q14a!H37</f>
        <v>59104098.899999999</v>
      </c>
      <c r="X37" s="485">
        <f>+q34_Aux!I37*q14a!I37</f>
        <v>70660529.159999996</v>
      </c>
      <c r="Y37" s="485">
        <f>+q34_Aux!J37*q14a!J37</f>
        <v>70922974.399999991</v>
      </c>
      <c r="Z37" s="485">
        <f>+q34_Aux!K37*q14a!K37</f>
        <v>71645346</v>
      </c>
      <c r="AA37" s="485">
        <f>+q34_Aux!L37*q14a!L37</f>
        <v>89935069.310000002</v>
      </c>
      <c r="AB37" s="485">
        <f>+q34_Aux!M37*q14a!M37</f>
        <v>99735617.089999989</v>
      </c>
    </row>
    <row r="38" spans="1:28" s="126" customFormat="1" ht="16.5" customHeight="1">
      <c r="A38" s="75" t="str">
        <f>+'q34'!A38</f>
        <v>1 000 e + pessoas</v>
      </c>
      <c r="B38" s="68" t="str">
        <f>+'q34'!B38</f>
        <v>T</v>
      </c>
      <c r="C38" s="400">
        <f>+'q34'!C38</f>
        <v>1255.67</v>
      </c>
      <c r="D38" s="400">
        <f>+'q34'!D38</f>
        <v>1228.81</v>
      </c>
      <c r="E38" s="400">
        <f>+'q34'!E38</f>
        <v>1254.71</v>
      </c>
      <c r="F38" s="400">
        <f>+'q34'!F38</f>
        <v>1252.49</v>
      </c>
      <c r="G38" s="400">
        <f>+'q34'!G38</f>
        <v>1299.76</v>
      </c>
      <c r="H38" s="400">
        <f>+'q34'!H38</f>
        <v>1358.69</v>
      </c>
      <c r="I38" s="400">
        <f>+'q34'!I38</f>
        <v>1430.36</v>
      </c>
      <c r="J38" s="400">
        <f>+'q34'!J38</f>
        <v>1373.13</v>
      </c>
      <c r="K38" s="400">
        <f>+'q34'!K38</f>
        <v>1471.94</v>
      </c>
      <c r="L38" s="400">
        <f>+'q34'!L38</f>
        <v>1625.29</v>
      </c>
      <c r="M38" s="400">
        <f>+'q34'!M38</f>
        <v>1737.69</v>
      </c>
      <c r="P38" s="267" t="s">
        <v>72</v>
      </c>
      <c r="Q38" s="440" t="s">
        <v>45</v>
      </c>
      <c r="R38" s="485">
        <f>+q34_Aux!C38*q14a!C38</f>
        <v>124307562.99000001</v>
      </c>
      <c r="S38" s="485">
        <f>+q34_Aux!D38*q14a!D38</f>
        <v>128296365.66999999</v>
      </c>
      <c r="T38" s="485">
        <f>+q34_Aux!E38*q14a!E38</f>
        <v>135960375.59999999</v>
      </c>
      <c r="U38" s="485">
        <f>+q34_Aux!F38*q14a!F38</f>
        <v>149812833.88</v>
      </c>
      <c r="V38" s="485">
        <f>+q34_Aux!G38*q14a!G38</f>
        <v>173111135.12</v>
      </c>
      <c r="W38" s="485">
        <f>+q34_Aux!H38*q14a!H38</f>
        <v>191908169.05000001</v>
      </c>
      <c r="X38" s="485">
        <f>+q34_Aux!I38*q14a!I38</f>
        <v>218444579.19999999</v>
      </c>
      <c r="Y38" s="485">
        <f>+q34_Aux!J38*q14a!J38</f>
        <v>210002382.81</v>
      </c>
      <c r="Z38" s="485">
        <f>+q34_Aux!K38*q14a!K38</f>
        <v>231630366.16</v>
      </c>
      <c r="AA38" s="485">
        <f>+q34_Aux!L38*q14a!L38</f>
        <v>286176187.32999998</v>
      </c>
      <c r="AB38" s="485">
        <f>+q34_Aux!M38*q14a!M38</f>
        <v>296813091.21000004</v>
      </c>
    </row>
    <row r="39" spans="1:28" s="211" customFormat="1" ht="12.75" customHeight="1">
      <c r="A39" s="74"/>
      <c r="B39" s="73" t="str">
        <f>+'q34'!B39</f>
        <v>H</v>
      </c>
      <c r="C39" s="402">
        <f>+'q34'!C39</f>
        <v>1408.27</v>
      </c>
      <c r="D39" s="402">
        <f>+'q34'!D39</f>
        <v>1369.93</v>
      </c>
      <c r="E39" s="402">
        <f>+'q34'!E39</f>
        <v>1410.79</v>
      </c>
      <c r="F39" s="402">
        <f>+'q34'!F39</f>
        <v>1406.31</v>
      </c>
      <c r="G39" s="402">
        <f>+'q34'!G39</f>
        <v>1427.03</v>
      </c>
      <c r="H39" s="402">
        <f>+'q34'!H39</f>
        <v>1487.08</v>
      </c>
      <c r="I39" s="402">
        <f>+'q34'!I39</f>
        <v>1570.94</v>
      </c>
      <c r="J39" s="402">
        <f>+'q34'!J39</f>
        <v>1476.01</v>
      </c>
      <c r="K39" s="402">
        <f>+'q34'!K39</f>
        <v>1577</v>
      </c>
      <c r="L39" s="402">
        <f>+'q34'!L39</f>
        <v>1807.96</v>
      </c>
      <c r="M39" s="402">
        <f>+'q34'!M39</f>
        <v>1952.08</v>
      </c>
      <c r="P39" s="266"/>
      <c r="Q39" s="270" t="s">
        <v>53</v>
      </c>
      <c r="R39" s="485">
        <f>+q34_Aux!C39*q14a!C39</f>
        <v>68944674.390000001</v>
      </c>
      <c r="S39" s="485">
        <f>+q34_Aux!D39*q14a!D39</f>
        <v>73344682.270000011</v>
      </c>
      <c r="T39" s="485">
        <f>+q34_Aux!E39*q14a!E39</f>
        <v>76303987.939999998</v>
      </c>
      <c r="U39" s="485">
        <f>+q34_Aux!F39*q14a!F39</f>
        <v>81748800.299999997</v>
      </c>
      <c r="V39" s="485">
        <f>+q34_Aux!G39*q14a!G39</f>
        <v>97093694.170000002</v>
      </c>
      <c r="W39" s="485">
        <f>+q34_Aux!H39*q14a!H39</f>
        <v>107648234.11999999</v>
      </c>
      <c r="X39" s="485">
        <f>+q34_Aux!I39*q14a!I39</f>
        <v>120929390.26000001</v>
      </c>
      <c r="Y39" s="485">
        <f>+q34_Aux!J39*q14a!J39</f>
        <v>106241723.79000001</v>
      </c>
      <c r="Z39" s="485">
        <f>+q34_Aux!K39*q14a!K39</f>
        <v>119740033</v>
      </c>
      <c r="AA39" s="485">
        <f>+q34_Aux!L39*q14a!L39</f>
        <v>156798946.92000002</v>
      </c>
      <c r="AB39" s="485">
        <f>+q34_Aux!M39*q14a!M39</f>
        <v>161665409.35999998</v>
      </c>
    </row>
    <row r="40" spans="1:28" s="211" customFormat="1" ht="12.75" customHeight="1">
      <c r="A40" s="76"/>
      <c r="B40" s="77" t="str">
        <f>+'q34'!B40</f>
        <v>M</v>
      </c>
      <c r="C40" s="403">
        <f>+'q34'!C40</f>
        <v>1106.3599999999999</v>
      </c>
      <c r="D40" s="403">
        <f>+'q34'!D40</f>
        <v>1080.29</v>
      </c>
      <c r="E40" s="403">
        <f>+'q34'!E40</f>
        <v>1099.17</v>
      </c>
      <c r="F40" s="403">
        <f>+'q34'!F40</f>
        <v>1107.06</v>
      </c>
      <c r="G40" s="403">
        <f>+'q34'!G40</f>
        <v>1166.83</v>
      </c>
      <c r="H40" s="403">
        <f>+'q34'!H40</f>
        <v>1223.71</v>
      </c>
      <c r="I40" s="403">
        <f>+'q34'!I40</f>
        <v>1287.47</v>
      </c>
      <c r="J40" s="403">
        <f>+'q34'!J40</f>
        <v>1281.6600000000001</v>
      </c>
      <c r="K40" s="403">
        <f>+'q34'!K40</f>
        <v>1373.99</v>
      </c>
      <c r="L40" s="403">
        <f>+'q34'!L40</f>
        <v>1447.99</v>
      </c>
      <c r="M40" s="403">
        <f>+'q34'!M40</f>
        <v>1535.91</v>
      </c>
      <c r="P40" s="268"/>
      <c r="Q40" s="269" t="s">
        <v>54</v>
      </c>
      <c r="R40" s="485">
        <f>+q34_Aux!C40*q14a!C40</f>
        <v>55362254.399999999</v>
      </c>
      <c r="S40" s="485">
        <f>+q34_Aux!D40*q14a!D40</f>
        <v>54952191.719999999</v>
      </c>
      <c r="T40" s="485">
        <f>+q34_Aux!E40*q14a!E40</f>
        <v>59656352.580000006</v>
      </c>
      <c r="U40" s="485">
        <f>+q34_Aux!F40*q14a!F40</f>
        <v>68064262.920000002</v>
      </c>
      <c r="V40" s="485">
        <f>+q34_Aux!G40*q14a!G40</f>
        <v>76016640.839999989</v>
      </c>
      <c r="W40" s="485">
        <f>+q34_Aux!H40*q14a!H40</f>
        <v>84259775.760000005</v>
      </c>
      <c r="X40" s="485">
        <f>+q34_Aux!I40*q14a!I40</f>
        <v>97514265.269999996</v>
      </c>
      <c r="Y40" s="485">
        <f>+q34_Aux!J40*q14a!J40</f>
        <v>103760630.28</v>
      </c>
      <c r="Z40" s="485">
        <f>+q34_Aux!K40*q14a!K40</f>
        <v>111890875.65000001</v>
      </c>
      <c r="AA40" s="485">
        <f>+q34_Aux!L40*q14a!L40</f>
        <v>129377906.5</v>
      </c>
      <c r="AB40" s="485">
        <f>+q34_Aux!M40*q14a!M40</f>
        <v>135147792.72</v>
      </c>
    </row>
    <row r="41" spans="1:28" s="61" customFormat="1" ht="15" customHeight="1">
      <c r="A41" s="21" t="str">
        <f>+'q34'!A41</f>
        <v>Fonte: GEP/MTSSS, Quadros de Pessoal.</v>
      </c>
      <c r="B41" s="68"/>
      <c r="C41" s="93"/>
      <c r="D41" s="92"/>
      <c r="E41" s="92"/>
      <c r="F41" s="92"/>
      <c r="G41" s="92"/>
      <c r="H41" s="92"/>
      <c r="I41" s="92"/>
      <c r="J41" s="92"/>
      <c r="K41" s="92"/>
      <c r="L41" s="92"/>
      <c r="M41" s="92"/>
    </row>
    <row r="42" spans="1:28" s="61" customFormat="1" ht="23.25" customHeight="1">
      <c r="A42" s="768" t="s">
        <v>5</v>
      </c>
      <c r="B42" s="768"/>
      <c r="C42" s="768"/>
      <c r="D42" s="768"/>
      <c r="E42" s="768"/>
      <c r="F42" s="768"/>
      <c r="G42" s="768"/>
      <c r="H42" s="768"/>
      <c r="I42" s="768"/>
      <c r="J42" s="768"/>
      <c r="K42" s="768"/>
      <c r="L42" s="768"/>
      <c r="M42" s="768"/>
    </row>
    <row r="43" spans="1:28">
      <c r="P43" s="61"/>
      <c r="Q43" s="61"/>
      <c r="R43" s="61"/>
      <c r="S43" s="61"/>
      <c r="T43" s="61"/>
      <c r="U43" s="61"/>
      <c r="V43" s="61"/>
      <c r="W43" s="61"/>
      <c r="X43" s="61"/>
      <c r="Y43" s="61"/>
      <c r="Z43" s="61"/>
      <c r="AA43" s="61"/>
      <c r="AB43" s="61"/>
    </row>
    <row r="44" spans="1:28">
      <c r="P44" s="61"/>
      <c r="Q44" s="61"/>
      <c r="R44" s="61"/>
      <c r="S44" s="61"/>
      <c r="T44" s="61"/>
      <c r="U44" s="61"/>
      <c r="V44" s="61"/>
      <c r="W44" s="61"/>
      <c r="X44" s="61"/>
      <c r="Y44" s="61"/>
      <c r="Z44" s="61"/>
      <c r="AA44" s="61"/>
      <c r="AB44" s="61"/>
    </row>
    <row r="45" spans="1:28">
      <c r="P45" s="61"/>
      <c r="Q45" s="61"/>
      <c r="R45" s="61"/>
      <c r="S45" s="61"/>
      <c r="T45" s="61"/>
      <c r="U45" s="61"/>
      <c r="V45" s="61"/>
      <c r="W45" s="61"/>
      <c r="X45" s="61"/>
      <c r="Y45" s="61"/>
      <c r="Z45" s="61"/>
      <c r="AA45" s="61"/>
      <c r="AB45" s="61"/>
    </row>
    <row r="46" spans="1:28">
      <c r="P46" s="61"/>
      <c r="Q46" s="61"/>
      <c r="R46" s="61"/>
      <c r="S46" s="61"/>
      <c r="T46" s="61"/>
      <c r="U46" s="61"/>
      <c r="V46" s="61"/>
      <c r="W46" s="61"/>
      <c r="X46" s="61"/>
      <c r="Y46" s="61"/>
      <c r="Z46" s="61"/>
      <c r="AA46" s="61"/>
      <c r="AB46" s="61"/>
    </row>
    <row r="47" spans="1:28">
      <c r="P47" s="61"/>
      <c r="Q47" s="61"/>
      <c r="R47" s="61"/>
      <c r="S47" s="61"/>
      <c r="T47" s="61"/>
      <c r="U47" s="61"/>
      <c r="V47" s="61"/>
      <c r="W47" s="61"/>
      <c r="X47" s="61"/>
      <c r="Y47" s="61"/>
      <c r="Z47" s="61"/>
      <c r="AA47" s="61"/>
      <c r="AB47" s="61"/>
    </row>
    <row r="48" spans="1:28">
      <c r="P48" s="61"/>
      <c r="Q48" s="61"/>
      <c r="R48" s="61"/>
      <c r="S48" s="61"/>
      <c r="T48" s="61"/>
      <c r="U48" s="61"/>
      <c r="V48" s="61"/>
      <c r="W48" s="61"/>
      <c r="X48" s="61"/>
      <c r="Y48" s="61"/>
      <c r="Z48" s="61"/>
      <c r="AA48" s="61"/>
      <c r="AB48" s="61"/>
    </row>
    <row r="49" spans="16:28">
      <c r="P49" s="61"/>
      <c r="Q49" s="61"/>
      <c r="R49" s="61"/>
      <c r="S49" s="61"/>
      <c r="T49" s="61"/>
      <c r="U49" s="61"/>
      <c r="V49" s="61"/>
      <c r="W49" s="61"/>
      <c r="X49" s="61"/>
      <c r="Y49" s="61"/>
      <c r="Z49" s="61"/>
      <c r="AA49" s="61"/>
      <c r="AB49" s="61"/>
    </row>
    <row r="50" spans="16:28">
      <c r="P50" s="61"/>
      <c r="Q50" s="61"/>
      <c r="R50" s="61"/>
      <c r="S50" s="61"/>
      <c r="T50" s="61"/>
      <c r="U50" s="61"/>
      <c r="V50" s="61"/>
      <c r="W50" s="61"/>
      <c r="X50" s="61"/>
      <c r="Y50" s="61"/>
      <c r="Z50" s="61"/>
      <c r="AA50" s="61"/>
      <c r="AB50" s="61"/>
    </row>
  </sheetData>
  <mergeCells count="2">
    <mergeCell ref="A1:M1"/>
    <mergeCell ref="A42:M42"/>
  </mergeCells>
  <conditionalFormatting sqref="E3 A1 G41 A42 A2:E2 A3:C3 A43:E1048576 B41:E41 A5:I40 N1:O1048576 AC1:XFD2 A4:M4 AC8:XFD1048576 AC3:AC7 AO3:XFD7">
    <cfRule type="cellIs" dxfId="1173" priority="41" operator="equal">
      <formula>0</formula>
    </cfRule>
  </conditionalFormatting>
  <conditionalFormatting sqref="A41">
    <cfRule type="cellIs" dxfId="1172" priority="40" operator="equal">
      <formula>0</formula>
    </cfRule>
  </conditionalFormatting>
  <conditionalFormatting sqref="G2:G3 G43:G1048576">
    <cfRule type="cellIs" dxfId="1171" priority="39" operator="equal">
      <formula>0</formula>
    </cfRule>
  </conditionalFormatting>
  <conditionalFormatting sqref="F2:F3 F43:F1048576">
    <cfRule type="cellIs" dxfId="1170" priority="38" operator="equal">
      <formula>0</formula>
    </cfRule>
  </conditionalFormatting>
  <conditionalFormatting sqref="F41">
    <cfRule type="cellIs" dxfId="1169" priority="37" operator="equal">
      <formula>0</formula>
    </cfRule>
  </conditionalFormatting>
  <conditionalFormatting sqref="I41">
    <cfRule type="cellIs" dxfId="1168" priority="36" operator="equal">
      <formula>0</formula>
    </cfRule>
  </conditionalFormatting>
  <conditionalFormatting sqref="I2:I3 I43:I1048576">
    <cfRule type="cellIs" dxfId="1167" priority="35" operator="equal">
      <formula>0</formula>
    </cfRule>
  </conditionalFormatting>
  <conditionalFormatting sqref="H41">
    <cfRule type="cellIs" dxfId="1166" priority="34" operator="equal">
      <formula>0</formula>
    </cfRule>
  </conditionalFormatting>
  <conditionalFormatting sqref="H2:H3 H43:H1048576">
    <cfRule type="cellIs" dxfId="1165" priority="33" operator="equal">
      <formula>0</formula>
    </cfRule>
  </conditionalFormatting>
  <conditionalFormatting sqref="J8:J40">
    <cfRule type="cellIs" dxfId="1164" priority="32" operator="equal">
      <formula>0</formula>
    </cfRule>
  </conditionalFormatting>
  <conditionalFormatting sqref="J5:J7">
    <cfRule type="cellIs" dxfId="1163" priority="30" operator="equal">
      <formula>0</formula>
    </cfRule>
  </conditionalFormatting>
  <conditionalFormatting sqref="J41">
    <cfRule type="cellIs" dxfId="1162" priority="29" operator="equal">
      <formula>0</formula>
    </cfRule>
  </conditionalFormatting>
  <conditionalFormatting sqref="J2:J3 J43:J1048576">
    <cfRule type="cellIs" dxfId="1161" priority="28" operator="equal">
      <formula>0</formula>
    </cfRule>
  </conditionalFormatting>
  <conditionalFormatting sqref="K8:K40">
    <cfRule type="cellIs" dxfId="1160" priority="27" operator="equal">
      <formula>0</formula>
    </cfRule>
  </conditionalFormatting>
  <conditionalFormatting sqref="K5:K7">
    <cfRule type="cellIs" dxfId="1159" priority="25" operator="equal">
      <formula>0</formula>
    </cfRule>
  </conditionalFormatting>
  <conditionalFormatting sqref="K41">
    <cfRule type="cellIs" dxfId="1158" priority="24" operator="equal">
      <formula>0</formula>
    </cfRule>
  </conditionalFormatting>
  <conditionalFormatting sqref="K2:K3 K43:K1048576">
    <cfRule type="cellIs" dxfId="1157" priority="23" operator="equal">
      <formula>0</formula>
    </cfRule>
  </conditionalFormatting>
  <conditionalFormatting sqref="L8:L40">
    <cfRule type="cellIs" dxfId="1156" priority="22" operator="equal">
      <formula>0</formula>
    </cfRule>
  </conditionalFormatting>
  <conditionalFormatting sqref="L5:L7">
    <cfRule type="cellIs" dxfId="1155" priority="20" operator="equal">
      <formula>0</formula>
    </cfRule>
  </conditionalFormatting>
  <conditionalFormatting sqref="L41">
    <cfRule type="cellIs" dxfId="1154" priority="19" operator="equal">
      <formula>0</formula>
    </cfRule>
  </conditionalFormatting>
  <conditionalFormatting sqref="L2:L3 L43:L1048576">
    <cfRule type="cellIs" dxfId="1153" priority="18" operator="equal">
      <formula>0</formula>
    </cfRule>
  </conditionalFormatting>
  <conditionalFormatting sqref="M8:M40">
    <cfRule type="cellIs" dxfId="1152" priority="17" operator="equal">
      <formula>0</formula>
    </cfRule>
  </conditionalFormatting>
  <conditionalFormatting sqref="M5:M7">
    <cfRule type="cellIs" dxfId="1151" priority="15" operator="equal">
      <formula>0</formula>
    </cfRule>
  </conditionalFormatting>
  <conditionalFormatting sqref="M41">
    <cfRule type="cellIs" dxfId="1150" priority="14" operator="equal">
      <formula>0</formula>
    </cfRule>
  </conditionalFormatting>
  <conditionalFormatting sqref="M2:M3 M43:M1048576">
    <cfRule type="cellIs" dxfId="1149" priority="13" operator="equal">
      <formula>0</formula>
    </cfRule>
  </conditionalFormatting>
  <conditionalFormatting sqref="P41:AB1048576">
    <cfRule type="cellIs" dxfId="1148" priority="12" operator="equal">
      <formula>0</formula>
    </cfRule>
  </conditionalFormatting>
  <conditionalFormatting sqref="P3:AB3 Q2:AB2 P1:AB1 R8:AB40">
    <cfRule type="cellIs" dxfId="1147" priority="11" operator="equal">
      <formula>0</formula>
    </cfRule>
  </conditionalFormatting>
  <conditionalFormatting sqref="P4:S4">
    <cfRule type="cellIs" dxfId="1146" priority="10" operator="equal">
      <formula>0</formula>
    </cfRule>
  </conditionalFormatting>
  <conditionalFormatting sqref="T4:U4">
    <cfRule type="cellIs" dxfId="1145" priority="9" operator="equal">
      <formula>0</formula>
    </cfRule>
  </conditionalFormatting>
  <conditionalFormatting sqref="V4:X4">
    <cfRule type="cellIs" dxfId="1144" priority="8" operator="equal">
      <formula>0</formula>
    </cfRule>
  </conditionalFormatting>
  <conditionalFormatting sqref="Y4">
    <cfRule type="cellIs" dxfId="1143" priority="7" operator="equal">
      <formula>0</formula>
    </cfRule>
  </conditionalFormatting>
  <conditionalFormatting sqref="Z4">
    <cfRule type="cellIs" dxfId="1142" priority="6" operator="equal">
      <formula>0</formula>
    </cfRule>
  </conditionalFormatting>
  <conditionalFormatting sqref="AA4">
    <cfRule type="cellIs" dxfId="1141" priority="5" operator="equal">
      <formula>0</formula>
    </cfRule>
  </conditionalFormatting>
  <conditionalFormatting sqref="AB4">
    <cfRule type="cellIs" dxfId="1140" priority="4" operator="equal">
      <formula>0</formula>
    </cfRule>
  </conditionalFormatting>
  <conditionalFormatting sqref="P5:Q40">
    <cfRule type="cellIs" dxfId="1139" priority="3" operator="equal">
      <formula>0</formula>
    </cfRule>
  </conditionalFormatting>
  <conditionalFormatting sqref="R5:AB7">
    <cfRule type="cellIs" dxfId="1138" priority="2" operator="equal">
      <formula>0</formula>
    </cfRule>
  </conditionalFormatting>
  <conditionalFormatting sqref="AD3:AN7">
    <cfRule type="cellIs" dxfId="113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4790-05D9-4620-B516-B940A16569A7}">
  <sheetPr codeName="Folha1"/>
  <dimension ref="A1:CX140"/>
  <sheetViews>
    <sheetView topLeftCell="S91" zoomScale="120" zoomScaleNormal="120" workbookViewId="0">
      <selection activeCell="R62" sqref="R62"/>
    </sheetView>
  </sheetViews>
  <sheetFormatPr defaultColWidth="9.140625" defaultRowHeight="12.75"/>
  <cols>
    <col min="1" max="1" width="17.28515625" style="499" customWidth="1"/>
    <col min="2" max="19" width="9.140625" style="499"/>
    <col min="20" max="26" width="10.85546875" style="499" bestFit="1" customWidth="1"/>
    <col min="27" max="27" width="15.42578125" style="499" bestFit="1" customWidth="1"/>
    <col min="28" max="30" width="10.85546875" style="499" bestFit="1" customWidth="1"/>
    <col min="31" max="31" width="9.140625" style="499"/>
    <col min="32" max="33" width="18.28515625" style="499" bestFit="1" customWidth="1"/>
    <col min="34" max="52" width="9.140625" style="499"/>
    <col min="53" max="54" width="9.42578125" style="499" bestFit="1" customWidth="1"/>
    <col min="55" max="55" width="9.140625" style="499"/>
    <col min="56" max="56" width="9.5703125" style="499" customWidth="1"/>
    <col min="57" max="57" width="9.28515625" style="499" customWidth="1"/>
    <col min="58" max="92" width="9.140625" style="499"/>
    <col min="93" max="93" width="9.42578125" style="499" bestFit="1" customWidth="1"/>
    <col min="94" max="16384" width="9.140625" style="499"/>
  </cols>
  <sheetData>
    <row r="1" spans="1:98">
      <c r="A1" s="502" t="s">
        <v>298</v>
      </c>
      <c r="D1" s="508" t="s">
        <v>299</v>
      </c>
      <c r="AI1" s="521" t="s">
        <v>344</v>
      </c>
      <c r="AJ1" s="521"/>
      <c r="AK1" s="521"/>
      <c r="AL1" s="521"/>
      <c r="AM1" s="521"/>
      <c r="AO1" s="530" t="s">
        <v>368</v>
      </c>
      <c r="AY1" s="616" t="s">
        <v>507</v>
      </c>
      <c r="BL1" s="616" t="s">
        <v>508</v>
      </c>
      <c r="BT1" s="513"/>
    </row>
    <row r="2" spans="1:98" ht="12.95" customHeight="1">
      <c r="A2" s="501" t="s">
        <v>15</v>
      </c>
      <c r="B2" s="499">
        <v>1</v>
      </c>
      <c r="D2" s="509">
        <f>+C21</f>
        <v>2013</v>
      </c>
      <c r="E2" s="499">
        <v>1</v>
      </c>
      <c r="Q2" s="499">
        <v>11</v>
      </c>
      <c r="AV2" s="499" t="s">
        <v>352</v>
      </c>
      <c r="AW2" s="499">
        <f>+AS18</f>
        <v>2023</v>
      </c>
      <c r="AX2" s="499" t="s">
        <v>443</v>
      </c>
      <c r="AY2" s="771" t="str">
        <f>CONCATENATE(AS18,AX2,CHAR(10),AV3,S20,AV5,AW6,AV7,AW8,AV9,AV10,AV11,AW12," ",AV13,AW14,AV15,AV16,AV17)</f>
        <v>2023:
As empresas do distrito de Lisboa tinham ao seu serviço 1.039.751 pessoas (29,8% do Continente, ocupando a 1º posição entre 18 distritos) e  994.831 TCO ( 30,2% do Continente, sendo o 1º de 18 distritos).</v>
      </c>
      <c r="AZ2" s="771"/>
      <c r="BA2" s="771"/>
      <c r="BB2" s="771"/>
      <c r="BC2" s="771"/>
      <c r="BD2" s="771"/>
      <c r="BH2" s="499" t="s">
        <v>364</v>
      </c>
      <c r="BI2" s="499">
        <f>+AZ18</f>
        <v>2023</v>
      </c>
      <c r="BJ2" s="499" t="s">
        <v>443</v>
      </c>
      <c r="BL2" s="769" t="str">
        <f>CONCATENATE(AZ18,BJ2,CHAR(10),BH3,S20,BH5,BI6,BH7,BI8,BH9,BH10,BH11,BI12,BH13,BI14,BH15,BH16,BH17)</f>
        <v>2023:
No distrito de Lisboa a remuneração média mensal base era de 1.474,8 euros (+20,9% que no Continente, sendo o 1º de 18 distritos) e  1.779,4 euros a remuneração média mensal ganho (+21,3% que no Continente, sendo o 1º de 18 distritos).</v>
      </c>
      <c r="BM2" s="769"/>
      <c r="BN2" s="769"/>
      <c r="BO2" s="769"/>
      <c r="BP2" s="769"/>
    </row>
    <row r="3" spans="1:98" ht="12.95" customHeight="1">
      <c r="A3" s="501" t="s">
        <v>16</v>
      </c>
      <c r="B3" s="499">
        <v>2</v>
      </c>
      <c r="D3" s="509">
        <f>+D21</f>
        <v>2014</v>
      </c>
      <c r="E3" s="499">
        <v>2</v>
      </c>
      <c r="AI3" s="499" t="s">
        <v>345</v>
      </c>
      <c r="AJ3" s="499">
        <f>+AL18</f>
        <v>2023</v>
      </c>
      <c r="AK3" s="499" t="s">
        <v>443</v>
      </c>
      <c r="AL3" s="616" t="s">
        <v>506</v>
      </c>
      <c r="AM3" s="526"/>
      <c r="AN3" s="526"/>
      <c r="AO3" s="526"/>
      <c r="AP3" s="526"/>
      <c r="AV3" s="499" t="s">
        <v>451</v>
      </c>
      <c r="AY3" s="771"/>
      <c r="AZ3" s="771"/>
      <c r="BA3" s="771"/>
      <c r="BB3" s="771"/>
      <c r="BC3" s="771"/>
      <c r="BD3" s="771"/>
      <c r="BH3" s="499" t="s">
        <v>457</v>
      </c>
      <c r="BL3" s="769"/>
      <c r="BM3" s="769"/>
      <c r="BN3" s="769"/>
      <c r="BO3" s="769"/>
      <c r="BP3" s="769"/>
    </row>
    <row r="4" spans="1:98" ht="12.95" customHeight="1">
      <c r="A4" s="501" t="s">
        <v>66</v>
      </c>
      <c r="B4" s="499">
        <v>3</v>
      </c>
      <c r="D4" s="509">
        <f>+E21</f>
        <v>2015</v>
      </c>
      <c r="E4" s="499">
        <v>3</v>
      </c>
      <c r="AI4" s="499" t="s">
        <v>449</v>
      </c>
      <c r="AL4" s="771" t="str">
        <f>CONCATENATE(AL18,AK3,CHAR(10),AI4,S20," ",AI6,AJ7,AI8,AJ9,AI10,AI11,AI12,CHAR(10),AK12,AJ13,AI14,AJ15,AI16,AI17,AI18)</f>
        <v>2023:
O distrito de Lisboa era a sede de 65.753 empresas (equivalendo a 22,6% do Continente, sendo o 1º de 18 distritos);
Era também a localização de 77.253 estabelecimentos (constituindo 22,7% do Continente, sendo o 1º de 18 distritos).</v>
      </c>
      <c r="AM4" s="771"/>
      <c r="AN4" s="771"/>
      <c r="AO4" s="771"/>
      <c r="AP4" s="771"/>
      <c r="AQ4" s="771"/>
      <c r="AV4" s="499" t="s">
        <v>308</v>
      </c>
      <c r="AW4" s="499" t="str">
        <f>+S20</f>
        <v>Lisboa</v>
      </c>
      <c r="AY4" s="771"/>
      <c r="AZ4" s="771"/>
      <c r="BA4" s="771"/>
      <c r="BB4" s="771"/>
      <c r="BC4" s="771"/>
      <c r="BD4" s="771"/>
      <c r="BH4" s="499" t="s">
        <v>308</v>
      </c>
      <c r="BI4" s="499" t="str">
        <f>+S20</f>
        <v>Lisboa</v>
      </c>
      <c r="BL4" s="769"/>
      <c r="BM4" s="769"/>
      <c r="BN4" s="769"/>
      <c r="BO4" s="769"/>
      <c r="BP4" s="769"/>
      <c r="BX4" s="514"/>
      <c r="CC4" s="514"/>
      <c r="CH4" s="514"/>
      <c r="CM4" s="514"/>
      <c r="CO4" s="504"/>
      <c r="CR4" s="514"/>
      <c r="CT4" s="504"/>
    </row>
    <row r="5" spans="1:98">
      <c r="A5" s="501" t="s">
        <v>17</v>
      </c>
      <c r="B5" s="499">
        <v>4</v>
      </c>
      <c r="D5" s="509">
        <f>+F21</f>
        <v>2016</v>
      </c>
      <c r="E5" s="499">
        <v>4</v>
      </c>
      <c r="AI5" s="499" t="s">
        <v>308</v>
      </c>
      <c r="AJ5" s="499" t="str">
        <f>+S20</f>
        <v>Lisboa</v>
      </c>
      <c r="AL5" s="771"/>
      <c r="AM5" s="771"/>
      <c r="AN5" s="771"/>
      <c r="AO5" s="771"/>
      <c r="AP5" s="771"/>
      <c r="AQ5" s="771"/>
      <c r="AV5" s="499" t="s">
        <v>331</v>
      </c>
      <c r="AY5" s="771"/>
      <c r="AZ5" s="771"/>
      <c r="BA5" s="771"/>
      <c r="BB5" s="771"/>
      <c r="BC5" s="771"/>
      <c r="BD5" s="771"/>
      <c r="BH5" s="499" t="s">
        <v>338</v>
      </c>
      <c r="BL5" s="769"/>
      <c r="BM5" s="769"/>
      <c r="BN5" s="769"/>
      <c r="BO5" s="769"/>
      <c r="BP5" s="769"/>
      <c r="CO5" s="504"/>
      <c r="CT5" s="504"/>
    </row>
    <row r="6" spans="1:98">
      <c r="A6" s="501" t="s">
        <v>18</v>
      </c>
      <c r="B6" s="499">
        <v>5</v>
      </c>
      <c r="D6" s="509">
        <f>+G21</f>
        <v>2017</v>
      </c>
      <c r="E6" s="499">
        <v>5</v>
      </c>
      <c r="AI6" s="499" t="s">
        <v>453</v>
      </c>
      <c r="AL6" s="771"/>
      <c r="AM6" s="771"/>
      <c r="AN6" s="771"/>
      <c r="AO6" s="771"/>
      <c r="AP6" s="771"/>
      <c r="AQ6" s="771"/>
      <c r="AV6" s="499">
        <f>INDEX($AS$20:$AY$37,MATCH($AJ$5,$AS$20:$AS$37,0),2)</f>
        <v>1039751</v>
      </c>
      <c r="AW6" s="499" t="str">
        <f>TEXT(AV6,"##.###")</f>
        <v>1.039.751</v>
      </c>
      <c r="AY6" s="771"/>
      <c r="AZ6" s="771"/>
      <c r="BA6" s="771"/>
      <c r="BB6" s="771"/>
      <c r="BC6" s="771"/>
      <c r="BD6" s="771"/>
      <c r="BH6" s="525">
        <f>INDEX($AZ$20:$BF$37,MATCH($AJ$5,$AZ$20:$AZ$37,0),2)</f>
        <v>1474.84</v>
      </c>
      <c r="BI6" s="499" t="str">
        <f>TEXT(BH6,"##.###,0")</f>
        <v>1.474,8</v>
      </c>
      <c r="BL6" s="769"/>
      <c r="BM6" s="769"/>
      <c r="BN6" s="769"/>
      <c r="BO6" s="769"/>
      <c r="BP6" s="769"/>
      <c r="CO6" s="504"/>
      <c r="CT6" s="504"/>
    </row>
    <row r="7" spans="1:98">
      <c r="A7" s="501" t="s">
        <v>19</v>
      </c>
      <c r="B7" s="499">
        <v>6</v>
      </c>
      <c r="D7" s="509">
        <f>+H21</f>
        <v>2018</v>
      </c>
      <c r="E7" s="499">
        <v>6</v>
      </c>
      <c r="AI7" s="499">
        <f>INDEX($AL$20:$AR$37,MATCH($AJ$5,$AL$20:$AL$37,0),2)</f>
        <v>65753</v>
      </c>
      <c r="AJ7" s="499" t="str">
        <f>TEXT(AI7,"##.###")</f>
        <v>65.753</v>
      </c>
      <c r="AL7" s="771"/>
      <c r="AM7" s="771"/>
      <c r="AN7" s="771"/>
      <c r="AO7" s="771"/>
      <c r="AP7" s="771"/>
      <c r="AQ7" s="771"/>
      <c r="AV7" s="499" t="s">
        <v>323</v>
      </c>
      <c r="BH7" s="499" t="s">
        <v>334</v>
      </c>
      <c r="BL7" s="769"/>
      <c r="BM7" s="769"/>
      <c r="BN7" s="769"/>
      <c r="BO7" s="769"/>
      <c r="BP7" s="769"/>
      <c r="BX7" s="514"/>
      <c r="CC7" s="514"/>
      <c r="CH7" s="514"/>
      <c r="CM7" s="514"/>
      <c r="CO7" s="504"/>
      <c r="CR7" s="514"/>
      <c r="CT7" s="504"/>
    </row>
    <row r="8" spans="1:98">
      <c r="A8" s="501" t="s">
        <v>20</v>
      </c>
      <c r="B8" s="499">
        <v>7</v>
      </c>
      <c r="D8" s="509">
        <f>+I21</f>
        <v>2019</v>
      </c>
      <c r="E8" s="499">
        <v>7</v>
      </c>
      <c r="AI8" s="499" t="s">
        <v>370</v>
      </c>
      <c r="AL8" s="771"/>
      <c r="AM8" s="771"/>
      <c r="AN8" s="771"/>
      <c r="AO8" s="771"/>
      <c r="AP8" s="771"/>
      <c r="AQ8" s="771"/>
      <c r="AV8" s="499">
        <f>INDEX($AS$20:$AY$37,MATCH($AJ$5,$AS$20:$AS$37,0),4)</f>
        <v>29.795852398409785</v>
      </c>
      <c r="AW8" s="499" t="str">
        <f>TEXT(AV8,"##.###,0")</f>
        <v>29,8</v>
      </c>
      <c r="AY8" s="530" t="s">
        <v>368</v>
      </c>
      <c r="BH8" s="499">
        <f>INDEX($AZ$20:$BF$37,MATCH($AJ$5,$AZ$20:$AZ$37,0),4)</f>
        <v>20.90140752703158</v>
      </c>
      <c r="BI8" s="499" t="str">
        <f>IF(BH8&gt;0,"+"&amp;TEXT(BH8,"##.###,0"),TEXT(BH8,"##.###,0"))</f>
        <v>+20,9</v>
      </c>
      <c r="BL8" s="769"/>
      <c r="BM8" s="769"/>
      <c r="BN8" s="769"/>
      <c r="BO8" s="769"/>
      <c r="BP8" s="769"/>
      <c r="CO8" s="504"/>
      <c r="CT8" s="504"/>
    </row>
    <row r="9" spans="1:98">
      <c r="A9" s="501" t="s">
        <v>21</v>
      </c>
      <c r="B9" s="499">
        <v>8</v>
      </c>
      <c r="D9" s="509">
        <f>+J21</f>
        <v>2020</v>
      </c>
      <c r="E9" s="499">
        <v>8</v>
      </c>
      <c r="AI9" s="499">
        <f>INDEX($AL$20:$AR$37,MATCH($AJ$5,$AL$20:$AL$37,0),4)</f>
        <v>22.575982310851085</v>
      </c>
      <c r="AJ9" s="499" t="str">
        <f>TEXT(AI9,"##.###,0")</f>
        <v>22,6</v>
      </c>
      <c r="AL9" s="771"/>
      <c r="AM9" s="771"/>
      <c r="AN9" s="771"/>
      <c r="AO9" s="771"/>
      <c r="AP9" s="771"/>
      <c r="AQ9" s="771"/>
      <c r="AV9" s="499" t="s">
        <v>358</v>
      </c>
      <c r="BH9" s="499" t="s">
        <v>367</v>
      </c>
      <c r="BL9" s="531"/>
      <c r="BM9" s="531"/>
      <c r="BN9" s="531"/>
      <c r="BO9" s="531"/>
      <c r="BP9" s="531"/>
      <c r="CO9" s="504"/>
      <c r="CT9" s="504"/>
    </row>
    <row r="10" spans="1:98">
      <c r="A10" s="501" t="s">
        <v>22</v>
      </c>
      <c r="B10" s="499">
        <v>9</v>
      </c>
      <c r="D10" s="509">
        <f>+K21</f>
        <v>2021</v>
      </c>
      <c r="E10" s="499">
        <v>9</v>
      </c>
      <c r="AI10" s="499" t="s">
        <v>351</v>
      </c>
      <c r="AL10" s="771"/>
      <c r="AM10" s="771"/>
      <c r="AN10" s="771"/>
      <c r="AO10" s="771"/>
      <c r="AP10" s="771"/>
      <c r="AQ10" s="771"/>
      <c r="AV10" s="499">
        <f>INDEX($AS$20:$AY$37,MATCH($AJ$5,$AS$20:$AS$37,0),6)</f>
        <v>1</v>
      </c>
      <c r="BH10" s="499">
        <f>INDEX($AZ$20:$BF$37,MATCH($AJ$5,$AZ$20:$AZ$37,0),6)</f>
        <v>1</v>
      </c>
      <c r="BX10" s="514"/>
      <c r="CC10" s="514"/>
      <c r="CH10" s="514"/>
      <c r="CM10" s="514"/>
      <c r="CO10" s="504"/>
      <c r="CR10" s="514"/>
      <c r="CT10" s="504"/>
    </row>
    <row r="11" spans="1:98">
      <c r="A11" s="501" t="s">
        <v>23</v>
      </c>
      <c r="B11" s="499">
        <v>10</v>
      </c>
      <c r="D11" s="509">
        <f>+L21</f>
        <v>2022</v>
      </c>
      <c r="E11" s="499">
        <v>10</v>
      </c>
      <c r="AI11" s="499">
        <f>INDEX($AL$20:$AR$37,MATCH($AJ$5,$AL$20:$AL$37,0),6)</f>
        <v>1</v>
      </c>
      <c r="AV11" s="499" t="s">
        <v>359</v>
      </c>
      <c r="BH11" s="499" t="s">
        <v>369</v>
      </c>
      <c r="BL11" s="530"/>
      <c r="CO11" s="504"/>
      <c r="CT11" s="504"/>
    </row>
    <row r="12" spans="1:98">
      <c r="A12" s="501" t="s">
        <v>24</v>
      </c>
      <c r="B12" s="499">
        <v>11</v>
      </c>
      <c r="D12" s="509">
        <f>+M21</f>
        <v>2023</v>
      </c>
      <c r="E12" s="499">
        <v>11</v>
      </c>
      <c r="AI12" s="499" t="s">
        <v>455</v>
      </c>
      <c r="AK12" s="499" t="s">
        <v>454</v>
      </c>
      <c r="AV12" s="499">
        <f>INDEX($AS$20:$AY$37,MATCH($AJ$5,$AS$20:$AS$37,0),3)</f>
        <v>994831</v>
      </c>
      <c r="AW12" s="499" t="str">
        <f>TEXT(AV12,"##.###")</f>
        <v>994.831</v>
      </c>
      <c r="BH12" s="499">
        <f>INDEX($AZ$20:$BF$37,MATCH($AJ$5,$AZ$20:$AZ$37,0),3)</f>
        <v>1779.36</v>
      </c>
      <c r="BI12" s="499" t="str">
        <f>TEXT(BH12,"##.###,0")</f>
        <v>1.779,4</v>
      </c>
      <c r="BM12" s="530"/>
      <c r="CO12" s="504"/>
      <c r="CT12" s="504"/>
    </row>
    <row r="13" spans="1:98">
      <c r="A13" s="501" t="s">
        <v>25</v>
      </c>
      <c r="B13" s="499">
        <v>12</v>
      </c>
      <c r="D13" s="510"/>
      <c r="AI13" s="499">
        <f>INDEX($AL$20:$AR$37,MATCH($AJ$5,$AL$20:$AL$37,0),3)</f>
        <v>77253</v>
      </c>
      <c r="AJ13" s="499" t="str">
        <f>TEXT(AI13,"##.###")</f>
        <v>77.253</v>
      </c>
      <c r="AV13" s="499" t="s">
        <v>456</v>
      </c>
      <c r="BH13" s="499" t="s">
        <v>343</v>
      </c>
      <c r="BX13" s="514"/>
      <c r="CC13" s="514"/>
      <c r="CH13" s="514"/>
      <c r="CM13" s="514"/>
      <c r="CO13" s="504"/>
      <c r="CR13" s="514"/>
      <c r="CT13" s="504"/>
    </row>
    <row r="14" spans="1:98">
      <c r="A14" s="501" t="s">
        <v>26</v>
      </c>
      <c r="B14" s="499">
        <v>13</v>
      </c>
      <c r="AI14" s="499" t="s">
        <v>357</v>
      </c>
      <c r="AV14" s="499">
        <f>INDEX($AS$20:$AY$37,MATCH($AJ$5,$AS$20:$AS$37,0),5)</f>
        <v>30.181752319535555</v>
      </c>
      <c r="AW14" s="499" t="str">
        <f>TEXT(AV14,"##.###,0")</f>
        <v>30,2</v>
      </c>
      <c r="BH14" s="499">
        <f>INDEX($AZ$20:$BF$37,MATCH($AJ$5,$AZ$20:$AZ$37,0),5)</f>
        <v>21.320551457052073</v>
      </c>
      <c r="BI14" s="499" t="str">
        <f>IF(BH14&gt;0,"+"&amp;TEXT(BH14,"##.###,0"),TEXT(BH14,"##.###,0"))</f>
        <v>+21,3</v>
      </c>
      <c r="CO14" s="504"/>
      <c r="CT14" s="504"/>
    </row>
    <row r="15" spans="1:98">
      <c r="A15" s="501" t="s">
        <v>27</v>
      </c>
      <c r="B15" s="499">
        <v>14</v>
      </c>
      <c r="AI15" s="499">
        <f>INDEX($AL$20:$AR$37,MATCH($AJ$5,$AL$20:$AL$37,0),5)</f>
        <v>22.697171263705915</v>
      </c>
      <c r="AJ15" s="499" t="str">
        <f>TEXT(AI15,"##.###,0")</f>
        <v>22,7</v>
      </c>
      <c r="AV15" s="499" t="s">
        <v>351</v>
      </c>
      <c r="BH15" s="499" t="s">
        <v>367</v>
      </c>
      <c r="CO15" s="504"/>
      <c r="CT15" s="504"/>
    </row>
    <row r="16" spans="1:98">
      <c r="A16" s="501" t="s">
        <v>28</v>
      </c>
      <c r="B16" s="499">
        <v>15</v>
      </c>
      <c r="AI16" s="499" t="s">
        <v>351</v>
      </c>
      <c r="AL16" s="499">
        <v>11</v>
      </c>
      <c r="AS16" s="499">
        <v>11</v>
      </c>
      <c r="AV16" s="499">
        <f>INDEX($AS$20:$AY$37,MATCH($AJ$5,$AS$20:$AS$37,0),7)</f>
        <v>1</v>
      </c>
      <c r="AZ16" s="499">
        <v>11</v>
      </c>
      <c r="BH16" s="499">
        <f>INDEX($AZ$20:$BF$37,MATCH($AJ$5,$AZ$20:$AZ$37,0),7)</f>
        <v>1</v>
      </c>
      <c r="BX16" s="514"/>
      <c r="CC16" s="514"/>
      <c r="CH16" s="514"/>
      <c r="CM16" s="514"/>
      <c r="CO16" s="504"/>
      <c r="CR16" s="514"/>
      <c r="CT16" s="504"/>
    </row>
    <row r="17" spans="1:102">
      <c r="A17" s="501" t="s">
        <v>29</v>
      </c>
      <c r="B17" s="499">
        <v>16</v>
      </c>
      <c r="AI17" s="499">
        <f>INDEX($AL$20:$AR$37,MATCH($AJ$5,$AL$20:$AL$37,0),7)</f>
        <v>1</v>
      </c>
      <c r="AV17" s="499" t="s">
        <v>350</v>
      </c>
      <c r="BH17" s="499" t="s">
        <v>350</v>
      </c>
      <c r="CO17" s="504"/>
      <c r="CT17" s="504"/>
    </row>
    <row r="18" spans="1:102">
      <c r="A18" s="501" t="s">
        <v>30</v>
      </c>
      <c r="B18" s="499">
        <v>17</v>
      </c>
      <c r="AI18" s="499" t="s">
        <v>350</v>
      </c>
      <c r="AL18" s="499">
        <f>INDEX($D$2:$D$12,$AL$16)</f>
        <v>2023</v>
      </c>
      <c r="AS18" s="499">
        <f>INDEX($D$2:$D$12,$AS$16)</f>
        <v>2023</v>
      </c>
      <c r="AZ18" s="499">
        <f>INDEX($D$2:$D$12,$AZ$16)</f>
        <v>2023</v>
      </c>
      <c r="BC18" s="530"/>
      <c r="CO18" s="504"/>
      <c r="CT18" s="504"/>
    </row>
    <row r="19" spans="1:102" ht="33.75">
      <c r="A19" s="501" t="s">
        <v>31</v>
      </c>
      <c r="B19" s="499">
        <v>18</v>
      </c>
      <c r="AM19" s="501" t="s">
        <v>226</v>
      </c>
      <c r="AN19" s="515" t="s">
        <v>300</v>
      </c>
      <c r="AO19" s="528" t="s">
        <v>348</v>
      </c>
      <c r="AP19" s="528" t="s">
        <v>349</v>
      </c>
      <c r="AQ19" s="528" t="s">
        <v>346</v>
      </c>
      <c r="AR19" s="528" t="s">
        <v>347</v>
      </c>
      <c r="AT19" s="501" t="s">
        <v>212</v>
      </c>
      <c r="AU19" s="501" t="s">
        <v>185</v>
      </c>
      <c r="AV19" s="528" t="s">
        <v>353</v>
      </c>
      <c r="AW19" s="528" t="s">
        <v>354</v>
      </c>
      <c r="AX19" s="528" t="s">
        <v>355</v>
      </c>
      <c r="AY19" s="528" t="s">
        <v>356</v>
      </c>
      <c r="BA19" s="501" t="s">
        <v>296</v>
      </c>
      <c r="BB19" s="501" t="s">
        <v>297</v>
      </c>
      <c r="BC19" s="529" t="s">
        <v>360</v>
      </c>
      <c r="BD19" s="529" t="s">
        <v>361</v>
      </c>
      <c r="BE19" s="529" t="s">
        <v>362</v>
      </c>
      <c r="BF19" s="529" t="s">
        <v>363</v>
      </c>
      <c r="BG19" s="499" t="s">
        <v>365</v>
      </c>
      <c r="BH19" s="499" t="s">
        <v>366</v>
      </c>
      <c r="BX19" s="514"/>
      <c r="CC19" s="514"/>
      <c r="CH19" s="514"/>
      <c r="CM19" s="514"/>
      <c r="CO19" s="504"/>
      <c r="CR19" s="514"/>
      <c r="CT19" s="504"/>
    </row>
    <row r="20" spans="1:102">
      <c r="S20" s="499" t="str">
        <f>INDEX($A$2:$A$19,$Q$2)</f>
        <v>Lisboa</v>
      </c>
      <c r="AL20" s="501" t="s">
        <v>15</v>
      </c>
      <c r="AM20" s="511">
        <f>INDEX($B$21:$M$40,MATCH($AL$20:$AL$38,$B$21:$B$40,0),MATCH($AL$18,$B$21:$M$21,0))</f>
        <v>19949</v>
      </c>
      <c r="AN20" s="511">
        <f>INDEX($B$41:$M$60,MATCH($AL$20:$AL$38,$B$41:$B$60,0),MATCH($AL$18,$B$41:$M$41,0))</f>
        <v>22840</v>
      </c>
      <c r="AO20" s="525">
        <f>+AM20/$AM$38*100</f>
        <v>6.8493950256135587</v>
      </c>
      <c r="AP20" s="525">
        <f>+AN20/$AN$38*100</f>
        <v>6.7104629161720979</v>
      </c>
      <c r="AQ20" s="514">
        <f>RANK(AM20,$AM$20:$AM$37,0)</f>
        <v>4</v>
      </c>
      <c r="AR20" s="514">
        <f>RANK(AN20,$AN$20:$AN$37,0)</f>
        <v>4</v>
      </c>
      <c r="AS20" s="501" t="s">
        <v>15</v>
      </c>
      <c r="AT20" s="511">
        <f>INDEX($B$61:$M$80,MATCH($AS$20:$AS$38,$B$61:$B$80,0),MATCH($AS$18,$B$61:$M$61,0))</f>
        <v>255866</v>
      </c>
      <c r="AU20" s="511">
        <f>INDEX($B$81:$M$100,MATCH($AS$20:$AS$38,$B$81:$B$100,0),MATCH($AS$18,$B$81:$M$81,0))</f>
        <v>240286</v>
      </c>
      <c r="AV20" s="525">
        <f>+AT20/$AT$38*100</f>
        <v>7.3322801033819802</v>
      </c>
      <c r="AW20" s="525">
        <f>+AU20/$AU$38*100</f>
        <v>7.2899342077718936</v>
      </c>
      <c r="AX20" s="514">
        <f>RANK(AT20,$AT$20:$AT$37,0)</f>
        <v>4</v>
      </c>
      <c r="AY20" s="514">
        <f>RANK(AU20,$AU$20:$AU$37,0)</f>
        <v>4</v>
      </c>
      <c r="AZ20" s="501" t="s">
        <v>15</v>
      </c>
      <c r="BA20" s="512">
        <f>INDEX($B$101:$M$120,MATCH($AZ$20:$AZ$38,$B$101:$B$120,0),MATCH($AZ$18,$B$101:$M$101,0))</f>
        <v>1126.52</v>
      </c>
      <c r="BB20" s="512">
        <f>INDEX($B$121:$M$140,MATCH($AZ$20:$AZ$38,$B$121:$B$140,0),MATCH($AZ$18,$B$121:$M$121,0))</f>
        <v>1348.68</v>
      </c>
      <c r="BC20" s="525">
        <f>+(BA20/$BA$38-1)*100</f>
        <v>-7.6524547697705447</v>
      </c>
      <c r="BD20" s="525">
        <f>+(BB20/$BB$38-1)*100</f>
        <v>-8.0441274733066948</v>
      </c>
      <c r="BE20" s="514">
        <f>RANK(BA20,$BA$20:$BA$37,0)</f>
        <v>4</v>
      </c>
      <c r="BF20" s="514">
        <f>RANK(BB20,$BB$20:$BB$37,0)</f>
        <v>4</v>
      </c>
      <c r="BG20" s="512">
        <f>+BA20-$BA$38</f>
        <v>-93.349999999999909</v>
      </c>
      <c r="BH20" s="512">
        <f>+BB20-$BB$38</f>
        <v>-117.98000000000002</v>
      </c>
      <c r="CO20" s="504"/>
      <c r="CP20" s="501"/>
      <c r="CT20" s="504"/>
    </row>
    <row r="21" spans="1:102" ht="13.5" thickBot="1">
      <c r="A21" s="501" t="s">
        <v>226</v>
      </c>
      <c r="C21" s="501">
        <f>+'q3'!$B$4</f>
        <v>2013</v>
      </c>
      <c r="D21" s="501">
        <f>+'q3'!$C$4</f>
        <v>2014</v>
      </c>
      <c r="E21" s="501">
        <f>+'q3'!$D$4</f>
        <v>2015</v>
      </c>
      <c r="F21" s="501">
        <f>+'q3'!$E$4</f>
        <v>2016</v>
      </c>
      <c r="G21" s="501">
        <f>+'q3'!$F$4</f>
        <v>2017</v>
      </c>
      <c r="H21" s="501">
        <f>+'q3'!$G$4</f>
        <v>2018</v>
      </c>
      <c r="I21" s="501">
        <f>+'q3'!$H$4</f>
        <v>2019</v>
      </c>
      <c r="J21" s="501">
        <f>+'q3'!$I$4</f>
        <v>2020</v>
      </c>
      <c r="K21" s="501">
        <f>+'q3'!$J$4</f>
        <v>2021</v>
      </c>
      <c r="L21" s="501">
        <f>+'q3'!$K$4</f>
        <v>2022</v>
      </c>
      <c r="M21" s="501">
        <f>+'q3'!$L$4</f>
        <v>2023</v>
      </c>
      <c r="T21" s="6">
        <f>+'q3'!B$4</f>
        <v>2013</v>
      </c>
      <c r="U21" s="6">
        <f>+'q3'!C$4</f>
        <v>2014</v>
      </c>
      <c r="V21" s="6">
        <f>+'q3'!D$4</f>
        <v>2015</v>
      </c>
      <c r="W21" s="6">
        <f>+'q3'!E$4</f>
        <v>2016</v>
      </c>
      <c r="X21" s="6">
        <f>+'q3'!F$4</f>
        <v>2017</v>
      </c>
      <c r="Y21" s="6">
        <f>+'q3'!G$4</f>
        <v>2018</v>
      </c>
      <c r="Z21" s="6">
        <f>+'q3'!H$4</f>
        <v>2019</v>
      </c>
      <c r="AA21" s="6">
        <f>+'q3'!I$4</f>
        <v>2020</v>
      </c>
      <c r="AB21" s="6">
        <f>+'q3'!J$4</f>
        <v>2021</v>
      </c>
      <c r="AC21" s="6">
        <f>+'q3'!K$4</f>
        <v>2022</v>
      </c>
      <c r="AD21" s="6">
        <f>+'q3'!L$4</f>
        <v>2023</v>
      </c>
      <c r="AF21" s="464" t="s">
        <v>848</v>
      </c>
      <c r="AG21" s="464" t="s">
        <v>849</v>
      </c>
      <c r="AL21" s="501" t="s">
        <v>16</v>
      </c>
      <c r="AM21" s="511">
        <f t="shared" ref="AM21:AM38" si="0">INDEX($B$21:$M$40,MATCH($AL$20:$AL$38,$B$21:$B$40,0),MATCH($AL$18,$B$21:$M$21,0))</f>
        <v>4837</v>
      </c>
      <c r="AN21" s="511">
        <f t="shared" ref="AN21:AN38" si="1">INDEX($B$41:$M$60,MATCH($AL$20:$AL$38,$B$41:$B$60,0),MATCH($AL$18,$B$41:$M$41,0))</f>
        <v>5600</v>
      </c>
      <c r="AO21" s="525">
        <f t="shared" ref="AO21:AO37" si="2">+AM21/$AM$38*100</f>
        <v>1.6607611278205814</v>
      </c>
      <c r="AP21" s="525">
        <f t="shared" ref="AP21:AP37" si="3">+AN21/$AN$38*100</f>
        <v>1.645297387502791</v>
      </c>
      <c r="AQ21" s="514">
        <f t="shared" ref="AQ21:AQ37" si="4">RANK(AM21,$AM$20:$AM$37,0)</f>
        <v>14</v>
      </c>
      <c r="AR21" s="514">
        <f t="shared" ref="AR21:AR37" si="5">RANK(AN21,$AN$20:$AN$37,0)</f>
        <v>15</v>
      </c>
      <c r="AS21" s="501" t="s">
        <v>16</v>
      </c>
      <c r="AT21" s="511">
        <f t="shared" ref="AT21:AT38" si="6">INDEX($B$61:$M$80,MATCH($AS$20:$AS$38,$B$61:$B$80,0),MATCH($AS$18,$B$61:$M$61,0))</f>
        <v>47376</v>
      </c>
      <c r="AU21" s="511">
        <f t="shared" ref="AU21:AU38" si="7">INDEX($B$81:$M$100,MATCH($AS$20:$AS$38,$B$81:$B$100,0),MATCH($AS$18,$B$81:$M$81,0))</f>
        <v>45122</v>
      </c>
      <c r="AV21" s="525">
        <f t="shared" ref="AV21:AV37" si="8">+AT21/$AT$38*100</f>
        <v>1.3576407267000097</v>
      </c>
      <c r="AW21" s="525">
        <f t="shared" ref="AW21:AW37" si="9">+AU21/$AU$38*100</f>
        <v>1.3689370638450986</v>
      </c>
      <c r="AX21" s="514">
        <f t="shared" ref="AX21:AX37" si="10">RANK(AT21,$AT$20:$AT$37,0)</f>
        <v>12</v>
      </c>
      <c r="AY21" s="514">
        <f t="shared" ref="AY21:AY37" si="11">RANK(AU21,$AU$20:$AU$37,0)</f>
        <v>12</v>
      </c>
      <c r="AZ21" s="501" t="s">
        <v>16</v>
      </c>
      <c r="BA21" s="512">
        <f t="shared" ref="BA21:BA38" si="12">INDEX($B$101:$M$120,MATCH($AZ$20:$AZ$38,$B$101:$B$120,0),MATCH($AZ$18,$B$101:$M$101,0))</f>
        <v>1003.83</v>
      </c>
      <c r="BB21" s="512">
        <f t="shared" ref="BB21:BB38" si="13">INDEX($B$121:$M$140,MATCH($AZ$20:$AZ$38,$B$121:$B$140,0),MATCH($AZ$18,$B$121:$M$121,0))</f>
        <v>1305.52</v>
      </c>
      <c r="BC21" s="525">
        <f t="shared" ref="BC21:BC37" si="14">+(BA21/$BA$38-1)*100</f>
        <v>-17.710083861395056</v>
      </c>
      <c r="BD21" s="525">
        <f t="shared" ref="BD21:BD37" si="15">+(BB21/$BB$38-1)*100</f>
        <v>-10.986868122127834</v>
      </c>
      <c r="BE21" s="514">
        <f t="shared" ref="BE21:BE37" si="16">RANK(BA21,$BA$20:$BA$37,0)</f>
        <v>12</v>
      </c>
      <c r="BF21" s="514">
        <f t="shared" ref="BF21:BF37" si="17">RANK(BB21,$BB$20:$BB$37,0)</f>
        <v>6</v>
      </c>
      <c r="BG21" s="512">
        <f t="shared" ref="BG21:BG37" si="18">+BA21-$BA$38</f>
        <v>-216.03999999999985</v>
      </c>
      <c r="BH21" s="512">
        <f t="shared" ref="BH21:BH37" si="19">+BB21-$BB$38</f>
        <v>-161.1400000000001</v>
      </c>
      <c r="BI21" s="501"/>
      <c r="BJ21" s="501"/>
      <c r="BK21" s="501"/>
      <c r="BL21" s="501"/>
      <c r="BM21" s="501"/>
      <c r="BN21" s="501"/>
      <c r="BO21" s="501"/>
      <c r="BP21" s="501"/>
      <c r="BQ21" s="501"/>
      <c r="BS21" s="501"/>
      <c r="BX21" s="501"/>
      <c r="CC21" s="501"/>
      <c r="CH21" s="501"/>
      <c r="CM21" s="501"/>
      <c r="CO21" s="504"/>
      <c r="CR21" s="501"/>
      <c r="CT21" s="504"/>
    </row>
    <row r="22" spans="1:102" ht="13.5" thickTop="1">
      <c r="B22" s="501" t="str">
        <f>+'q3'!$A$6</f>
        <v>Aveiro</v>
      </c>
      <c r="C22" s="499">
        <f>+'q3'!$B$6</f>
        <v>19183</v>
      </c>
      <c r="D22" s="499">
        <f>+'q3'!$C$6</f>
        <v>19346</v>
      </c>
      <c r="E22" s="499">
        <f>+'q3'!$D$6</f>
        <v>19511</v>
      </c>
      <c r="F22" s="499">
        <f>+'q3'!$E$6</f>
        <v>19753</v>
      </c>
      <c r="G22" s="499">
        <f>+'q3'!$F$6</f>
        <v>19926</v>
      </c>
      <c r="H22" s="499">
        <f>+'q3'!$G$6</f>
        <v>20182</v>
      </c>
      <c r="I22" s="499">
        <f>+'q3'!$H$6</f>
        <v>19828</v>
      </c>
      <c r="J22" s="499">
        <f>+'q3'!$I$6</f>
        <v>19735</v>
      </c>
      <c r="K22" s="499">
        <f>+'q3'!$J$6</f>
        <v>19227</v>
      </c>
      <c r="L22" s="499">
        <f>+'q3'!$K$6</f>
        <v>19850</v>
      </c>
      <c r="M22" s="499">
        <f>+'q3'!$L$6</f>
        <v>19949</v>
      </c>
      <c r="N22" s="499">
        <f>+M22-C22</f>
        <v>766</v>
      </c>
      <c r="S22" s="468" t="s">
        <v>226</v>
      </c>
      <c r="T22" s="469">
        <f>VLOOKUP($S$20,$B$21:$M$39,COLUMN(C22)-1,0)</f>
        <v>59109</v>
      </c>
      <c r="U22" s="469">
        <f t="shared" ref="U22:AD22" si="20">VLOOKUP($S$20,$B$21:$M$39,COLUMN(D22)-1,0)</f>
        <v>59911</v>
      </c>
      <c r="V22" s="469">
        <f t="shared" si="20"/>
        <v>60537</v>
      </c>
      <c r="W22" s="469">
        <f t="shared" si="20"/>
        <v>60939</v>
      </c>
      <c r="X22" s="469">
        <f t="shared" si="20"/>
        <v>61816</v>
      </c>
      <c r="Y22" s="469">
        <f t="shared" si="20"/>
        <v>62991</v>
      </c>
      <c r="Z22" s="469">
        <f t="shared" si="20"/>
        <v>61257</v>
      </c>
      <c r="AA22" s="469">
        <f t="shared" si="20"/>
        <v>62466</v>
      </c>
      <c r="AB22" s="469">
        <f t="shared" si="20"/>
        <v>60609</v>
      </c>
      <c r="AC22" s="469">
        <f t="shared" si="20"/>
        <v>63924</v>
      </c>
      <c r="AD22" s="524">
        <f t="shared" si="20"/>
        <v>65753</v>
      </c>
      <c r="AE22" s="511" t="str">
        <f>TEXT(AD22,"##.###")</f>
        <v>65.753</v>
      </c>
      <c r="AF22" s="470">
        <f>+(AD22/AC22-1)</f>
        <v>2.861210187097174E-2</v>
      </c>
      <c r="AG22" s="470">
        <f>+(AD22/T22-1)</f>
        <v>0.11240251061598072</v>
      </c>
      <c r="AH22" s="522">
        <f>+AD22-T22</f>
        <v>6644</v>
      </c>
      <c r="AI22" s="499" t="str">
        <f>IF(AH22&gt;0,", mais",", menos")</f>
        <v>, mais</v>
      </c>
      <c r="AJ22" s="499">
        <f>IF(AH22&gt;0,AH22,AH22*-1)</f>
        <v>6644</v>
      </c>
      <c r="AL22" s="501" t="s">
        <v>66</v>
      </c>
      <c r="AM22" s="511">
        <f t="shared" si="0"/>
        <v>29169</v>
      </c>
      <c r="AN22" s="511">
        <f t="shared" si="1"/>
        <v>32582</v>
      </c>
      <c r="AO22" s="525">
        <f t="shared" si="2"/>
        <v>10.015038523340612</v>
      </c>
      <c r="AP22" s="525">
        <f t="shared" si="3"/>
        <v>9.5726927642171322</v>
      </c>
      <c r="AQ22" s="514">
        <f t="shared" si="4"/>
        <v>3</v>
      </c>
      <c r="AR22" s="514">
        <f t="shared" si="5"/>
        <v>3</v>
      </c>
      <c r="AS22" s="501" t="s">
        <v>66</v>
      </c>
      <c r="AT22" s="511">
        <f t="shared" si="6"/>
        <v>312788</v>
      </c>
      <c r="AU22" s="511">
        <f t="shared" si="7"/>
        <v>293224</v>
      </c>
      <c r="AV22" s="525">
        <f t="shared" si="8"/>
        <v>8.9634778711381848</v>
      </c>
      <c r="AW22" s="525">
        <f t="shared" si="9"/>
        <v>8.8959975534975211</v>
      </c>
      <c r="AX22" s="514">
        <f t="shared" si="10"/>
        <v>3</v>
      </c>
      <c r="AY22" s="514">
        <f t="shared" si="11"/>
        <v>3</v>
      </c>
      <c r="AZ22" s="501" t="s">
        <v>66</v>
      </c>
      <c r="BA22" s="512">
        <f t="shared" si="12"/>
        <v>1059.8900000000001</v>
      </c>
      <c r="BB22" s="512">
        <f t="shared" si="13"/>
        <v>1244.8900000000001</v>
      </c>
      <c r="BC22" s="525">
        <f t="shared" si="14"/>
        <v>-13.114512202119876</v>
      </c>
      <c r="BD22" s="525">
        <f t="shared" si="15"/>
        <v>-15.120750548866123</v>
      </c>
      <c r="BE22" s="514">
        <f t="shared" si="16"/>
        <v>7</v>
      </c>
      <c r="BF22" s="514">
        <f t="shared" si="17"/>
        <v>10</v>
      </c>
      <c r="BG22" s="512">
        <f t="shared" si="18"/>
        <v>-159.97999999999979</v>
      </c>
      <c r="BH22" s="512">
        <f t="shared" si="19"/>
        <v>-221.76999999999998</v>
      </c>
      <c r="BX22" s="514"/>
      <c r="CC22" s="514"/>
      <c r="CH22" s="514"/>
      <c r="CM22" s="514"/>
      <c r="CO22" s="504"/>
      <c r="CR22" s="514"/>
      <c r="CT22" s="504"/>
    </row>
    <row r="23" spans="1:102">
      <c r="B23" s="501" t="str">
        <f>+'q3'!$A$7</f>
        <v>Beja</v>
      </c>
      <c r="C23" s="499">
        <f>+'q3'!$B$7</f>
        <v>4027</v>
      </c>
      <c r="D23" s="499">
        <f>+'q3'!$C$7</f>
        <v>4126</v>
      </c>
      <c r="E23" s="499">
        <f>+'q3'!$D$7</f>
        <v>4182</v>
      </c>
      <c r="F23" s="499">
        <f>+'q3'!$E$7</f>
        <v>4271</v>
      </c>
      <c r="G23" s="499">
        <f>+'q3'!$F$7</f>
        <v>4352</v>
      </c>
      <c r="H23" s="499">
        <f>+'q3'!$G$7</f>
        <v>4398</v>
      </c>
      <c r="I23" s="499">
        <f>+'q3'!$H$7</f>
        <v>4357</v>
      </c>
      <c r="J23" s="499">
        <f>+'q3'!$I$7</f>
        <v>4387</v>
      </c>
      <c r="K23" s="499">
        <f>+'q3'!$J$7</f>
        <v>4403</v>
      </c>
      <c r="L23" s="499">
        <f>+'q3'!$K$7</f>
        <v>4593</v>
      </c>
      <c r="M23" s="499">
        <f>+'q3'!$L$7</f>
        <v>4837</v>
      </c>
      <c r="N23" s="499">
        <f t="shared" ref="N23:N86" si="21">+M23-C23</f>
        <v>810</v>
      </c>
      <c r="S23" s="468" t="s">
        <v>211</v>
      </c>
      <c r="T23" s="467">
        <f t="shared" ref="T23:AD23" si="22">VLOOKUP($S$20,$B$41:$M$59,COLUMN(C42)-1,0)</f>
        <v>70961</v>
      </c>
      <c r="U23" s="467">
        <f t="shared" si="22"/>
        <v>71690</v>
      </c>
      <c r="V23" s="467">
        <f t="shared" si="22"/>
        <v>72246</v>
      </c>
      <c r="W23" s="467">
        <f t="shared" si="22"/>
        <v>72756</v>
      </c>
      <c r="X23" s="467">
        <f t="shared" si="22"/>
        <v>73389</v>
      </c>
      <c r="Y23" s="467">
        <f t="shared" si="22"/>
        <v>74689</v>
      </c>
      <c r="Z23" s="467">
        <f t="shared" si="22"/>
        <v>72677</v>
      </c>
      <c r="AA23" s="467">
        <f t="shared" si="22"/>
        <v>73809</v>
      </c>
      <c r="AB23" s="467">
        <f t="shared" si="22"/>
        <v>71616</v>
      </c>
      <c r="AC23" s="467">
        <f t="shared" si="22"/>
        <v>75266</v>
      </c>
      <c r="AD23" s="467">
        <f t="shared" si="22"/>
        <v>77253</v>
      </c>
      <c r="AE23" s="511" t="str">
        <f>TEXT(AD23,"##.###")</f>
        <v>77.253</v>
      </c>
      <c r="AF23" s="470">
        <f>+(AD23/AC23-1)</f>
        <v>2.6399702388860913E-2</v>
      </c>
      <c r="AG23" s="470">
        <f>+(AD23/T23-1)</f>
        <v>8.8668423500232629E-2</v>
      </c>
      <c r="AH23" s="522">
        <f>+AD23-T23</f>
        <v>6292</v>
      </c>
      <c r="AI23" s="499" t="str">
        <f>IF(AH23&gt;0,", mais",", menos")</f>
        <v>, mais</v>
      </c>
      <c r="AJ23" s="499">
        <f>IF(AH23&gt;0,AH23,AH23*-1)</f>
        <v>6292</v>
      </c>
      <c r="AL23" s="501" t="s">
        <v>17</v>
      </c>
      <c r="AM23" s="511">
        <f t="shared" si="0"/>
        <v>3729</v>
      </c>
      <c r="AN23" s="511">
        <f t="shared" si="1"/>
        <v>4314</v>
      </c>
      <c r="AO23" s="525">
        <f t="shared" si="2"/>
        <v>1.2803345556425363</v>
      </c>
      <c r="AP23" s="525">
        <f t="shared" si="3"/>
        <v>1.2674665945869716</v>
      </c>
      <c r="AQ23" s="514">
        <f t="shared" si="4"/>
        <v>17</v>
      </c>
      <c r="AR23" s="514">
        <f t="shared" si="5"/>
        <v>17</v>
      </c>
      <c r="AS23" s="501" t="s">
        <v>17</v>
      </c>
      <c r="AT23" s="511">
        <f t="shared" si="6"/>
        <v>24160</v>
      </c>
      <c r="AU23" s="511">
        <f t="shared" si="7"/>
        <v>22078</v>
      </c>
      <c r="AV23" s="525">
        <f t="shared" si="8"/>
        <v>0.69234633479129171</v>
      </c>
      <c r="AW23" s="525">
        <f t="shared" si="9"/>
        <v>0.6698150014532176</v>
      </c>
      <c r="AX23" s="514">
        <f t="shared" si="10"/>
        <v>18</v>
      </c>
      <c r="AY23" s="514">
        <f t="shared" si="11"/>
        <v>18</v>
      </c>
      <c r="AZ23" s="501" t="s">
        <v>17</v>
      </c>
      <c r="BA23" s="512">
        <f t="shared" si="12"/>
        <v>958.36</v>
      </c>
      <c r="BB23" s="512">
        <f t="shared" si="13"/>
        <v>1136.1600000000001</v>
      </c>
      <c r="BC23" s="525">
        <f t="shared" si="14"/>
        <v>-21.437530228630909</v>
      </c>
      <c r="BD23" s="525">
        <f t="shared" si="15"/>
        <v>-22.534193337242435</v>
      </c>
      <c r="BE23" s="514">
        <f t="shared" si="16"/>
        <v>18</v>
      </c>
      <c r="BF23" s="514">
        <f t="shared" si="17"/>
        <v>18</v>
      </c>
      <c r="BG23" s="512">
        <f t="shared" si="18"/>
        <v>-261.50999999999988</v>
      </c>
      <c r="BH23" s="512">
        <f t="shared" si="19"/>
        <v>-330.5</v>
      </c>
      <c r="CO23" s="504"/>
      <c r="CT23" s="504"/>
    </row>
    <row r="24" spans="1:102">
      <c r="B24" s="501" t="str">
        <f>+'q3'!$A$8</f>
        <v>Braga</v>
      </c>
      <c r="C24" s="499">
        <f>+'q3'!$B$8</f>
        <v>25389</v>
      </c>
      <c r="D24" s="499">
        <f>+'q3'!$C$8</f>
        <v>26240</v>
      </c>
      <c r="E24" s="499">
        <f>+'q3'!$D$8</f>
        <v>26600</v>
      </c>
      <c r="F24" s="499">
        <f>+'q3'!$E$8</f>
        <v>27141</v>
      </c>
      <c r="G24" s="499">
        <f>+'q3'!$F$8</f>
        <v>27607</v>
      </c>
      <c r="H24" s="499">
        <f>+'q3'!$G$8</f>
        <v>27722</v>
      </c>
      <c r="I24" s="499">
        <f>+'q3'!$H$8</f>
        <v>26943</v>
      </c>
      <c r="J24" s="499">
        <f>+'q3'!$I$8</f>
        <v>27215</v>
      </c>
      <c r="K24" s="499">
        <f>+'q3'!$J$8</f>
        <v>26761</v>
      </c>
      <c r="L24" s="499">
        <f>+'q3'!$K$8</f>
        <v>28579</v>
      </c>
      <c r="M24" s="499">
        <f>+'q3'!$L$8</f>
        <v>29169</v>
      </c>
      <c r="N24" s="499">
        <f t="shared" si="21"/>
        <v>3780</v>
      </c>
      <c r="AL24" s="501" t="s">
        <v>18</v>
      </c>
      <c r="AM24" s="511">
        <f t="shared" si="0"/>
        <v>4717</v>
      </c>
      <c r="AN24" s="511">
        <f t="shared" si="1"/>
        <v>5606</v>
      </c>
      <c r="AO24" s="525">
        <f t="shared" si="2"/>
        <v>1.6195596940106849</v>
      </c>
      <c r="AP24" s="525">
        <f t="shared" si="3"/>
        <v>1.6470602061322583</v>
      </c>
      <c r="AQ24" s="514">
        <f t="shared" si="4"/>
        <v>15</v>
      </c>
      <c r="AR24" s="514">
        <f t="shared" si="5"/>
        <v>14</v>
      </c>
      <c r="AS24" s="501" t="s">
        <v>18</v>
      </c>
      <c r="AT24" s="511">
        <f t="shared" si="6"/>
        <v>45470</v>
      </c>
      <c r="AU24" s="511">
        <f t="shared" si="7"/>
        <v>42612</v>
      </c>
      <c r="AV24" s="525">
        <f t="shared" si="8"/>
        <v>1.3030210199900676</v>
      </c>
      <c r="AW24" s="525">
        <f t="shared" si="9"/>
        <v>1.2927872471204143</v>
      </c>
      <c r="AX24" s="514">
        <f t="shared" si="10"/>
        <v>13</v>
      </c>
      <c r="AY24" s="514">
        <f t="shared" si="11"/>
        <v>13</v>
      </c>
      <c r="AZ24" s="501" t="s">
        <v>18</v>
      </c>
      <c r="BA24" s="512">
        <f t="shared" si="12"/>
        <v>991.05</v>
      </c>
      <c r="BB24" s="512">
        <f t="shared" si="13"/>
        <v>1180.77</v>
      </c>
      <c r="BC24" s="525">
        <f t="shared" si="14"/>
        <v>-18.757736480116726</v>
      </c>
      <c r="BD24" s="525">
        <f t="shared" si="15"/>
        <v>-19.492588602675475</v>
      </c>
      <c r="BE24" s="514">
        <f t="shared" si="16"/>
        <v>15</v>
      </c>
      <c r="BF24" s="514">
        <f t="shared" si="17"/>
        <v>16</v>
      </c>
      <c r="BG24" s="512">
        <f t="shared" si="18"/>
        <v>-228.81999999999994</v>
      </c>
      <c r="BH24" s="512">
        <f t="shared" si="19"/>
        <v>-285.8900000000001</v>
      </c>
      <c r="CO24" s="504"/>
      <c r="CT24" s="504"/>
    </row>
    <row r="25" spans="1:102">
      <c r="B25" s="501" t="str">
        <f>+'q3'!$A$9</f>
        <v>Bragança</v>
      </c>
      <c r="C25" s="499">
        <f>+'q3'!$B$9</f>
        <v>3580</v>
      </c>
      <c r="D25" s="499">
        <f>+'q3'!$C$9</f>
        <v>3603</v>
      </c>
      <c r="E25" s="499">
        <f>+'q3'!$D$9</f>
        <v>3624</v>
      </c>
      <c r="F25" s="499">
        <f>+'q3'!$E$9</f>
        <v>3653</v>
      </c>
      <c r="G25" s="499">
        <f>+'q3'!$F$9</f>
        <v>3691</v>
      </c>
      <c r="H25" s="499">
        <f>+'q3'!$G$9</f>
        <v>3714</v>
      </c>
      <c r="I25" s="499">
        <f>+'q3'!$H$9</f>
        <v>3441</v>
      </c>
      <c r="J25" s="499">
        <f>+'q3'!$I$9</f>
        <v>3474</v>
      </c>
      <c r="K25" s="499">
        <f>+'q3'!$J$9</f>
        <v>3568</v>
      </c>
      <c r="L25" s="499">
        <f>+'q3'!$K$9</f>
        <v>3640</v>
      </c>
      <c r="M25" s="499">
        <f>+'q3'!$L$9</f>
        <v>3729</v>
      </c>
      <c r="N25" s="499">
        <f t="shared" si="21"/>
        <v>149</v>
      </c>
      <c r="AE25" s="523"/>
      <c r="AG25" s="525">
        <f>+(AD22/T22-1)*100</f>
        <v>11.240251061598073</v>
      </c>
      <c r="AL25" s="501" t="s">
        <v>19</v>
      </c>
      <c r="AM25" s="511">
        <f t="shared" si="0"/>
        <v>10326</v>
      </c>
      <c r="AN25" s="511">
        <f t="shared" si="1"/>
        <v>12571</v>
      </c>
      <c r="AO25" s="525">
        <f t="shared" si="2"/>
        <v>3.545383379341601</v>
      </c>
      <c r="AP25" s="525">
        <f t="shared" si="3"/>
        <v>3.6933988318388544</v>
      </c>
      <c r="AQ25" s="514">
        <f t="shared" si="4"/>
        <v>9</v>
      </c>
      <c r="AR25" s="514">
        <f t="shared" si="5"/>
        <v>9</v>
      </c>
      <c r="AS25" s="501" t="s">
        <v>19</v>
      </c>
      <c r="AT25" s="511">
        <f t="shared" si="6"/>
        <v>112151</v>
      </c>
      <c r="AU25" s="511">
        <f t="shared" si="7"/>
        <v>104759</v>
      </c>
      <c r="AV25" s="525">
        <f t="shared" si="8"/>
        <v>3.2138797099825394</v>
      </c>
      <c r="AW25" s="525">
        <f t="shared" si="9"/>
        <v>3.1782385060801532</v>
      </c>
      <c r="AX25" s="514">
        <f t="shared" si="10"/>
        <v>9</v>
      </c>
      <c r="AY25" s="514">
        <f t="shared" si="11"/>
        <v>9</v>
      </c>
      <c r="AZ25" s="501" t="s">
        <v>19</v>
      </c>
      <c r="BA25" s="512">
        <f t="shared" si="12"/>
        <v>1085.1500000000001</v>
      </c>
      <c r="BB25" s="512">
        <f t="shared" si="13"/>
        <v>1317.31</v>
      </c>
      <c r="BC25" s="525">
        <f t="shared" si="14"/>
        <v>-11.043799749153582</v>
      </c>
      <c r="BD25" s="525">
        <f t="shared" si="15"/>
        <v>-10.183000831821975</v>
      </c>
      <c r="BE25" s="514">
        <f t="shared" si="16"/>
        <v>5</v>
      </c>
      <c r="BF25" s="514">
        <f t="shared" si="17"/>
        <v>5</v>
      </c>
      <c r="BG25" s="512">
        <f t="shared" si="18"/>
        <v>-134.7199999999998</v>
      </c>
      <c r="BH25" s="512">
        <f t="shared" si="19"/>
        <v>-149.35000000000014</v>
      </c>
      <c r="BX25" s="514"/>
      <c r="CC25" s="514"/>
      <c r="CH25" s="514"/>
      <c r="CM25" s="514"/>
      <c r="CO25" s="504"/>
      <c r="CR25" s="514"/>
      <c r="CT25" s="504"/>
    </row>
    <row r="26" spans="1:102">
      <c r="B26" s="501" t="str">
        <f>+'q3'!$A$10</f>
        <v>Castelo Branco</v>
      </c>
      <c r="C26" s="499">
        <f>+'q3'!$B$10</f>
        <v>4611</v>
      </c>
      <c r="D26" s="499">
        <f>+'q3'!$C$10</f>
        <v>4726</v>
      </c>
      <c r="E26" s="499">
        <f>+'q3'!$D$10</f>
        <v>4738</v>
      </c>
      <c r="F26" s="499">
        <f>+'q3'!$E$10</f>
        <v>4744</v>
      </c>
      <c r="G26" s="499">
        <f>+'q3'!$F$10</f>
        <v>4692</v>
      </c>
      <c r="H26" s="499">
        <f>+'q3'!$G$10</f>
        <v>4696</v>
      </c>
      <c r="I26" s="499">
        <f>+'q3'!$H$10</f>
        <v>4527</v>
      </c>
      <c r="J26" s="499">
        <f>+'q3'!$I$10</f>
        <v>4500</v>
      </c>
      <c r="K26" s="499">
        <f>+'q3'!$J$10</f>
        <v>4479</v>
      </c>
      <c r="L26" s="499">
        <f>+'q3'!$K$10</f>
        <v>4718</v>
      </c>
      <c r="M26" s="499">
        <f>+'q3'!$L$10</f>
        <v>4717</v>
      </c>
      <c r="N26" s="499">
        <f t="shared" si="21"/>
        <v>106</v>
      </c>
      <c r="AA26" s="521" t="s">
        <v>313</v>
      </c>
      <c r="AB26" s="521"/>
      <c r="AC26" s="521"/>
      <c r="AG26" s="525">
        <f>+(AD23/T23-1)*100</f>
        <v>8.866842350023262</v>
      </c>
      <c r="AL26" s="501" t="s">
        <v>20</v>
      </c>
      <c r="AM26" s="511">
        <f t="shared" si="0"/>
        <v>5107</v>
      </c>
      <c r="AN26" s="511">
        <f t="shared" si="1"/>
        <v>6137</v>
      </c>
      <c r="AO26" s="525">
        <f t="shared" si="2"/>
        <v>1.7534643538928487</v>
      </c>
      <c r="AP26" s="525">
        <f t="shared" si="3"/>
        <v>1.8030696548401122</v>
      </c>
      <c r="AQ26" s="514">
        <f t="shared" si="4"/>
        <v>13</v>
      </c>
      <c r="AR26" s="514">
        <f t="shared" si="5"/>
        <v>12</v>
      </c>
      <c r="AS26" s="501" t="s">
        <v>20</v>
      </c>
      <c r="AT26" s="511">
        <f t="shared" si="6"/>
        <v>45228</v>
      </c>
      <c r="AU26" s="511">
        <f t="shared" si="7"/>
        <v>42406</v>
      </c>
      <c r="AV26" s="525">
        <f t="shared" si="8"/>
        <v>1.2960860939544925</v>
      </c>
      <c r="AW26" s="525">
        <f t="shared" si="9"/>
        <v>1.2865375012059583</v>
      </c>
      <c r="AX26" s="514">
        <f t="shared" si="10"/>
        <v>14</v>
      </c>
      <c r="AY26" s="514">
        <f t="shared" si="11"/>
        <v>14</v>
      </c>
      <c r="AZ26" s="501" t="s">
        <v>20</v>
      </c>
      <c r="BA26" s="512">
        <f t="shared" si="12"/>
        <v>1049.8499999999999</v>
      </c>
      <c r="BB26" s="512">
        <f t="shared" si="13"/>
        <v>1271.71</v>
      </c>
      <c r="BC26" s="525">
        <f t="shared" si="14"/>
        <v>-13.937550722617987</v>
      </c>
      <c r="BD26" s="525">
        <f t="shared" si="15"/>
        <v>-13.292105873208515</v>
      </c>
      <c r="BE26" s="514">
        <f t="shared" si="16"/>
        <v>8</v>
      </c>
      <c r="BF26" s="514">
        <f t="shared" si="17"/>
        <v>8</v>
      </c>
      <c r="BG26" s="512">
        <f t="shared" si="18"/>
        <v>-170.01999999999998</v>
      </c>
      <c r="BH26" s="512">
        <f t="shared" si="19"/>
        <v>-194.95000000000005</v>
      </c>
      <c r="CO26" s="504"/>
      <c r="CT26" s="504"/>
    </row>
    <row r="27" spans="1:102">
      <c r="B27" s="501" t="str">
        <f>+'q3'!$A$11</f>
        <v>Coimbra</v>
      </c>
      <c r="C27" s="499">
        <f>+'q3'!$B$11</f>
        <v>9990</v>
      </c>
      <c r="D27" s="499">
        <f>+'q3'!$C$11</f>
        <v>10077</v>
      </c>
      <c r="E27" s="499">
        <f>+'q3'!$D$11</f>
        <v>10100</v>
      </c>
      <c r="F27" s="499">
        <f>+'q3'!$E$11</f>
        <v>10154</v>
      </c>
      <c r="G27" s="499">
        <f>+'q3'!$F$11</f>
        <v>10202</v>
      </c>
      <c r="H27" s="499">
        <f>+'q3'!$G$11</f>
        <v>10207</v>
      </c>
      <c r="I27" s="499">
        <f>+'q3'!$H$11</f>
        <v>9886</v>
      </c>
      <c r="J27" s="499">
        <f>+'q3'!$I$11</f>
        <v>9993</v>
      </c>
      <c r="K27" s="499">
        <f>+'q3'!$J$11</f>
        <v>9818</v>
      </c>
      <c r="L27" s="499">
        <f>+'q3'!$K$11</f>
        <v>10273</v>
      </c>
      <c r="M27" s="499">
        <f>+'q3'!$L$11</f>
        <v>10326</v>
      </c>
      <c r="N27" s="499">
        <f t="shared" si="21"/>
        <v>336</v>
      </c>
      <c r="AL27" s="501" t="s">
        <v>21</v>
      </c>
      <c r="AM27" s="511">
        <f t="shared" si="0"/>
        <v>18237</v>
      </c>
      <c r="AN27" s="511">
        <f t="shared" si="1"/>
        <v>22034</v>
      </c>
      <c r="AO27" s="525">
        <f t="shared" si="2"/>
        <v>6.2615879032590334</v>
      </c>
      <c r="AP27" s="525">
        <f t="shared" si="3"/>
        <v>6.4736576136136605</v>
      </c>
      <c r="AQ27" s="514">
        <f t="shared" si="4"/>
        <v>5</v>
      </c>
      <c r="AR27" s="514">
        <f t="shared" si="5"/>
        <v>5</v>
      </c>
      <c r="AS27" s="501" t="s">
        <v>21</v>
      </c>
      <c r="AT27" s="511">
        <f t="shared" si="6"/>
        <v>178434</v>
      </c>
      <c r="AU27" s="511">
        <f t="shared" si="7"/>
        <v>166794</v>
      </c>
      <c r="AV27" s="525">
        <f t="shared" si="8"/>
        <v>5.1133330257512144</v>
      </c>
      <c r="AW27" s="525">
        <f t="shared" si="9"/>
        <v>5.0602918449310614</v>
      </c>
      <c r="AX27" s="514">
        <f t="shared" si="10"/>
        <v>6</v>
      </c>
      <c r="AY27" s="514">
        <f t="shared" si="11"/>
        <v>6</v>
      </c>
      <c r="AZ27" s="501" t="s">
        <v>21</v>
      </c>
      <c r="BA27" s="512">
        <f t="shared" si="12"/>
        <v>1031.25</v>
      </c>
      <c r="BB27" s="512">
        <f t="shared" si="13"/>
        <v>1238.68</v>
      </c>
      <c r="BC27" s="525">
        <f t="shared" si="14"/>
        <v>-15.462303360194108</v>
      </c>
      <c r="BD27" s="525">
        <f t="shared" si="15"/>
        <v>-15.54416156437075</v>
      </c>
      <c r="BE27" s="514">
        <f t="shared" si="16"/>
        <v>10</v>
      </c>
      <c r="BF27" s="514">
        <f t="shared" si="17"/>
        <v>11</v>
      </c>
      <c r="BG27" s="512">
        <f t="shared" si="18"/>
        <v>-188.61999999999989</v>
      </c>
      <c r="BH27" s="512">
        <f t="shared" si="19"/>
        <v>-227.98000000000002</v>
      </c>
      <c r="CO27" s="504"/>
      <c r="CT27" s="504"/>
    </row>
    <row r="28" spans="1:102">
      <c r="B28" s="501" t="str">
        <f>+'q3'!$A$12</f>
        <v>Évora</v>
      </c>
      <c r="C28" s="499">
        <f>+'q3'!$B$12</f>
        <v>4860</v>
      </c>
      <c r="D28" s="499">
        <f>+'q3'!$C$12</f>
        <v>5026</v>
      </c>
      <c r="E28" s="499">
        <f>+'q3'!$D$12</f>
        <v>5065</v>
      </c>
      <c r="F28" s="499">
        <f>+'q3'!$E$12</f>
        <v>5038</v>
      </c>
      <c r="G28" s="499">
        <f>+'q3'!$F$12</f>
        <v>5034</v>
      </c>
      <c r="H28" s="499">
        <f>+'q3'!$G$12</f>
        <v>4966</v>
      </c>
      <c r="I28" s="499">
        <f>+'q3'!$H$12</f>
        <v>4869</v>
      </c>
      <c r="J28" s="499">
        <f>+'q3'!$I$12</f>
        <v>4904</v>
      </c>
      <c r="K28" s="499">
        <f>+'q3'!$J$12</f>
        <v>4640</v>
      </c>
      <c r="L28" s="499">
        <f>+'q3'!$K$12</f>
        <v>5048</v>
      </c>
      <c r="M28" s="499">
        <f>+'q3'!$L$12</f>
        <v>5107</v>
      </c>
      <c r="N28" s="499">
        <f t="shared" si="21"/>
        <v>247</v>
      </c>
      <c r="AA28" s="499">
        <f>+AD21</f>
        <v>2023</v>
      </c>
      <c r="AB28" s="499" t="s">
        <v>443</v>
      </c>
      <c r="AC28" s="499" t="s">
        <v>449</v>
      </c>
      <c r="AL28" s="501" t="s">
        <v>22</v>
      </c>
      <c r="AM28" s="511">
        <f t="shared" si="0"/>
        <v>4169</v>
      </c>
      <c r="AN28" s="511">
        <f t="shared" si="1"/>
        <v>4814</v>
      </c>
      <c r="AO28" s="525">
        <f t="shared" si="2"/>
        <v>1.4314064796121571</v>
      </c>
      <c r="AP28" s="525">
        <f t="shared" si="3"/>
        <v>1.414368147042578</v>
      </c>
      <c r="AQ28" s="514">
        <f t="shared" si="4"/>
        <v>16</v>
      </c>
      <c r="AR28" s="514">
        <f t="shared" si="5"/>
        <v>16</v>
      </c>
      <c r="AS28" s="501" t="s">
        <v>22</v>
      </c>
      <c r="AT28" s="511">
        <f t="shared" si="6"/>
        <v>32928</v>
      </c>
      <c r="AU28" s="511">
        <f t="shared" si="7"/>
        <v>30808</v>
      </c>
      <c r="AV28" s="525">
        <f t="shared" si="8"/>
        <v>0.94360844834468749</v>
      </c>
      <c r="AW28" s="525">
        <f t="shared" si="9"/>
        <v>0.93467073850759708</v>
      </c>
      <c r="AX28" s="514">
        <f t="shared" si="10"/>
        <v>16</v>
      </c>
      <c r="AY28" s="514">
        <f t="shared" si="11"/>
        <v>16</v>
      </c>
      <c r="AZ28" s="501" t="s">
        <v>22</v>
      </c>
      <c r="BA28" s="512">
        <f t="shared" si="12"/>
        <v>966.87</v>
      </c>
      <c r="BB28" s="512">
        <f t="shared" si="13"/>
        <v>1176.51</v>
      </c>
      <c r="BC28" s="525">
        <f t="shared" si="14"/>
        <v>-20.739914908965705</v>
      </c>
      <c r="BD28" s="525">
        <f t="shared" si="15"/>
        <v>-19.783044468383949</v>
      </c>
      <c r="BE28" s="514">
        <f t="shared" si="16"/>
        <v>17</v>
      </c>
      <c r="BF28" s="514">
        <f t="shared" si="17"/>
        <v>17</v>
      </c>
      <c r="BG28" s="512">
        <f t="shared" si="18"/>
        <v>-252.99999999999989</v>
      </c>
      <c r="BH28" s="512">
        <f t="shared" si="19"/>
        <v>-290.15000000000009</v>
      </c>
      <c r="BX28" s="514"/>
      <c r="CC28" s="514"/>
      <c r="CH28" s="514"/>
      <c r="CM28" s="514"/>
      <c r="CO28" s="504"/>
      <c r="CR28" s="514"/>
      <c r="CT28" s="504"/>
    </row>
    <row r="29" spans="1:102" ht="12.95" customHeight="1">
      <c r="B29" s="501" t="str">
        <f>+'q3'!$A$13</f>
        <v>Faro</v>
      </c>
      <c r="C29" s="499">
        <f>+'q3'!$B$13</f>
        <v>15012</v>
      </c>
      <c r="D29" s="499">
        <f>+'q3'!$C$13</f>
        <v>15485</v>
      </c>
      <c r="E29" s="499">
        <f>+'q3'!$D$13</f>
        <v>15831</v>
      </c>
      <c r="F29" s="499">
        <f>+'q3'!$E$13</f>
        <v>16300</v>
      </c>
      <c r="G29" s="499">
        <f>+'q3'!$F$13</f>
        <v>16481</v>
      </c>
      <c r="H29" s="499">
        <f>+'q3'!$G$13</f>
        <v>17081</v>
      </c>
      <c r="I29" s="499">
        <f>+'q3'!$H$13</f>
        <v>17191</v>
      </c>
      <c r="J29" s="499">
        <f>+'q3'!$I$13</f>
        <v>16775</v>
      </c>
      <c r="K29" s="499">
        <f>+'q3'!$J$13</f>
        <v>16329</v>
      </c>
      <c r="L29" s="499">
        <f>+'q3'!$K$13</f>
        <v>17066</v>
      </c>
      <c r="M29" s="499">
        <f>+'q3'!$L$13</f>
        <v>18237</v>
      </c>
      <c r="N29" s="499">
        <f t="shared" si="21"/>
        <v>3225</v>
      </c>
      <c r="AA29" s="499" t="s">
        <v>308</v>
      </c>
      <c r="AB29" s="499" t="str">
        <f>+S20</f>
        <v>Lisboa</v>
      </c>
      <c r="AE29" s="526"/>
      <c r="AF29" s="526"/>
      <c r="AG29" s="526"/>
      <c r="AH29" s="526"/>
      <c r="AL29" s="501" t="s">
        <v>23</v>
      </c>
      <c r="AM29" s="511">
        <f t="shared" si="0"/>
        <v>16175</v>
      </c>
      <c r="AN29" s="511">
        <f t="shared" si="1"/>
        <v>18854</v>
      </c>
      <c r="AO29" s="525">
        <f t="shared" si="2"/>
        <v>5.5536099322923107</v>
      </c>
      <c r="AP29" s="525">
        <f t="shared" si="3"/>
        <v>5.5393637399960038</v>
      </c>
      <c r="AQ29" s="514">
        <f t="shared" si="4"/>
        <v>7</v>
      </c>
      <c r="AR29" s="514">
        <f t="shared" si="5"/>
        <v>7</v>
      </c>
      <c r="AS29" s="501" t="s">
        <v>23</v>
      </c>
      <c r="AT29" s="511">
        <f t="shared" si="6"/>
        <v>163957</v>
      </c>
      <c r="AU29" s="511">
        <f t="shared" si="7"/>
        <v>152308</v>
      </c>
      <c r="AV29" s="525">
        <f t="shared" si="8"/>
        <v>4.6984697025403896</v>
      </c>
      <c r="AW29" s="525">
        <f t="shared" si="9"/>
        <v>4.6208072851407138</v>
      </c>
      <c r="AX29" s="514">
        <f t="shared" si="10"/>
        <v>7</v>
      </c>
      <c r="AY29" s="514">
        <f t="shared" si="11"/>
        <v>7</v>
      </c>
      <c r="AZ29" s="501" t="s">
        <v>23</v>
      </c>
      <c r="BA29" s="512">
        <f t="shared" si="12"/>
        <v>1070.77</v>
      </c>
      <c r="BB29" s="512">
        <f t="shared" si="13"/>
        <v>1289.3599999999999</v>
      </c>
      <c r="BC29" s="525">
        <f t="shared" si="14"/>
        <v>-12.222613885086108</v>
      </c>
      <c r="BD29" s="525">
        <f t="shared" si="15"/>
        <v>-12.088691312233246</v>
      </c>
      <c r="BE29" s="514">
        <f t="shared" si="16"/>
        <v>6</v>
      </c>
      <c r="BF29" s="514">
        <f t="shared" si="17"/>
        <v>7</v>
      </c>
      <c r="BG29" s="512">
        <f t="shared" si="18"/>
        <v>-149.09999999999991</v>
      </c>
      <c r="BH29" s="512">
        <f t="shared" si="19"/>
        <v>-177.30000000000018</v>
      </c>
      <c r="CO29" s="504"/>
      <c r="CT29" s="504"/>
    </row>
    <row r="30" spans="1:102">
      <c r="B30" s="501" t="str">
        <f>+'q3'!$A$14</f>
        <v>Guarda</v>
      </c>
      <c r="C30" s="499">
        <f>+'q3'!$B$14</f>
        <v>4293</v>
      </c>
      <c r="D30" s="499">
        <f>+'q3'!$C$14</f>
        <v>4352</v>
      </c>
      <c r="E30" s="499">
        <f>+'q3'!$D$14</f>
        <v>4323</v>
      </c>
      <c r="F30" s="499">
        <f>+'q3'!$E$14</f>
        <v>4348</v>
      </c>
      <c r="G30" s="499">
        <f>+'q3'!$F$14</f>
        <v>4380</v>
      </c>
      <c r="H30" s="499">
        <f>+'q3'!$G$14</f>
        <v>4347</v>
      </c>
      <c r="I30" s="499">
        <f>+'q3'!$H$14</f>
        <v>4183</v>
      </c>
      <c r="J30" s="499">
        <f>+'q3'!$I$14</f>
        <v>4178</v>
      </c>
      <c r="K30" s="499">
        <f>+'q3'!$J$14</f>
        <v>4076</v>
      </c>
      <c r="L30" s="499">
        <f>+'q3'!$K$14</f>
        <v>4127</v>
      </c>
      <c r="M30" s="499">
        <f>+'q3'!$L$14</f>
        <v>4169</v>
      </c>
      <c r="N30" s="499">
        <f t="shared" si="21"/>
        <v>-124</v>
      </c>
      <c r="AA30" s="499" t="s">
        <v>450</v>
      </c>
      <c r="AE30" s="526"/>
      <c r="AF30" s="526"/>
      <c r="AG30" s="526"/>
      <c r="AH30" s="526"/>
      <c r="AL30" s="501" t="s">
        <v>24</v>
      </c>
      <c r="AM30" s="511">
        <f t="shared" si="0"/>
        <v>65753</v>
      </c>
      <c r="AN30" s="511">
        <f t="shared" si="1"/>
        <v>77253</v>
      </c>
      <c r="AO30" s="525">
        <f t="shared" si="2"/>
        <v>22.575982310851085</v>
      </c>
      <c r="AP30" s="525">
        <f t="shared" si="3"/>
        <v>22.697171263705915</v>
      </c>
      <c r="AQ30" s="514">
        <f t="shared" si="4"/>
        <v>1</v>
      </c>
      <c r="AR30" s="514">
        <f t="shared" si="5"/>
        <v>1</v>
      </c>
      <c r="AS30" s="501" t="s">
        <v>24</v>
      </c>
      <c r="AT30" s="511">
        <f t="shared" si="6"/>
        <v>1039751</v>
      </c>
      <c r="AU30" s="511">
        <f t="shared" si="7"/>
        <v>994831</v>
      </c>
      <c r="AV30" s="525">
        <f t="shared" si="8"/>
        <v>29.795852398409785</v>
      </c>
      <c r="AW30" s="525">
        <f t="shared" si="9"/>
        <v>30.181752319535555</v>
      </c>
      <c r="AX30" s="514">
        <f t="shared" si="10"/>
        <v>1</v>
      </c>
      <c r="AY30" s="514">
        <f t="shared" si="11"/>
        <v>1</v>
      </c>
      <c r="AZ30" s="501" t="s">
        <v>24</v>
      </c>
      <c r="BA30" s="512">
        <f t="shared" si="12"/>
        <v>1474.84</v>
      </c>
      <c r="BB30" s="512">
        <f t="shared" si="13"/>
        <v>1779.36</v>
      </c>
      <c r="BC30" s="525">
        <f t="shared" si="14"/>
        <v>20.90140752703158</v>
      </c>
      <c r="BD30" s="525">
        <f t="shared" si="15"/>
        <v>21.320551457052073</v>
      </c>
      <c r="BE30" s="514">
        <f t="shared" si="16"/>
        <v>1</v>
      </c>
      <c r="BF30" s="514">
        <f t="shared" si="17"/>
        <v>1</v>
      </c>
      <c r="BG30" s="512">
        <f t="shared" si="18"/>
        <v>254.97000000000003</v>
      </c>
      <c r="BH30" s="512">
        <f t="shared" si="19"/>
        <v>312.69999999999982</v>
      </c>
      <c r="CO30" s="504"/>
      <c r="CP30" s="504"/>
      <c r="CT30" s="504"/>
      <c r="CU30" s="504"/>
      <c r="CV30" s="504"/>
      <c r="CW30" s="504"/>
      <c r="CX30" s="504"/>
    </row>
    <row r="31" spans="1:102">
      <c r="B31" s="501" t="str">
        <f>+'q3'!$A$15</f>
        <v>Leiria</v>
      </c>
      <c r="C31" s="499">
        <f>+'q3'!$B$15</f>
        <v>15459</v>
      </c>
      <c r="D31" s="499">
        <f>+'q3'!$C$15</f>
        <v>15521</v>
      </c>
      <c r="E31" s="499">
        <f>+'q3'!$D$15</f>
        <v>15665</v>
      </c>
      <c r="F31" s="499">
        <f>+'q3'!$E$15</f>
        <v>15801</v>
      </c>
      <c r="G31" s="499">
        <f>+'q3'!$F$15</f>
        <v>15981</v>
      </c>
      <c r="H31" s="499">
        <f>+'q3'!$G$15</f>
        <v>15931</v>
      </c>
      <c r="I31" s="499">
        <f>+'q3'!$H$15</f>
        <v>15567</v>
      </c>
      <c r="J31" s="499">
        <f>+'q3'!$I$15</f>
        <v>15528</v>
      </c>
      <c r="K31" s="499">
        <f>+'q3'!$J$15</f>
        <v>15232</v>
      </c>
      <c r="L31" s="499">
        <f>+'q3'!$K$15</f>
        <v>15824</v>
      </c>
      <c r="M31" s="499">
        <f>+'q3'!$L$15</f>
        <v>16175</v>
      </c>
      <c r="N31" s="499">
        <f t="shared" si="21"/>
        <v>716</v>
      </c>
      <c r="AA31" s="499" t="s">
        <v>316</v>
      </c>
      <c r="AB31" s="522" t="str">
        <f>+AE22</f>
        <v>65.753</v>
      </c>
      <c r="AE31" s="526"/>
      <c r="AF31" s="526"/>
      <c r="AG31" s="526"/>
      <c r="AH31" s="526"/>
      <c r="AL31" s="501" t="s">
        <v>25</v>
      </c>
      <c r="AM31" s="511">
        <f t="shared" si="0"/>
        <v>2865</v>
      </c>
      <c r="AN31" s="511">
        <f t="shared" si="1"/>
        <v>3430</v>
      </c>
      <c r="AO31" s="525">
        <f t="shared" si="2"/>
        <v>0.98368423221128087</v>
      </c>
      <c r="AP31" s="525">
        <f t="shared" si="3"/>
        <v>1.0077446498454596</v>
      </c>
      <c r="AQ31" s="514">
        <f t="shared" si="4"/>
        <v>18</v>
      </c>
      <c r="AR31" s="514">
        <f t="shared" si="5"/>
        <v>18</v>
      </c>
      <c r="AS31" s="501" t="s">
        <v>25</v>
      </c>
      <c r="AT31" s="511">
        <f t="shared" si="6"/>
        <v>24444</v>
      </c>
      <c r="AU31" s="511">
        <f t="shared" si="7"/>
        <v>22968</v>
      </c>
      <c r="AV31" s="525">
        <f t="shared" si="8"/>
        <v>0.70048484303138803</v>
      </c>
      <c r="AW31" s="525">
        <f t="shared" si="9"/>
        <v>0.69681633088946016</v>
      </c>
      <c r="AX31" s="514">
        <f t="shared" si="10"/>
        <v>17</v>
      </c>
      <c r="AY31" s="514">
        <f t="shared" si="11"/>
        <v>17</v>
      </c>
      <c r="AZ31" s="501" t="s">
        <v>25</v>
      </c>
      <c r="BA31" s="512">
        <f t="shared" si="12"/>
        <v>990.36</v>
      </c>
      <c r="BB31" s="512">
        <f t="shared" si="13"/>
        <v>1197.92</v>
      </c>
      <c r="BC31" s="525">
        <f t="shared" si="14"/>
        <v>-18.814299884413909</v>
      </c>
      <c r="BD31" s="525">
        <f t="shared" si="15"/>
        <v>-18.323265105750476</v>
      </c>
      <c r="BE31" s="514">
        <f t="shared" si="16"/>
        <v>16</v>
      </c>
      <c r="BF31" s="514">
        <f t="shared" si="17"/>
        <v>14</v>
      </c>
      <c r="BG31" s="512">
        <f t="shared" si="18"/>
        <v>-229.50999999999988</v>
      </c>
      <c r="BH31" s="512">
        <f t="shared" si="19"/>
        <v>-268.74</v>
      </c>
      <c r="BX31" s="514"/>
      <c r="CC31" s="514"/>
      <c r="CH31" s="514"/>
      <c r="CM31" s="514"/>
      <c r="CO31" s="504"/>
      <c r="CP31" s="504"/>
      <c r="CR31" s="514"/>
      <c r="CT31" s="504"/>
      <c r="CU31" s="504"/>
      <c r="CV31" s="504"/>
      <c r="CW31" s="504"/>
      <c r="CX31" s="504"/>
    </row>
    <row r="32" spans="1:102">
      <c r="B32" s="501" t="str">
        <f>+'q3'!$A$16</f>
        <v>Lisboa</v>
      </c>
      <c r="C32" s="499">
        <f>+'q3'!$B$16</f>
        <v>59109</v>
      </c>
      <c r="D32" s="499">
        <f>+'q3'!$C$16</f>
        <v>59911</v>
      </c>
      <c r="E32" s="499">
        <f>+'q3'!$D$16</f>
        <v>60537</v>
      </c>
      <c r="F32" s="499">
        <f>+'q3'!$E$16</f>
        <v>60939</v>
      </c>
      <c r="G32" s="499">
        <f>+'q3'!$F$16</f>
        <v>61816</v>
      </c>
      <c r="H32" s="499">
        <f>+'q3'!$G$16</f>
        <v>62991</v>
      </c>
      <c r="I32" s="499">
        <f>+'q3'!$H$16</f>
        <v>61257</v>
      </c>
      <c r="J32" s="499">
        <f>+'q3'!$I$16</f>
        <v>62466</v>
      </c>
      <c r="K32" s="499">
        <f>+'q3'!$J$16</f>
        <v>60609</v>
      </c>
      <c r="L32" s="499">
        <f>+'q3'!$K$16</f>
        <v>63924</v>
      </c>
      <c r="M32" s="499">
        <f>+'q3'!$L$16</f>
        <v>65753</v>
      </c>
      <c r="N32" s="499">
        <f t="shared" si="21"/>
        <v>6644</v>
      </c>
      <c r="AA32" s="499" t="s">
        <v>314</v>
      </c>
      <c r="AB32" s="499" t="s">
        <v>850</v>
      </c>
      <c r="AE32" s="526"/>
      <c r="AF32" s="526"/>
      <c r="AG32" s="526"/>
      <c r="AH32" s="526"/>
      <c r="AL32" s="501" t="s">
        <v>26</v>
      </c>
      <c r="AM32" s="511">
        <f t="shared" si="0"/>
        <v>54733</v>
      </c>
      <c r="AN32" s="511">
        <f t="shared" si="1"/>
        <v>63252</v>
      </c>
      <c r="AO32" s="525">
        <f t="shared" si="2"/>
        <v>18.79231730597558</v>
      </c>
      <c r="AP32" s="525">
        <f t="shared" si="3"/>
        <v>18.583633991844025</v>
      </c>
      <c r="AQ32" s="514">
        <f t="shared" si="4"/>
        <v>2</v>
      </c>
      <c r="AR32" s="514">
        <f t="shared" si="5"/>
        <v>2</v>
      </c>
      <c r="AS32" s="501" t="s">
        <v>26</v>
      </c>
      <c r="AT32" s="511">
        <f t="shared" si="6"/>
        <v>675046</v>
      </c>
      <c r="AU32" s="511">
        <f t="shared" si="7"/>
        <v>638591</v>
      </c>
      <c r="AV32" s="525">
        <f t="shared" si="8"/>
        <v>19.344603638887513</v>
      </c>
      <c r="AW32" s="525">
        <f t="shared" si="9"/>
        <v>19.373939287662456</v>
      </c>
      <c r="AX32" s="514">
        <f t="shared" si="10"/>
        <v>2</v>
      </c>
      <c r="AY32" s="514">
        <f t="shared" si="11"/>
        <v>2</v>
      </c>
      <c r="AZ32" s="501" t="s">
        <v>26</v>
      </c>
      <c r="BA32" s="512">
        <f t="shared" si="12"/>
        <v>1212.5</v>
      </c>
      <c r="BB32" s="512">
        <f t="shared" si="13"/>
        <v>1444.09</v>
      </c>
      <c r="BC32" s="525">
        <f t="shared" si="14"/>
        <v>-0.6041627386524695</v>
      </c>
      <c r="BD32" s="525">
        <f t="shared" si="15"/>
        <v>-1.5388706312301492</v>
      </c>
      <c r="BE32" s="514">
        <f t="shared" si="16"/>
        <v>2</v>
      </c>
      <c r="BF32" s="514">
        <f t="shared" si="17"/>
        <v>3</v>
      </c>
      <c r="BG32" s="512">
        <f t="shared" si="18"/>
        <v>-7.3699999999998909</v>
      </c>
      <c r="BH32" s="512">
        <f t="shared" si="19"/>
        <v>-22.570000000000164</v>
      </c>
      <c r="CO32" s="504"/>
      <c r="CP32" s="504"/>
      <c r="CT32" s="504"/>
      <c r="CU32" s="504"/>
      <c r="CV32" s="504"/>
      <c r="CW32" s="504"/>
      <c r="CX32" s="504"/>
    </row>
    <row r="33" spans="1:102">
      <c r="B33" s="501" t="str">
        <f>+'q3'!$A$17</f>
        <v>Portalegre</v>
      </c>
      <c r="C33" s="499">
        <f>+'q3'!$B$17</f>
        <v>2880</v>
      </c>
      <c r="D33" s="499">
        <f>+'q3'!$C$17</f>
        <v>2917</v>
      </c>
      <c r="E33" s="499">
        <f>+'q3'!$D$17</f>
        <v>2906</v>
      </c>
      <c r="F33" s="499">
        <f>+'q3'!$E$17</f>
        <v>2929</v>
      </c>
      <c r="G33" s="499">
        <f>+'q3'!$F$17</f>
        <v>2901</v>
      </c>
      <c r="H33" s="499">
        <f>+'q3'!$G$17</f>
        <v>2878</v>
      </c>
      <c r="I33" s="499">
        <f>+'q3'!$H$17</f>
        <v>2783</v>
      </c>
      <c r="J33" s="499">
        <f>+'q3'!$I$17</f>
        <v>2770</v>
      </c>
      <c r="K33" s="499">
        <f>+'q3'!$J$17</f>
        <v>2634</v>
      </c>
      <c r="L33" s="499">
        <f>+'q3'!$K$17</f>
        <v>2877</v>
      </c>
      <c r="M33" s="499">
        <f>+'q3'!$L$17</f>
        <v>2865</v>
      </c>
      <c r="N33" s="499">
        <f t="shared" si="21"/>
        <v>-15</v>
      </c>
      <c r="AA33" s="499" t="s">
        <v>317</v>
      </c>
      <c r="AB33" s="525">
        <f>(ROUND(AG25,1))</f>
        <v>11.2</v>
      </c>
      <c r="AE33" s="526"/>
      <c r="AF33" s="526"/>
      <c r="AG33" s="526"/>
      <c r="AH33" s="526"/>
      <c r="AL33" s="501" t="s">
        <v>27</v>
      </c>
      <c r="AM33" s="511">
        <f t="shared" si="0"/>
        <v>11869</v>
      </c>
      <c r="AN33" s="511">
        <f t="shared" si="1"/>
        <v>14124</v>
      </c>
      <c r="AO33" s="525">
        <f t="shared" si="2"/>
        <v>4.0751651490805214</v>
      </c>
      <c r="AP33" s="525">
        <f t="shared" si="3"/>
        <v>4.1496750537659679</v>
      </c>
      <c r="AQ33" s="514">
        <f t="shared" si="4"/>
        <v>8</v>
      </c>
      <c r="AR33" s="514">
        <f t="shared" si="5"/>
        <v>8</v>
      </c>
      <c r="AS33" s="501" t="s">
        <v>27</v>
      </c>
      <c r="AT33" s="511">
        <f t="shared" si="6"/>
        <v>120066</v>
      </c>
      <c r="AU33" s="511">
        <f t="shared" si="7"/>
        <v>112134</v>
      </c>
      <c r="AV33" s="525">
        <f t="shared" si="8"/>
        <v>3.4406976420964916</v>
      </c>
      <c r="AW33" s="525">
        <f t="shared" si="9"/>
        <v>3.4019854775321634</v>
      </c>
      <c r="AX33" s="514">
        <f t="shared" si="10"/>
        <v>8</v>
      </c>
      <c r="AY33" s="514">
        <f t="shared" si="11"/>
        <v>8</v>
      </c>
      <c r="AZ33" s="501" t="s">
        <v>27</v>
      </c>
      <c r="BA33" s="512">
        <f t="shared" si="12"/>
        <v>1038.8499999999999</v>
      </c>
      <c r="BB33" s="512">
        <f t="shared" si="13"/>
        <v>1264.1500000000001</v>
      </c>
      <c r="BC33" s="525">
        <f t="shared" si="14"/>
        <v>-14.839286153442577</v>
      </c>
      <c r="BD33" s="525">
        <f t="shared" si="15"/>
        <v>-13.807562761648917</v>
      </c>
      <c r="BE33" s="514">
        <f t="shared" si="16"/>
        <v>9</v>
      </c>
      <c r="BF33" s="514">
        <f t="shared" si="17"/>
        <v>9</v>
      </c>
      <c r="BG33" s="512">
        <f t="shared" si="18"/>
        <v>-181.01999999999998</v>
      </c>
      <c r="BH33" s="512">
        <f t="shared" si="19"/>
        <v>-202.51</v>
      </c>
      <c r="CO33" s="504"/>
      <c r="CT33" s="504"/>
    </row>
    <row r="34" spans="1:102">
      <c r="B34" s="501" t="str">
        <f>+'q3'!$A$18</f>
        <v>Porto</v>
      </c>
      <c r="C34" s="499">
        <f>+'q3'!$B$18</f>
        <v>49445</v>
      </c>
      <c r="D34" s="499">
        <f>+'q3'!$C$18</f>
        <v>50528</v>
      </c>
      <c r="E34" s="499">
        <f>+'q3'!$D$18</f>
        <v>51144</v>
      </c>
      <c r="F34" s="499">
        <f>+'q3'!$E$18</f>
        <v>51885</v>
      </c>
      <c r="G34" s="499">
        <f>+'q3'!$F$18</f>
        <v>52500</v>
      </c>
      <c r="H34" s="499">
        <f>+'q3'!$G$18</f>
        <v>53324</v>
      </c>
      <c r="I34" s="499">
        <f>+'q3'!$H$18</f>
        <v>52245</v>
      </c>
      <c r="J34" s="499">
        <f>+'q3'!$I$18</f>
        <v>52499</v>
      </c>
      <c r="K34" s="499">
        <f>+'q3'!$J$18</f>
        <v>51434</v>
      </c>
      <c r="L34" s="499">
        <f>+'q3'!$K$18</f>
        <v>53630</v>
      </c>
      <c r="M34" s="499">
        <f>+'q3'!$L$18</f>
        <v>54733</v>
      </c>
      <c r="N34" s="499">
        <f t="shared" si="21"/>
        <v>5288</v>
      </c>
      <c r="AA34" s="499" t="s">
        <v>319</v>
      </c>
      <c r="AB34" s="499" t="s">
        <v>852</v>
      </c>
      <c r="AC34" s="499" t="s">
        <v>853</v>
      </c>
      <c r="AE34" s="526"/>
      <c r="AF34" s="526"/>
      <c r="AG34" s="526"/>
      <c r="AH34" s="526"/>
      <c r="AL34" s="501" t="s">
        <v>28</v>
      </c>
      <c r="AM34" s="511">
        <f t="shared" si="0"/>
        <v>16783</v>
      </c>
      <c r="AN34" s="511">
        <f t="shared" si="1"/>
        <v>20429</v>
      </c>
      <c r="AO34" s="525">
        <f t="shared" si="2"/>
        <v>5.7623638635957866</v>
      </c>
      <c r="AP34" s="525">
        <f t="shared" si="3"/>
        <v>6.0021036302311641</v>
      </c>
      <c r="AQ34" s="514">
        <f t="shared" si="4"/>
        <v>6</v>
      </c>
      <c r="AR34" s="514">
        <f t="shared" si="5"/>
        <v>6</v>
      </c>
      <c r="AS34" s="501" t="s">
        <v>28</v>
      </c>
      <c r="AT34" s="511">
        <f t="shared" si="6"/>
        <v>195528</v>
      </c>
      <c r="AU34" s="511">
        <f t="shared" si="7"/>
        <v>184464</v>
      </c>
      <c r="AV34" s="525">
        <f t="shared" si="8"/>
        <v>5.6031909829913777</v>
      </c>
      <c r="AW34" s="525">
        <f t="shared" si="9"/>
        <v>5.5963744192438778</v>
      </c>
      <c r="AX34" s="514">
        <f t="shared" si="10"/>
        <v>5</v>
      </c>
      <c r="AY34" s="514">
        <f t="shared" si="11"/>
        <v>5</v>
      </c>
      <c r="AZ34" s="501" t="s">
        <v>28</v>
      </c>
      <c r="BA34" s="512">
        <f t="shared" si="12"/>
        <v>1192.6099999999999</v>
      </c>
      <c r="BB34" s="512">
        <f t="shared" si="13"/>
        <v>1456.04</v>
      </c>
      <c r="BC34" s="525">
        <f t="shared" si="14"/>
        <v>-2.2346643494798646</v>
      </c>
      <c r="BD34" s="525">
        <f t="shared" si="15"/>
        <v>-0.72409420042819361</v>
      </c>
      <c r="BE34" s="514">
        <f t="shared" si="16"/>
        <v>3</v>
      </c>
      <c r="BF34" s="514">
        <f t="shared" si="17"/>
        <v>2</v>
      </c>
      <c r="BG34" s="512">
        <f t="shared" si="18"/>
        <v>-27.259999999999991</v>
      </c>
      <c r="BH34" s="512">
        <f t="shared" si="19"/>
        <v>-10.620000000000118</v>
      </c>
      <c r="BX34" s="514"/>
      <c r="CC34" s="514"/>
      <c r="CH34" s="514"/>
      <c r="CM34" s="514"/>
      <c r="CO34" s="504"/>
      <c r="CR34" s="514"/>
      <c r="CT34" s="504"/>
    </row>
    <row r="35" spans="1:102">
      <c r="B35" s="501" t="str">
        <f>+'q3'!$A$19</f>
        <v>Santarém</v>
      </c>
      <c r="C35" s="499">
        <f>+'q3'!$B$19</f>
        <v>11981</v>
      </c>
      <c r="D35" s="499">
        <f>+'q3'!$C$19</f>
        <v>11954</v>
      </c>
      <c r="E35" s="499">
        <f>+'q3'!$D$19</f>
        <v>12046</v>
      </c>
      <c r="F35" s="499">
        <f>+'q3'!$E$19</f>
        <v>12047</v>
      </c>
      <c r="G35" s="499">
        <f>+'q3'!$F$19</f>
        <v>12029</v>
      </c>
      <c r="H35" s="499">
        <f>+'q3'!$G$19</f>
        <v>11936</v>
      </c>
      <c r="I35" s="499">
        <f>+'q3'!$H$19</f>
        <v>11616</v>
      </c>
      <c r="J35" s="499">
        <f>+'q3'!$I$19</f>
        <v>11534</v>
      </c>
      <c r="K35" s="499">
        <f>+'q3'!$J$19</f>
        <v>11335</v>
      </c>
      <c r="L35" s="499">
        <f>+'q3'!$K$19</f>
        <v>11687</v>
      </c>
      <c r="M35" s="499">
        <f>+'q3'!$L$19</f>
        <v>11869</v>
      </c>
      <c r="N35" s="499">
        <f t="shared" si="21"/>
        <v>-112</v>
      </c>
      <c r="AA35" s="499" t="s">
        <v>309</v>
      </c>
      <c r="AB35" s="499" t="str">
        <f>+AI22</f>
        <v>, mais</v>
      </c>
      <c r="AE35" s="526"/>
      <c r="AF35" s="526"/>
      <c r="AG35" s="526"/>
      <c r="AH35" s="526"/>
      <c r="AL35" s="501" t="s">
        <v>29</v>
      </c>
      <c r="AM35" s="511">
        <f t="shared" si="0"/>
        <v>7381</v>
      </c>
      <c r="AN35" s="511">
        <f t="shared" si="1"/>
        <v>8480</v>
      </c>
      <c r="AO35" s="525">
        <f t="shared" si="2"/>
        <v>2.534231524590389</v>
      </c>
      <c r="AP35" s="525">
        <f t="shared" si="3"/>
        <v>2.4914503296470838</v>
      </c>
      <c r="AQ35" s="514">
        <f t="shared" si="4"/>
        <v>11</v>
      </c>
      <c r="AR35" s="514">
        <f t="shared" si="5"/>
        <v>11</v>
      </c>
      <c r="AS35" s="501" t="s">
        <v>29</v>
      </c>
      <c r="AT35" s="511">
        <f t="shared" si="6"/>
        <v>72633</v>
      </c>
      <c r="AU35" s="511">
        <f t="shared" si="7"/>
        <v>68117</v>
      </c>
      <c r="AV35" s="525">
        <f t="shared" si="8"/>
        <v>2.0814234824046309</v>
      </c>
      <c r="AW35" s="525">
        <f t="shared" si="9"/>
        <v>2.0665725361893661</v>
      </c>
      <c r="AX35" s="514">
        <f t="shared" si="10"/>
        <v>11</v>
      </c>
      <c r="AY35" s="514">
        <f t="shared" si="11"/>
        <v>11</v>
      </c>
      <c r="AZ35" s="501" t="s">
        <v>29</v>
      </c>
      <c r="BA35" s="512">
        <f t="shared" si="12"/>
        <v>1022.16</v>
      </c>
      <c r="BB35" s="512">
        <f t="shared" si="13"/>
        <v>1237.67</v>
      </c>
      <c r="BC35" s="525">
        <f t="shared" si="14"/>
        <v>-16.207464729848255</v>
      </c>
      <c r="BD35" s="525">
        <f t="shared" si="15"/>
        <v>-15.613025513752332</v>
      </c>
      <c r="BE35" s="514">
        <f t="shared" si="16"/>
        <v>11</v>
      </c>
      <c r="BF35" s="514">
        <f t="shared" si="17"/>
        <v>12</v>
      </c>
      <c r="BG35" s="512">
        <f t="shared" si="18"/>
        <v>-197.70999999999992</v>
      </c>
      <c r="BH35" s="512">
        <f t="shared" si="19"/>
        <v>-228.99</v>
      </c>
      <c r="CO35" s="504"/>
      <c r="CT35" s="504"/>
    </row>
    <row r="36" spans="1:102">
      <c r="B36" s="501" t="str">
        <f>+'q3'!$A$20</f>
        <v>Setúbal</v>
      </c>
      <c r="C36" s="499">
        <f>+'q3'!$B$20</f>
        <v>14860</v>
      </c>
      <c r="D36" s="499">
        <f>+'q3'!$C$20</f>
        <v>14912</v>
      </c>
      <c r="E36" s="499">
        <f>+'q3'!$D$20</f>
        <v>15034</v>
      </c>
      <c r="F36" s="499">
        <f>+'q3'!$E$20</f>
        <v>15272</v>
      </c>
      <c r="G36" s="499">
        <f>+'q3'!$F$20</f>
        <v>15474</v>
      </c>
      <c r="H36" s="499">
        <f>+'q3'!$G$20</f>
        <v>15628</v>
      </c>
      <c r="I36" s="499">
        <f>+'q3'!$H$20</f>
        <v>15397</v>
      </c>
      <c r="J36" s="499">
        <f>+'q3'!$I$20</f>
        <v>15843</v>
      </c>
      <c r="K36" s="499">
        <f>+'q3'!$J$20</f>
        <v>15594</v>
      </c>
      <c r="L36" s="499">
        <f>+'q3'!$K$20</f>
        <v>16564</v>
      </c>
      <c r="M36" s="499">
        <f>+'q3'!$L$20</f>
        <v>16783</v>
      </c>
      <c r="N36" s="499">
        <f t="shared" si="21"/>
        <v>1923</v>
      </c>
      <c r="AA36" s="499" t="s">
        <v>311</v>
      </c>
      <c r="AB36" s="522" t="str">
        <f>TEXT(AJ22,"##.###")</f>
        <v>6.644</v>
      </c>
      <c r="AE36" s="526"/>
      <c r="AF36" s="526"/>
      <c r="AG36" s="526"/>
      <c r="AH36" s="526"/>
      <c r="AL36" s="501" t="s">
        <v>30</v>
      </c>
      <c r="AM36" s="511">
        <f t="shared" si="0"/>
        <v>5186</v>
      </c>
      <c r="AN36" s="511">
        <f t="shared" si="1"/>
        <v>6133</v>
      </c>
      <c r="AO36" s="525">
        <f t="shared" si="2"/>
        <v>1.7805886311510306</v>
      </c>
      <c r="AP36" s="525">
        <f t="shared" si="3"/>
        <v>1.8018944424204673</v>
      </c>
      <c r="AQ36" s="514">
        <f t="shared" si="4"/>
        <v>12</v>
      </c>
      <c r="AR36" s="514">
        <f t="shared" si="5"/>
        <v>13</v>
      </c>
      <c r="AS36" s="501" t="s">
        <v>30</v>
      </c>
      <c r="AT36" s="511">
        <f t="shared" si="6"/>
        <v>40275</v>
      </c>
      <c r="AU36" s="511">
        <f t="shared" si="7"/>
        <v>37526</v>
      </c>
      <c r="AV36" s="525">
        <f t="shared" si="8"/>
        <v>1.1541493639784466</v>
      </c>
      <c r="AW36" s="525">
        <f t="shared" si="9"/>
        <v>1.1384852678926283</v>
      </c>
      <c r="AX36" s="514">
        <f t="shared" si="10"/>
        <v>15</v>
      </c>
      <c r="AY36" s="514">
        <f t="shared" si="11"/>
        <v>15</v>
      </c>
      <c r="AZ36" s="501" t="s">
        <v>30</v>
      </c>
      <c r="BA36" s="512">
        <f t="shared" si="12"/>
        <v>997.39</v>
      </c>
      <c r="BB36" s="512">
        <f t="shared" si="13"/>
        <v>1185.9000000000001</v>
      </c>
      <c r="BC36" s="525">
        <f t="shared" si="14"/>
        <v>-18.238008968168728</v>
      </c>
      <c r="BD36" s="525">
        <f t="shared" si="15"/>
        <v>-19.142814285519481</v>
      </c>
      <c r="BE36" s="514">
        <f t="shared" si="16"/>
        <v>14</v>
      </c>
      <c r="BF36" s="514">
        <f t="shared" si="17"/>
        <v>15</v>
      </c>
      <c r="BG36" s="512">
        <f t="shared" si="18"/>
        <v>-222.4799999999999</v>
      </c>
      <c r="BH36" s="512">
        <f t="shared" si="19"/>
        <v>-280.76</v>
      </c>
      <c r="CO36" s="504"/>
      <c r="CT36" s="504"/>
    </row>
    <row r="37" spans="1:102">
      <c r="B37" s="501" t="str">
        <f>+'q3'!$A$21</f>
        <v>Viana do Castelo</v>
      </c>
      <c r="C37" s="499">
        <f>+'q3'!$B$21</f>
        <v>7051</v>
      </c>
      <c r="D37" s="499">
        <f>+'q3'!$C$21</f>
        <v>7129</v>
      </c>
      <c r="E37" s="499">
        <f>+'q3'!$D$21</f>
        <v>7173</v>
      </c>
      <c r="F37" s="499">
        <f>+'q3'!$E$21</f>
        <v>7291</v>
      </c>
      <c r="G37" s="499">
        <f>+'q3'!$F$21</f>
        <v>7270</v>
      </c>
      <c r="H37" s="499">
        <f>+'q3'!$G$21</f>
        <v>7341</v>
      </c>
      <c r="I37" s="499">
        <f>+'q3'!$H$21</f>
        <v>7045</v>
      </c>
      <c r="J37" s="499">
        <f>+'q3'!$I$21</f>
        <v>7037</v>
      </c>
      <c r="K37" s="499">
        <f>+'q3'!$J$21</f>
        <v>6974</v>
      </c>
      <c r="L37" s="499">
        <f>+'q3'!$K$21</f>
        <v>7227</v>
      </c>
      <c r="M37" s="499">
        <f>+'q3'!$L$21</f>
        <v>7381</v>
      </c>
      <c r="N37" s="499">
        <f t="shared" si="21"/>
        <v>330</v>
      </c>
      <c r="AC37" s="499" t="s">
        <v>756</v>
      </c>
      <c r="AL37" s="501" t="s">
        <v>31</v>
      </c>
      <c r="AM37" s="511">
        <f t="shared" si="0"/>
        <v>10267</v>
      </c>
      <c r="AN37" s="511">
        <f t="shared" si="1"/>
        <v>11911</v>
      </c>
      <c r="AO37" s="525">
        <f t="shared" si="2"/>
        <v>3.5251260077184021</v>
      </c>
      <c r="AP37" s="525">
        <f t="shared" si="3"/>
        <v>3.4994887825974548</v>
      </c>
      <c r="AQ37" s="514">
        <f t="shared" si="4"/>
        <v>10</v>
      </c>
      <c r="AR37" s="514">
        <f t="shared" si="5"/>
        <v>10</v>
      </c>
      <c r="AS37" s="501" t="s">
        <v>31</v>
      </c>
      <c r="AT37" s="511">
        <f t="shared" si="6"/>
        <v>103482</v>
      </c>
      <c r="AU37" s="511">
        <f t="shared" si="7"/>
        <v>97106</v>
      </c>
      <c r="AV37" s="525">
        <f t="shared" si="8"/>
        <v>2.9654546116255154</v>
      </c>
      <c r="AW37" s="525">
        <f t="shared" si="9"/>
        <v>2.9460574115008673</v>
      </c>
      <c r="AX37" s="514">
        <f t="shared" si="10"/>
        <v>10</v>
      </c>
      <c r="AY37" s="514">
        <f t="shared" si="11"/>
        <v>10</v>
      </c>
      <c r="AZ37" s="501" t="s">
        <v>31</v>
      </c>
      <c r="BA37" s="512">
        <f t="shared" si="12"/>
        <v>998.93</v>
      </c>
      <c r="BB37" s="512">
        <f t="shared" si="13"/>
        <v>1214.08</v>
      </c>
      <c r="BC37" s="525">
        <f t="shared" si="14"/>
        <v>-18.111766007853291</v>
      </c>
      <c r="BD37" s="525">
        <f t="shared" si="15"/>
        <v>-17.221441915645087</v>
      </c>
      <c r="BE37" s="514">
        <f t="shared" si="16"/>
        <v>13</v>
      </c>
      <c r="BF37" s="514">
        <f t="shared" si="17"/>
        <v>13</v>
      </c>
      <c r="BG37" s="512">
        <f t="shared" si="18"/>
        <v>-220.93999999999994</v>
      </c>
      <c r="BH37" s="512">
        <f t="shared" si="19"/>
        <v>-252.58000000000015</v>
      </c>
      <c r="BX37" s="514"/>
      <c r="CC37" s="514"/>
      <c r="CH37" s="514"/>
      <c r="CM37" s="514"/>
      <c r="CO37" s="504"/>
      <c r="CP37" s="504"/>
      <c r="CR37" s="514"/>
      <c r="CT37" s="504"/>
      <c r="CU37" s="504"/>
      <c r="CV37" s="504"/>
      <c r="CW37" s="504"/>
      <c r="CX37" s="504"/>
    </row>
    <row r="38" spans="1:102">
      <c r="B38" s="501" t="str">
        <f>+'q3'!$A$22</f>
        <v>Vila Real</v>
      </c>
      <c r="C38" s="499">
        <f>+'q3'!$B$22</f>
        <v>4874</v>
      </c>
      <c r="D38" s="499">
        <f>+'q3'!$C$22</f>
        <v>4930</v>
      </c>
      <c r="E38" s="499">
        <f>+'q3'!$D$22</f>
        <v>4976</v>
      </c>
      <c r="F38" s="499">
        <f>+'q3'!$E$22</f>
        <v>5034</v>
      </c>
      <c r="G38" s="499">
        <f>+'q3'!$F$22</f>
        <v>5076</v>
      </c>
      <c r="H38" s="499">
        <f>+'q3'!$G$22</f>
        <v>5093</v>
      </c>
      <c r="I38" s="499">
        <f>+'q3'!$H$22</f>
        <v>5005</v>
      </c>
      <c r="J38" s="499">
        <f>+'q3'!$I$22</f>
        <v>5085</v>
      </c>
      <c r="K38" s="499">
        <f>+'q3'!$J$22</f>
        <v>5019</v>
      </c>
      <c r="L38" s="499">
        <f>+'q3'!$K$22</f>
        <v>5152</v>
      </c>
      <c r="M38" s="499">
        <f>+'q3'!$L$22</f>
        <v>5186</v>
      </c>
      <c r="N38" s="499">
        <f t="shared" si="21"/>
        <v>312</v>
      </c>
      <c r="AA38" s="499" t="s">
        <v>320</v>
      </c>
      <c r="AB38" s="522" t="str">
        <f>+AE23</f>
        <v>77.253</v>
      </c>
      <c r="AL38" s="501" t="s">
        <v>14</v>
      </c>
      <c r="AM38" s="511">
        <f t="shared" si="0"/>
        <v>291252</v>
      </c>
      <c r="AN38" s="511">
        <f t="shared" si="1"/>
        <v>340364</v>
      </c>
      <c r="AS38" s="501" t="s">
        <v>14</v>
      </c>
      <c r="AT38" s="511">
        <f t="shared" si="6"/>
        <v>3489583</v>
      </c>
      <c r="AU38" s="511">
        <f t="shared" si="7"/>
        <v>3296134</v>
      </c>
      <c r="AV38" s="511"/>
      <c r="AW38" s="511"/>
      <c r="AZ38" s="501" t="s">
        <v>14</v>
      </c>
      <c r="BA38" s="512">
        <f t="shared" si="12"/>
        <v>1219.8699999999999</v>
      </c>
      <c r="BB38" s="512">
        <f t="shared" si="13"/>
        <v>1466.66</v>
      </c>
      <c r="CO38" s="504"/>
      <c r="CP38" s="504"/>
      <c r="CT38" s="504"/>
      <c r="CU38" s="504"/>
      <c r="CV38" s="504"/>
      <c r="CW38" s="504"/>
      <c r="CX38" s="504"/>
    </row>
    <row r="39" spans="1:102">
      <c r="B39" s="501" t="str">
        <f>+'q3'!$A$23</f>
        <v>Viseu</v>
      </c>
      <c r="C39" s="499">
        <f>+'q3'!$B$23</f>
        <v>9256</v>
      </c>
      <c r="D39" s="499">
        <f>+'q3'!$C$23</f>
        <v>9398</v>
      </c>
      <c r="E39" s="499">
        <f>+'q3'!$D$23</f>
        <v>9605</v>
      </c>
      <c r="F39" s="499">
        <f>+'q3'!$E$23</f>
        <v>9732</v>
      </c>
      <c r="G39" s="499">
        <f>+'q3'!$F$23</f>
        <v>9779</v>
      </c>
      <c r="H39" s="499">
        <f>+'q3'!$G$23</f>
        <v>9801</v>
      </c>
      <c r="I39" s="499">
        <f>+'q3'!$H$23</f>
        <v>9611</v>
      </c>
      <c r="J39" s="499">
        <f>+'q3'!$I$23</f>
        <v>9718</v>
      </c>
      <c r="K39" s="499">
        <f>+'q3'!$J$23</f>
        <v>9674</v>
      </c>
      <c r="L39" s="499">
        <f>+'q3'!$K$23</f>
        <v>10081</v>
      </c>
      <c r="M39" s="499">
        <f>+'q3'!$L$23</f>
        <v>10267</v>
      </c>
      <c r="N39" s="499">
        <f t="shared" si="21"/>
        <v>1011</v>
      </c>
      <c r="AA39" s="499" t="s">
        <v>315</v>
      </c>
      <c r="AB39" s="499" t="s">
        <v>850</v>
      </c>
      <c r="CO39" s="504"/>
      <c r="CP39" s="504"/>
      <c r="CT39" s="504"/>
      <c r="CU39" s="504"/>
      <c r="CV39" s="504"/>
      <c r="CW39" s="504"/>
      <c r="CX39" s="504"/>
    </row>
    <row r="40" spans="1:102">
      <c r="B40" s="501" t="s">
        <v>14</v>
      </c>
      <c r="C40" s="499">
        <f>+'q3'!$B$5</f>
        <v>265860</v>
      </c>
      <c r="D40" s="499">
        <f>+'q3'!$C$5</f>
        <v>270181</v>
      </c>
      <c r="E40" s="499">
        <f>+'q3'!$D$5</f>
        <v>273060</v>
      </c>
      <c r="F40" s="499">
        <f>+'q3'!$E$5</f>
        <v>276332</v>
      </c>
      <c r="G40" s="499">
        <f>+'q3'!$F$5</f>
        <v>279191</v>
      </c>
      <c r="H40" s="499">
        <f>+'q3'!$G$5</f>
        <v>282236</v>
      </c>
      <c r="I40" s="499">
        <f>+'q3'!$H$5</f>
        <v>275751</v>
      </c>
      <c r="J40" s="499">
        <f>+'q3'!$I$5</f>
        <v>277641</v>
      </c>
      <c r="K40" s="499">
        <f>+'q3'!$J$5</f>
        <v>271806</v>
      </c>
      <c r="L40" s="499">
        <f>+'q3'!$K$5</f>
        <v>284860</v>
      </c>
      <c r="M40" s="499">
        <f>+'q3'!$L$5</f>
        <v>291252</v>
      </c>
      <c r="N40" s="499">
        <f t="shared" si="21"/>
        <v>25392</v>
      </c>
      <c r="AA40" s="499" t="s">
        <v>318</v>
      </c>
      <c r="AB40" s="525">
        <f>ROUND(AG26,1)</f>
        <v>8.9</v>
      </c>
      <c r="BX40" s="514"/>
      <c r="CC40" s="514"/>
      <c r="CH40" s="514"/>
      <c r="CM40" s="514"/>
      <c r="CO40" s="504"/>
      <c r="CR40" s="514"/>
      <c r="CT40" s="504"/>
    </row>
    <row r="41" spans="1:102">
      <c r="A41" s="501" t="s">
        <v>211</v>
      </c>
      <c r="C41" s="503">
        <f>+'q7'!$B$4</f>
        <v>2013</v>
      </c>
      <c r="D41" s="503">
        <f>+'q7'!$C$4</f>
        <v>2014</v>
      </c>
      <c r="E41" s="503">
        <f>+'q7'!$D$4</f>
        <v>2015</v>
      </c>
      <c r="F41" s="503">
        <f>+'q7'!$E$4</f>
        <v>2016</v>
      </c>
      <c r="G41" s="503">
        <f>+'q7'!$F$4</f>
        <v>2017</v>
      </c>
      <c r="H41" s="503">
        <f>+'q7'!$G$4</f>
        <v>2018</v>
      </c>
      <c r="I41" s="503">
        <f>+'q7'!$H$4</f>
        <v>2019</v>
      </c>
      <c r="J41" s="503">
        <f>+'q7'!$I$4</f>
        <v>2020</v>
      </c>
      <c r="K41" s="503">
        <f>+'q7'!$J$4</f>
        <v>2021</v>
      </c>
      <c r="L41" s="503">
        <f>+'q7'!$K$4</f>
        <v>2022</v>
      </c>
      <c r="M41" s="503">
        <f>+'q7'!$L$4</f>
        <v>2023</v>
      </c>
      <c r="N41" s="499">
        <f t="shared" si="21"/>
        <v>10</v>
      </c>
      <c r="AA41" s="499" t="s">
        <v>851</v>
      </c>
      <c r="AB41" s="499" t="s">
        <v>847</v>
      </c>
      <c r="CO41" s="504"/>
      <c r="CT41" s="504"/>
    </row>
    <row r="42" spans="1:102">
      <c r="B42" s="501" t="str">
        <f>+'q7'!$A$6</f>
        <v>Aveiro</v>
      </c>
      <c r="C42" s="499">
        <f>+'q7'!$B$6</f>
        <v>21892</v>
      </c>
      <c r="D42" s="499">
        <f>+'q7'!$C$6</f>
        <v>21970</v>
      </c>
      <c r="E42" s="499">
        <f>+'q7'!$D$6</f>
        <v>22127</v>
      </c>
      <c r="F42" s="499">
        <f>+'q7'!$E$6</f>
        <v>22400</v>
      </c>
      <c r="G42" s="499">
        <f>+'q7'!$F$6</f>
        <v>22594</v>
      </c>
      <c r="H42" s="499">
        <f>+'q7'!$G$6</f>
        <v>22863</v>
      </c>
      <c r="I42" s="499">
        <f>+'q7'!$H$6</f>
        <v>22490</v>
      </c>
      <c r="J42" s="499">
        <f>+'q7'!$I$6</f>
        <v>22462</v>
      </c>
      <c r="K42" s="499">
        <f>+'q7'!$J$6</f>
        <v>21931</v>
      </c>
      <c r="L42" s="499">
        <f>+'q7'!$K$6</f>
        <v>22628</v>
      </c>
      <c r="M42" s="499">
        <f>+'q7'!$L$6</f>
        <v>22840</v>
      </c>
      <c r="N42" s="499">
        <f t="shared" si="21"/>
        <v>948</v>
      </c>
      <c r="AA42" s="499" t="s">
        <v>310</v>
      </c>
      <c r="AB42" s="499" t="str">
        <f>+AI23</f>
        <v>, mais</v>
      </c>
      <c r="CO42" s="504"/>
      <c r="CT42" s="504"/>
    </row>
    <row r="43" spans="1:102">
      <c r="B43" s="501" t="str">
        <f>+'q7'!$A$7</f>
        <v>Beja</v>
      </c>
      <c r="C43" s="499">
        <f>+'q7'!$B$7</f>
        <v>4788</v>
      </c>
      <c r="D43" s="499">
        <f>+'q7'!$C$7</f>
        <v>4897</v>
      </c>
      <c r="E43" s="499">
        <f>+'q7'!$D$7</f>
        <v>4930</v>
      </c>
      <c r="F43" s="499">
        <f>+'q7'!$E$7</f>
        <v>5018</v>
      </c>
      <c r="G43" s="499">
        <f>+'q7'!$F$7</f>
        <v>5102</v>
      </c>
      <c r="H43" s="499">
        <f>+'q7'!$G$7</f>
        <v>5142</v>
      </c>
      <c r="I43" s="499">
        <f>+'q7'!$H$7</f>
        <v>5061</v>
      </c>
      <c r="J43" s="499">
        <f>+'q7'!$I$7</f>
        <v>5111</v>
      </c>
      <c r="K43" s="499">
        <f>+'q7'!$J$7</f>
        <v>5088</v>
      </c>
      <c r="L43" s="499">
        <f>+'q7'!$K$7</f>
        <v>5312</v>
      </c>
      <c r="M43" s="499">
        <f>+'q7'!$L$7</f>
        <v>5600</v>
      </c>
      <c r="N43" s="499">
        <f t="shared" si="21"/>
        <v>812</v>
      </c>
      <c r="AA43" s="499" t="s">
        <v>312</v>
      </c>
      <c r="AB43" s="522" t="str">
        <f>TEXT(AJ23,"##.###")</f>
        <v>6.292</v>
      </c>
      <c r="BX43" s="514"/>
      <c r="CC43" s="514"/>
      <c r="CH43" s="514"/>
      <c r="CM43" s="514"/>
      <c r="CO43" s="504"/>
      <c r="CR43" s="514"/>
      <c r="CT43" s="504"/>
    </row>
    <row r="44" spans="1:102">
      <c r="B44" s="501" t="str">
        <f>+'q7'!$A$8</f>
        <v>Braga</v>
      </c>
      <c r="C44" s="499">
        <f>+'q7'!$B$8</f>
        <v>28756</v>
      </c>
      <c r="D44" s="499">
        <f>+'q7'!$C$8</f>
        <v>29605</v>
      </c>
      <c r="E44" s="499">
        <f>+'q7'!$D$8</f>
        <v>29920</v>
      </c>
      <c r="F44" s="499">
        <f>+'q7'!$E$8</f>
        <v>30520</v>
      </c>
      <c r="G44" s="499">
        <f>+'q7'!$F$8</f>
        <v>30960</v>
      </c>
      <c r="H44" s="499">
        <f>+'q7'!$G$8</f>
        <v>31136</v>
      </c>
      <c r="I44" s="499">
        <f>+'q7'!$H$8</f>
        <v>30216</v>
      </c>
      <c r="J44" s="499">
        <f>+'q7'!$I$8</f>
        <v>30496</v>
      </c>
      <c r="K44" s="499">
        <f>+'q7'!$J$8</f>
        <v>29956</v>
      </c>
      <c r="L44" s="499">
        <f>+'q7'!$K$8</f>
        <v>31910</v>
      </c>
      <c r="M44" s="499">
        <f>+'q7'!$L$8</f>
        <v>32582</v>
      </c>
      <c r="N44" s="499">
        <f t="shared" si="21"/>
        <v>3826</v>
      </c>
      <c r="AC44" s="499" t="s">
        <v>442</v>
      </c>
      <c r="CO44" s="504"/>
      <c r="CT44" s="504"/>
    </row>
    <row r="45" spans="1:102">
      <c r="B45" s="501" t="str">
        <f>+'q7'!$A$9</f>
        <v>Bragança</v>
      </c>
      <c r="C45" s="499">
        <f>+'q7'!$B$9</f>
        <v>4169</v>
      </c>
      <c r="D45" s="499">
        <f>+'q7'!$C$9</f>
        <v>4203</v>
      </c>
      <c r="E45" s="499">
        <f>+'q7'!$D$9</f>
        <v>4211</v>
      </c>
      <c r="F45" s="499">
        <f>+'q7'!$E$9</f>
        <v>4240</v>
      </c>
      <c r="G45" s="499">
        <f>+'q7'!$F$9</f>
        <v>4267</v>
      </c>
      <c r="H45" s="499">
        <f>+'q7'!$G$9</f>
        <v>4280</v>
      </c>
      <c r="I45" s="499">
        <f>+'q7'!$H$9</f>
        <v>3997</v>
      </c>
      <c r="J45" s="499">
        <f>+'q7'!$I$9</f>
        <v>4025</v>
      </c>
      <c r="K45" s="499">
        <f>+'q7'!$J$9</f>
        <v>4148</v>
      </c>
      <c r="L45" s="499">
        <f>+'q7'!$K$9</f>
        <v>4210</v>
      </c>
      <c r="M45" s="499">
        <f>+'q7'!$L$9</f>
        <v>4314</v>
      </c>
      <c r="N45" s="499">
        <f t="shared" si="21"/>
        <v>145</v>
      </c>
      <c r="CO45" s="504"/>
      <c r="CT45" s="504"/>
    </row>
    <row r="46" spans="1:102">
      <c r="B46" s="501" t="str">
        <f>+'q7'!$A$10</f>
        <v>Castelo Branco</v>
      </c>
      <c r="C46" s="499">
        <f>+'q7'!$B$10</f>
        <v>5629</v>
      </c>
      <c r="D46" s="499">
        <f>+'q7'!$C$10</f>
        <v>5698</v>
      </c>
      <c r="E46" s="499">
        <f>+'q7'!$D$10</f>
        <v>5686</v>
      </c>
      <c r="F46" s="499">
        <f>+'q7'!$E$10</f>
        <v>5691</v>
      </c>
      <c r="G46" s="499">
        <f>+'q7'!$F$10</f>
        <v>5612</v>
      </c>
      <c r="H46" s="499">
        <f>+'q7'!$G$10</f>
        <v>5626</v>
      </c>
      <c r="I46" s="499">
        <f>+'q7'!$H$10</f>
        <v>5451</v>
      </c>
      <c r="J46" s="499">
        <f>+'q7'!$I$10</f>
        <v>5400</v>
      </c>
      <c r="K46" s="499">
        <f>+'q7'!$J$10</f>
        <v>5369</v>
      </c>
      <c r="L46" s="499">
        <f>+'q7'!$K$10</f>
        <v>5592</v>
      </c>
      <c r="M46" s="499">
        <f>+'q7'!$L$10</f>
        <v>5606</v>
      </c>
      <c r="N46" s="499">
        <f t="shared" si="21"/>
        <v>-23</v>
      </c>
      <c r="AE46" s="499" t="str">
        <f>+AA28&amp;AB28&amp;CHAR(10)&amp;AC28&amp;AB29&amp;AA30&amp;AB31&amp;AA32&amp;AB32&amp;AB33&amp;AA34&amp;AB34&amp;AC34&amp;AB35&amp;" "&amp;AB36&amp;AC37&amp;AB38&amp;AA39&amp;AB39&amp;AB40&amp;AA41&amp;AB41&amp;AB42&amp;" "&amp;AB43&amp;AC44</f>
        <v>2023:
O distrito de Lisboa era a sede de 65.753 empresas (variação de 11,2% face a 2013, ou seja, mais 6.644) e era a localização de 77.253 estabelecimentos (variação de 8,9% face a 2013, ou seja, mais 6.292).</v>
      </c>
      <c r="BX46" s="514"/>
      <c r="CC46" s="514"/>
      <c r="CH46" s="514"/>
      <c r="CM46" s="514"/>
      <c r="CO46" s="504"/>
      <c r="CR46" s="514"/>
      <c r="CT46" s="504"/>
    </row>
    <row r="47" spans="1:102">
      <c r="B47" s="501" t="str">
        <f>+'q7'!$A$11</f>
        <v>Coimbra</v>
      </c>
      <c r="C47" s="499">
        <f>+'q7'!$B$11</f>
        <v>12300</v>
      </c>
      <c r="D47" s="499">
        <f>+'q7'!$C$11</f>
        <v>12323</v>
      </c>
      <c r="E47" s="499">
        <f>+'q7'!$D$11</f>
        <v>12342</v>
      </c>
      <c r="F47" s="499">
        <f>+'q7'!$E$11</f>
        <v>12392</v>
      </c>
      <c r="G47" s="499">
        <f>+'q7'!$F$11</f>
        <v>12407</v>
      </c>
      <c r="H47" s="499">
        <f>+'q7'!$G$11</f>
        <v>12372</v>
      </c>
      <c r="I47" s="499">
        <f>+'q7'!$H$11</f>
        <v>11967</v>
      </c>
      <c r="J47" s="499">
        <f>+'q7'!$I$11</f>
        <v>12128</v>
      </c>
      <c r="K47" s="499">
        <f>+'q7'!$J$11</f>
        <v>11961</v>
      </c>
      <c r="L47" s="499">
        <f>+'q7'!$K$11</f>
        <v>12457</v>
      </c>
      <c r="M47" s="499">
        <f>+'q7'!$L$11</f>
        <v>12571</v>
      </c>
      <c r="N47" s="499">
        <f t="shared" si="21"/>
        <v>271</v>
      </c>
      <c r="CO47" s="504"/>
      <c r="CT47" s="504"/>
    </row>
    <row r="48" spans="1:102">
      <c r="B48" s="501" t="str">
        <f>+'q7'!$A$12</f>
        <v>Évora</v>
      </c>
      <c r="C48" s="499">
        <f>+'q7'!$B$12</f>
        <v>5978</v>
      </c>
      <c r="D48" s="499">
        <f>+'q7'!$C$12</f>
        <v>6131</v>
      </c>
      <c r="E48" s="499">
        <f>+'q7'!$D$12</f>
        <v>6132</v>
      </c>
      <c r="F48" s="499">
        <f>+'q7'!$E$12</f>
        <v>6087</v>
      </c>
      <c r="G48" s="499">
        <f>+'q7'!$F$12</f>
        <v>6073</v>
      </c>
      <c r="H48" s="499">
        <f>+'q7'!$G$12</f>
        <v>6029</v>
      </c>
      <c r="I48" s="499">
        <f>+'q7'!$H$12</f>
        <v>5879</v>
      </c>
      <c r="J48" s="499">
        <f>+'q7'!$I$12</f>
        <v>5902</v>
      </c>
      <c r="K48" s="499">
        <f>+'q7'!$J$12</f>
        <v>5608</v>
      </c>
      <c r="L48" s="499">
        <f>+'q7'!$K$12</f>
        <v>6051</v>
      </c>
      <c r="M48" s="499">
        <f>+'q7'!$L$12</f>
        <v>6137</v>
      </c>
      <c r="N48" s="499">
        <f t="shared" si="21"/>
        <v>159</v>
      </c>
      <c r="CO48" s="504"/>
      <c r="CT48" s="504"/>
    </row>
    <row r="49" spans="1:98">
      <c r="B49" s="501" t="str">
        <f>+'q7'!$A$13</f>
        <v>Faro</v>
      </c>
      <c r="C49" s="499">
        <f>+'q7'!$B$13</f>
        <v>18636</v>
      </c>
      <c r="D49" s="499">
        <f>+'q7'!$C$13</f>
        <v>19056</v>
      </c>
      <c r="E49" s="499">
        <f>+'q7'!$D$13</f>
        <v>19415</v>
      </c>
      <c r="F49" s="499">
        <f>+'q7'!$E$13</f>
        <v>19902</v>
      </c>
      <c r="G49" s="499">
        <f>+'q7'!$F$13</f>
        <v>20073</v>
      </c>
      <c r="H49" s="499">
        <f>+'q7'!$G$13</f>
        <v>20768</v>
      </c>
      <c r="I49" s="499">
        <f>+'q7'!$H$13</f>
        <v>20888</v>
      </c>
      <c r="J49" s="499">
        <f>+'q7'!$I$13</f>
        <v>20366</v>
      </c>
      <c r="K49" s="499">
        <f>+'q7'!$J$13</f>
        <v>19836</v>
      </c>
      <c r="L49" s="499">
        <f>+'q7'!$K$13</f>
        <v>20699</v>
      </c>
      <c r="M49" s="499">
        <f>+'q7'!$L$13</f>
        <v>22034</v>
      </c>
      <c r="N49" s="499">
        <f t="shared" si="21"/>
        <v>3398</v>
      </c>
      <c r="BX49" s="514"/>
      <c r="CC49" s="514"/>
      <c r="CH49" s="514"/>
      <c r="CM49" s="514"/>
      <c r="CO49" s="504"/>
      <c r="CR49" s="514"/>
      <c r="CT49" s="504"/>
    </row>
    <row r="50" spans="1:98">
      <c r="B50" s="501" t="str">
        <f>+'q7'!$A$14</f>
        <v>Guarda</v>
      </c>
      <c r="C50" s="499">
        <f>+'q7'!$B$14</f>
        <v>5026</v>
      </c>
      <c r="D50" s="499">
        <f>+'q7'!$C$14</f>
        <v>5076</v>
      </c>
      <c r="E50" s="499">
        <f>+'q7'!$D$14</f>
        <v>5042</v>
      </c>
      <c r="F50" s="499">
        <f>+'q7'!$E$14</f>
        <v>5051</v>
      </c>
      <c r="G50" s="499">
        <f>+'q7'!$F$14</f>
        <v>5078</v>
      </c>
      <c r="H50" s="499">
        <f>+'q7'!$G$14</f>
        <v>5030</v>
      </c>
      <c r="I50" s="499">
        <f>+'q7'!$H$14</f>
        <v>4836</v>
      </c>
      <c r="J50" s="499">
        <f>+'q7'!$I$14</f>
        <v>4831</v>
      </c>
      <c r="K50" s="499">
        <f>+'q7'!$J$14</f>
        <v>4694</v>
      </c>
      <c r="L50" s="499">
        <f>+'q7'!$K$14</f>
        <v>4760</v>
      </c>
      <c r="M50" s="499">
        <f>+'q7'!$L$14</f>
        <v>4814</v>
      </c>
      <c r="N50" s="499">
        <f t="shared" si="21"/>
        <v>-212</v>
      </c>
      <c r="CO50" s="504"/>
      <c r="CT50" s="504"/>
    </row>
    <row r="51" spans="1:98">
      <c r="B51" s="501" t="str">
        <f>+'q7'!$A$15</f>
        <v>Leiria</v>
      </c>
      <c r="C51" s="499">
        <f>+'q7'!$B$15</f>
        <v>17969</v>
      </c>
      <c r="D51" s="499">
        <f>+'q7'!$C$15</f>
        <v>17991</v>
      </c>
      <c r="E51" s="499">
        <f>+'q7'!$D$15</f>
        <v>18146</v>
      </c>
      <c r="F51" s="499">
        <f>+'q7'!$E$15</f>
        <v>18317</v>
      </c>
      <c r="G51" s="499">
        <f>+'q7'!$F$15</f>
        <v>18481</v>
      </c>
      <c r="H51" s="499">
        <f>+'q7'!$G$15</f>
        <v>18423</v>
      </c>
      <c r="I51" s="499">
        <f>+'q7'!$H$15</f>
        <v>18034</v>
      </c>
      <c r="J51" s="499">
        <f>+'q7'!$I$15</f>
        <v>18042</v>
      </c>
      <c r="K51" s="499">
        <f>+'q7'!$J$15</f>
        <v>17743</v>
      </c>
      <c r="L51" s="499">
        <f>+'q7'!$K$15</f>
        <v>18449</v>
      </c>
      <c r="M51" s="499">
        <f>+'q7'!$L$15</f>
        <v>18854</v>
      </c>
      <c r="N51" s="499">
        <f t="shared" si="21"/>
        <v>885</v>
      </c>
      <c r="CO51" s="504"/>
      <c r="CT51" s="504"/>
    </row>
    <row r="52" spans="1:98">
      <c r="B52" s="501" t="str">
        <f>+'q7'!$A$16</f>
        <v>Lisboa</v>
      </c>
      <c r="C52" s="499">
        <f>+'q7'!$B$16</f>
        <v>70961</v>
      </c>
      <c r="D52" s="499">
        <f>+'q7'!$C$16</f>
        <v>71690</v>
      </c>
      <c r="E52" s="499">
        <f>+'q7'!$D$16</f>
        <v>72246</v>
      </c>
      <c r="F52" s="499">
        <f>+'q7'!$E$16</f>
        <v>72756</v>
      </c>
      <c r="G52" s="499">
        <f>+'q7'!$F$16</f>
        <v>73389</v>
      </c>
      <c r="H52" s="499">
        <f>+'q7'!$G$16</f>
        <v>74689</v>
      </c>
      <c r="I52" s="499">
        <f>+'q7'!$H$16</f>
        <v>72677</v>
      </c>
      <c r="J52" s="499">
        <f>+'q7'!$I$16</f>
        <v>73809</v>
      </c>
      <c r="K52" s="499">
        <f>+'q7'!$J$16</f>
        <v>71616</v>
      </c>
      <c r="L52" s="499">
        <f>+'q7'!$K$16</f>
        <v>75266</v>
      </c>
      <c r="M52" s="499">
        <f>+'q7'!$L$16</f>
        <v>77253</v>
      </c>
      <c r="N52" s="499">
        <f t="shared" si="21"/>
        <v>6292</v>
      </c>
      <c r="BX52" s="514"/>
      <c r="CC52" s="514"/>
      <c r="CH52" s="514"/>
      <c r="CM52" s="514"/>
      <c r="CO52" s="504"/>
      <c r="CR52" s="514"/>
      <c r="CT52" s="504"/>
    </row>
    <row r="53" spans="1:98">
      <c r="B53" s="501" t="str">
        <f>+'q7'!$A$17</f>
        <v>Portalegre</v>
      </c>
      <c r="C53" s="499">
        <f>+'q7'!$B$17</f>
        <v>3471</v>
      </c>
      <c r="D53" s="499">
        <f>+'q7'!$C$17</f>
        <v>3518</v>
      </c>
      <c r="E53" s="499">
        <f>+'q7'!$D$17</f>
        <v>3504</v>
      </c>
      <c r="F53" s="499">
        <f>+'q7'!$E$17</f>
        <v>3523</v>
      </c>
      <c r="G53" s="499">
        <f>+'q7'!$F$17</f>
        <v>3473</v>
      </c>
      <c r="H53" s="499">
        <f>+'q7'!$G$17</f>
        <v>3444</v>
      </c>
      <c r="I53" s="499">
        <f>+'q7'!$H$17</f>
        <v>3298</v>
      </c>
      <c r="J53" s="499">
        <f>+'q7'!$I$17</f>
        <v>3302</v>
      </c>
      <c r="K53" s="499">
        <f>+'q7'!$J$17</f>
        <v>3192</v>
      </c>
      <c r="L53" s="499">
        <f>+'q7'!$K$17</f>
        <v>3433</v>
      </c>
      <c r="M53" s="499">
        <f>+'q7'!$L$17</f>
        <v>3430</v>
      </c>
      <c r="N53" s="499">
        <f t="shared" si="21"/>
        <v>-41</v>
      </c>
      <c r="CO53" s="504"/>
      <c r="CT53" s="504"/>
    </row>
    <row r="54" spans="1:98">
      <c r="B54" s="501" t="str">
        <f>+'q7'!$A$18</f>
        <v>Porto</v>
      </c>
      <c r="C54" s="499">
        <f>+'q7'!$B$18</f>
        <v>57670</v>
      </c>
      <c r="D54" s="499">
        <f>+'q7'!$C$18</f>
        <v>58698</v>
      </c>
      <c r="E54" s="499">
        <f>+'q7'!$D$18</f>
        <v>59308</v>
      </c>
      <c r="F54" s="499">
        <f>+'q7'!$E$18</f>
        <v>60064</v>
      </c>
      <c r="G54" s="499">
        <f>+'q7'!$F$18</f>
        <v>60629</v>
      </c>
      <c r="H54" s="499">
        <f>+'q7'!$G$18</f>
        <v>61580</v>
      </c>
      <c r="I54" s="499">
        <f>+'q7'!$H$18</f>
        <v>60330</v>
      </c>
      <c r="J54" s="499">
        <f>+'q7'!$I$18</f>
        <v>60643</v>
      </c>
      <c r="K54" s="499">
        <f>+'q7'!$J$18</f>
        <v>59433</v>
      </c>
      <c r="L54" s="499">
        <f>+'q7'!$K$18</f>
        <v>61907</v>
      </c>
      <c r="M54" s="499">
        <f>+'q7'!$L$18</f>
        <v>63252</v>
      </c>
      <c r="N54" s="499">
        <f t="shared" si="21"/>
        <v>5582</v>
      </c>
      <c r="BS54" s="501"/>
      <c r="BX54" s="501"/>
      <c r="CC54" s="501"/>
      <c r="CH54" s="501"/>
      <c r="CM54" s="501"/>
      <c r="CO54" s="504"/>
      <c r="CR54" s="501"/>
      <c r="CT54" s="504"/>
    </row>
    <row r="55" spans="1:98">
      <c r="B55" s="501" t="str">
        <f>+'q7'!$A$19</f>
        <v>Santarém</v>
      </c>
      <c r="C55" s="499">
        <f>+'q7'!$B$19</f>
        <v>14366</v>
      </c>
      <c r="D55" s="499">
        <f>+'q7'!$C$19</f>
        <v>14316</v>
      </c>
      <c r="E55" s="499">
        <f>+'q7'!$D$19</f>
        <v>14410</v>
      </c>
      <c r="F55" s="499">
        <f>+'q7'!$E$19</f>
        <v>14376</v>
      </c>
      <c r="G55" s="499">
        <f>+'q7'!$F$19</f>
        <v>14353</v>
      </c>
      <c r="H55" s="499">
        <f>+'q7'!$G$19</f>
        <v>14254</v>
      </c>
      <c r="I55" s="499">
        <f>+'q7'!$H$19</f>
        <v>13858</v>
      </c>
      <c r="J55" s="499">
        <f>+'q7'!$I$19</f>
        <v>13738</v>
      </c>
      <c r="K55" s="499">
        <f>+'q7'!$J$19</f>
        <v>13511</v>
      </c>
      <c r="L55" s="499">
        <f>+'q7'!$K$19</f>
        <v>13899</v>
      </c>
      <c r="M55" s="499">
        <f>+'q7'!$L$19</f>
        <v>14124</v>
      </c>
      <c r="N55" s="499">
        <f t="shared" si="21"/>
        <v>-242</v>
      </c>
      <c r="BX55" s="514"/>
      <c r="CC55" s="514"/>
      <c r="CH55" s="514"/>
      <c r="CM55" s="514"/>
      <c r="CO55" s="504"/>
      <c r="CR55" s="514"/>
      <c r="CT55" s="504"/>
    </row>
    <row r="56" spans="1:98">
      <c r="B56" s="501" t="str">
        <f>+'q7'!$A$20</f>
        <v>Setúbal</v>
      </c>
      <c r="C56" s="499">
        <f>+'q7'!$B$20</f>
        <v>18705</v>
      </c>
      <c r="D56" s="499">
        <f>+'q7'!$C$20</f>
        <v>18689</v>
      </c>
      <c r="E56" s="499">
        <f>+'q7'!$D$20</f>
        <v>18787</v>
      </c>
      <c r="F56" s="499">
        <f>+'q7'!$E$20</f>
        <v>18918</v>
      </c>
      <c r="G56" s="499">
        <f>+'q7'!$F$20</f>
        <v>19094</v>
      </c>
      <c r="H56" s="499">
        <f>+'q7'!$G$20</f>
        <v>19213</v>
      </c>
      <c r="I56" s="499">
        <f>+'q7'!$H$20</f>
        <v>18872</v>
      </c>
      <c r="J56" s="499">
        <f>+'q7'!$I$20</f>
        <v>19347</v>
      </c>
      <c r="K56" s="499">
        <f>+'q7'!$J$20</f>
        <v>19056</v>
      </c>
      <c r="L56" s="499">
        <f>+'q7'!$K$20</f>
        <v>20105</v>
      </c>
      <c r="M56" s="499">
        <f>+'q7'!$L$20</f>
        <v>20429</v>
      </c>
      <c r="N56" s="499">
        <f t="shared" si="21"/>
        <v>1724</v>
      </c>
      <c r="CO56" s="504"/>
      <c r="CT56" s="504"/>
    </row>
    <row r="57" spans="1:98">
      <c r="B57" s="501" t="str">
        <f>+'q7'!$A$21</f>
        <v>Viana do Castelo</v>
      </c>
      <c r="C57" s="499">
        <f>+'q7'!$B$21</f>
        <v>8133</v>
      </c>
      <c r="D57" s="499">
        <f>+'q7'!$C$21</f>
        <v>8188</v>
      </c>
      <c r="E57" s="499">
        <f>+'q7'!$D$21</f>
        <v>8233</v>
      </c>
      <c r="F57" s="499">
        <f>+'q7'!$E$21</f>
        <v>8364</v>
      </c>
      <c r="G57" s="499">
        <f>+'q7'!$F$21</f>
        <v>8315</v>
      </c>
      <c r="H57" s="499">
        <f>+'q7'!$G$21</f>
        <v>8400</v>
      </c>
      <c r="I57" s="499">
        <f>+'q7'!$H$21</f>
        <v>8045</v>
      </c>
      <c r="J57" s="499">
        <f>+'q7'!$I$21</f>
        <v>8065</v>
      </c>
      <c r="K57" s="499">
        <f>+'q7'!$J$21</f>
        <v>7974</v>
      </c>
      <c r="L57" s="499">
        <f>+'q7'!$K$21</f>
        <v>8261</v>
      </c>
      <c r="M57" s="499">
        <f>+'q7'!$L$21</f>
        <v>8480</v>
      </c>
      <c r="N57" s="499">
        <f t="shared" si="21"/>
        <v>347</v>
      </c>
      <c r="CO57" s="504"/>
      <c r="CT57" s="504"/>
    </row>
    <row r="58" spans="1:98">
      <c r="B58" s="501" t="str">
        <f>+'q7'!$A$22</f>
        <v>Vila Real</v>
      </c>
      <c r="C58" s="499">
        <f>+'q7'!$B$22</f>
        <v>5849</v>
      </c>
      <c r="D58" s="499">
        <f>+'q7'!$C$22</f>
        <v>5912</v>
      </c>
      <c r="E58" s="499">
        <f>+'q7'!$D$22</f>
        <v>5937</v>
      </c>
      <c r="F58" s="499">
        <f>+'q7'!$E$22</f>
        <v>6002</v>
      </c>
      <c r="G58" s="499">
        <f>+'q7'!$F$22</f>
        <v>6020</v>
      </c>
      <c r="H58" s="499">
        <f>+'q7'!$G$22</f>
        <v>6022</v>
      </c>
      <c r="I58" s="499">
        <f>+'q7'!$H$22</f>
        <v>5921</v>
      </c>
      <c r="J58" s="499">
        <f>+'q7'!$I$22</f>
        <v>5994</v>
      </c>
      <c r="K58" s="499">
        <f>+'q7'!$J$22</f>
        <v>5922</v>
      </c>
      <c r="L58" s="499">
        <f>+'q7'!$K$22</f>
        <v>6063</v>
      </c>
      <c r="M58" s="499">
        <f>+'q7'!$L$22</f>
        <v>6133</v>
      </c>
      <c r="N58" s="499">
        <f t="shared" si="21"/>
        <v>284</v>
      </c>
      <c r="BX58" s="514"/>
      <c r="CC58" s="514"/>
      <c r="CH58" s="514"/>
      <c r="CM58" s="514"/>
      <c r="CO58" s="504"/>
      <c r="CR58" s="514"/>
      <c r="CT58" s="504"/>
    </row>
    <row r="59" spans="1:98">
      <c r="B59" s="501" t="str">
        <f>+'q7'!$A$23</f>
        <v>Viseu</v>
      </c>
      <c r="C59" s="499">
        <f>+'q7'!$B$23</f>
        <v>10814</v>
      </c>
      <c r="D59" s="499">
        <f>+'q7'!$C$23</f>
        <v>10925</v>
      </c>
      <c r="E59" s="499">
        <f>+'q7'!$D$23</f>
        <v>11124</v>
      </c>
      <c r="F59" s="499">
        <f>+'q7'!$E$23</f>
        <v>11312</v>
      </c>
      <c r="G59" s="499">
        <f>+'q7'!$F$23</f>
        <v>11375</v>
      </c>
      <c r="H59" s="499">
        <f>+'q7'!$G$23</f>
        <v>11397</v>
      </c>
      <c r="I59" s="499">
        <f>+'q7'!$H$23</f>
        <v>11158</v>
      </c>
      <c r="J59" s="499">
        <f>+'q7'!$I$23</f>
        <v>11298</v>
      </c>
      <c r="K59" s="499">
        <f>+'q7'!$J$23</f>
        <v>11216</v>
      </c>
      <c r="L59" s="499">
        <f>+'q7'!$K$23</f>
        <v>11681</v>
      </c>
      <c r="M59" s="499">
        <f>+'q7'!$L$23</f>
        <v>11911</v>
      </c>
      <c r="N59" s="499">
        <f t="shared" si="21"/>
        <v>1097</v>
      </c>
      <c r="CO59" s="504"/>
      <c r="CT59" s="504"/>
    </row>
    <row r="60" spans="1:98">
      <c r="B60" s="501" t="s">
        <v>14</v>
      </c>
      <c r="C60" s="499">
        <f>+'q7'!$B$5</f>
        <v>315112</v>
      </c>
      <c r="D60" s="499">
        <f>+'q7'!$C$5</f>
        <v>318886</v>
      </c>
      <c r="E60" s="499">
        <f>+'q7'!$D$5</f>
        <v>321500</v>
      </c>
      <c r="F60" s="499">
        <f>+'q7'!$E$5</f>
        <v>324933</v>
      </c>
      <c r="G60" s="499">
        <f>+'q7'!$F$5</f>
        <v>327295</v>
      </c>
      <c r="H60" s="499">
        <f>+'q7'!$G$5</f>
        <v>330668</v>
      </c>
      <c r="I60" s="499">
        <f>+'q7'!$H$5</f>
        <v>322978</v>
      </c>
      <c r="J60" s="499">
        <f>+'q7'!$I$5</f>
        <v>324959</v>
      </c>
      <c r="K60" s="499">
        <f>+'q7'!$J$5</f>
        <v>318254</v>
      </c>
      <c r="L60" s="499">
        <f>+'q7'!$K$5</f>
        <v>332683</v>
      </c>
      <c r="M60" s="499">
        <f>+'q7'!$L$5</f>
        <v>340364</v>
      </c>
      <c r="N60" s="499">
        <f t="shared" si="21"/>
        <v>25252</v>
      </c>
      <c r="S60" s="499" t="str">
        <f>INDEX($A$2:$A$19,$Q$2)</f>
        <v>Lisboa</v>
      </c>
      <c r="CO60" s="504"/>
      <c r="CT60" s="504"/>
    </row>
    <row r="61" spans="1:98" ht="13.5" thickBot="1">
      <c r="A61" s="501" t="s">
        <v>212</v>
      </c>
      <c r="C61" s="503">
        <f>+'q11'!$B$4</f>
        <v>2013</v>
      </c>
      <c r="D61" s="503">
        <f>+'q11'!$C$4</f>
        <v>2014</v>
      </c>
      <c r="E61" s="503">
        <f>+'q11'!$D$4</f>
        <v>2015</v>
      </c>
      <c r="F61" s="503">
        <f>+'q11'!$E$4</f>
        <v>2016</v>
      </c>
      <c r="G61" s="503">
        <f>+'q11'!$F$4</f>
        <v>2017</v>
      </c>
      <c r="H61" s="503">
        <f>+'q11'!$G$4</f>
        <v>2018</v>
      </c>
      <c r="I61" s="503">
        <f>+'q11'!$H$4</f>
        <v>2019</v>
      </c>
      <c r="J61" s="503">
        <f>+'q11'!$I$4</f>
        <v>2020</v>
      </c>
      <c r="K61" s="503">
        <f>+'q11'!$J$4</f>
        <v>2021</v>
      </c>
      <c r="L61" s="503">
        <f>+'q11'!$K$4</f>
        <v>2022</v>
      </c>
      <c r="M61" s="503">
        <f>+'q11'!$L$4</f>
        <v>2023</v>
      </c>
      <c r="N61" s="499">
        <f t="shared" si="21"/>
        <v>10</v>
      </c>
      <c r="T61" s="6">
        <f>+'q11'!B$4</f>
        <v>2013</v>
      </c>
      <c r="U61" s="6">
        <f>+'q11'!C$4</f>
        <v>2014</v>
      </c>
      <c r="V61" s="6">
        <f>+'q11'!D$4</f>
        <v>2015</v>
      </c>
      <c r="W61" s="6">
        <f>+'q11'!E$4</f>
        <v>2016</v>
      </c>
      <c r="X61" s="6">
        <f>+'q11'!F$4</f>
        <v>2017</v>
      </c>
      <c r="Y61" s="6">
        <f>+'q11'!G$4</f>
        <v>2018</v>
      </c>
      <c r="Z61" s="6">
        <f>+'q11'!H$4</f>
        <v>2019</v>
      </c>
      <c r="AA61" s="6">
        <f>+'q11'!I$4</f>
        <v>2020</v>
      </c>
      <c r="AB61" s="6">
        <f>+'q11'!J$4</f>
        <v>2021</v>
      </c>
      <c r="AC61" s="6">
        <f>+'q11'!K$4</f>
        <v>2022</v>
      </c>
      <c r="AD61" s="6">
        <f>+'q11'!L$4</f>
        <v>2023</v>
      </c>
      <c r="AF61" s="464" t="s">
        <v>848</v>
      </c>
      <c r="AG61" s="464" t="s">
        <v>849</v>
      </c>
      <c r="BX61" s="514"/>
      <c r="CC61" s="514"/>
      <c r="CH61" s="514"/>
      <c r="CM61" s="514"/>
      <c r="CO61" s="504"/>
      <c r="CR61" s="514"/>
      <c r="CT61" s="504"/>
    </row>
    <row r="62" spans="1:98" ht="13.5" thickTop="1">
      <c r="B62" s="501" t="str">
        <f>+'q11'!$A$6</f>
        <v>Aveiro</v>
      </c>
      <c r="C62" s="499">
        <f>+'q11'!$B$6</f>
        <v>197532</v>
      </c>
      <c r="D62" s="499">
        <f>+'q11'!$C$6</f>
        <v>203446</v>
      </c>
      <c r="E62" s="499">
        <f>+'q11'!$D$6</f>
        <v>208145</v>
      </c>
      <c r="F62" s="499">
        <f>+'q11'!$E$6</f>
        <v>216490</v>
      </c>
      <c r="G62" s="499">
        <f>+'q11'!$F$6</f>
        <v>226181</v>
      </c>
      <c r="H62" s="499">
        <f>+'q11'!$G$6</f>
        <v>234445</v>
      </c>
      <c r="I62" s="499">
        <f>+'q11'!$H$6</f>
        <v>236315</v>
      </c>
      <c r="J62" s="499">
        <f>+'q11'!$I$6</f>
        <v>234063</v>
      </c>
      <c r="K62" s="499">
        <f>+'q11'!$J$6</f>
        <v>234211</v>
      </c>
      <c r="L62" s="499">
        <f>+'q11'!$K$6</f>
        <v>250317</v>
      </c>
      <c r="M62" s="499">
        <f>+'q11'!$L$6</f>
        <v>255866</v>
      </c>
      <c r="N62" s="499">
        <f t="shared" si="21"/>
        <v>58334</v>
      </c>
      <c r="S62" s="468" t="s">
        <v>212</v>
      </c>
      <c r="T62" s="469">
        <f t="shared" ref="T62:AD62" si="23">VLOOKUP($S$60,$B$61:$M$79,COLUMN(C62)-1,0)</f>
        <v>739291</v>
      </c>
      <c r="U62" s="469">
        <f t="shared" si="23"/>
        <v>764524</v>
      </c>
      <c r="V62" s="469">
        <f t="shared" si="23"/>
        <v>780947</v>
      </c>
      <c r="W62" s="469">
        <f t="shared" si="23"/>
        <v>817508</v>
      </c>
      <c r="X62" s="469">
        <f t="shared" si="23"/>
        <v>847011</v>
      </c>
      <c r="Y62" s="469">
        <f t="shared" si="23"/>
        <v>886123</v>
      </c>
      <c r="Z62" s="469">
        <f t="shared" si="23"/>
        <v>905022</v>
      </c>
      <c r="AA62" s="469">
        <f t="shared" si="23"/>
        <v>895425</v>
      </c>
      <c r="AB62" s="469">
        <f t="shared" si="23"/>
        <v>900307</v>
      </c>
      <c r="AC62" s="469">
        <f t="shared" si="23"/>
        <v>981424</v>
      </c>
      <c r="AD62" s="469">
        <f t="shared" si="23"/>
        <v>1039751</v>
      </c>
      <c r="AE62" s="511" t="str">
        <f>TEXT(AD62,"##.###")</f>
        <v>1.039.751</v>
      </c>
      <c r="AF62" s="470">
        <f>+(AD62/AC62-1)</f>
        <v>5.9430990071569489E-2</v>
      </c>
      <c r="AG62" s="470">
        <f>+(AD62/T62-1)</f>
        <v>0.40641641789227778</v>
      </c>
      <c r="AH62" s="522">
        <f>+AD62-T62</f>
        <v>300460</v>
      </c>
      <c r="AI62" s="499" t="str">
        <f>IF(AH62&gt;0,", mais",", menos")</f>
        <v>, mais</v>
      </c>
      <c r="AJ62" s="499">
        <f>IF(AH62&gt;0,AH62,AH62*-1)</f>
        <v>300460</v>
      </c>
      <c r="CO62" s="504"/>
      <c r="CT62" s="504"/>
    </row>
    <row r="63" spans="1:98">
      <c r="B63" s="501" t="str">
        <f>+'q11'!$A$7</f>
        <v>Beja</v>
      </c>
      <c r="C63" s="499">
        <f>+'q11'!$B$7</f>
        <v>29270</v>
      </c>
      <c r="D63" s="499">
        <f>+'q11'!$C$7</f>
        <v>30159</v>
      </c>
      <c r="E63" s="499">
        <f>+'q11'!$D$7</f>
        <v>32039</v>
      </c>
      <c r="F63" s="499">
        <f>+'q11'!$E$7</f>
        <v>33160</v>
      </c>
      <c r="G63" s="499">
        <f>+'q11'!$F$7</f>
        <v>35441</v>
      </c>
      <c r="H63" s="499">
        <f>+'q11'!$G$7</f>
        <v>36806</v>
      </c>
      <c r="I63" s="499">
        <f>+'q11'!$H$7</f>
        <v>38732</v>
      </c>
      <c r="J63" s="499">
        <f>+'q11'!$I$7</f>
        <v>41050</v>
      </c>
      <c r="K63" s="499">
        <f>+'q11'!$J$7</f>
        <v>41359</v>
      </c>
      <c r="L63" s="499">
        <f>+'q11'!$K$7</f>
        <v>45331</v>
      </c>
      <c r="M63" s="499">
        <f>+'q11'!$L$7</f>
        <v>47376</v>
      </c>
      <c r="N63" s="499">
        <f t="shared" si="21"/>
        <v>18106</v>
      </c>
      <c r="S63" s="468" t="s">
        <v>185</v>
      </c>
      <c r="T63" s="467">
        <f t="shared" ref="T63:AD63" si="24">VLOOKUP($S$60,$B$81:$M$99,COLUMN(C82)-1,0)</f>
        <v>699433</v>
      </c>
      <c r="U63" s="467">
        <f t="shared" si="24"/>
        <v>722854</v>
      </c>
      <c r="V63" s="467">
        <f t="shared" si="24"/>
        <v>739126</v>
      </c>
      <c r="W63" s="467">
        <f t="shared" si="24"/>
        <v>776535</v>
      </c>
      <c r="X63" s="467">
        <f t="shared" si="24"/>
        <v>805619</v>
      </c>
      <c r="Y63" s="467">
        <f t="shared" si="24"/>
        <v>843599</v>
      </c>
      <c r="Z63" s="467">
        <f t="shared" si="24"/>
        <v>863493</v>
      </c>
      <c r="AA63" s="467">
        <f t="shared" si="24"/>
        <v>853268</v>
      </c>
      <c r="AB63" s="467">
        <f t="shared" si="24"/>
        <v>859051</v>
      </c>
      <c r="AC63" s="467">
        <f t="shared" si="24"/>
        <v>937531</v>
      </c>
      <c r="AD63" s="467">
        <f t="shared" si="24"/>
        <v>994831</v>
      </c>
      <c r="AE63" s="511" t="str">
        <f>TEXT(AD63,"##.###")</f>
        <v>994.831</v>
      </c>
      <c r="AF63" s="470">
        <f>+(AD63/AC63-1)</f>
        <v>6.1117979032160097E-2</v>
      </c>
      <c r="AG63" s="470">
        <f>+(AD63/T63-1)</f>
        <v>0.42233923763963088</v>
      </c>
      <c r="AH63" s="522">
        <f>+AD63-T63</f>
        <v>295398</v>
      </c>
      <c r="AI63" s="499" t="str">
        <f>IF(AH63&gt;0,", mais",", menos")</f>
        <v>, mais</v>
      </c>
      <c r="AJ63" s="499">
        <f>IF(AH63&gt;0,AH63,AH63*-1)</f>
        <v>295398</v>
      </c>
      <c r="CO63" s="504"/>
      <c r="CT63" s="504"/>
    </row>
    <row r="64" spans="1:98">
      <c r="B64" s="501" t="str">
        <f>+'q11'!$A$8</f>
        <v>Braga</v>
      </c>
      <c r="C64" s="499">
        <f>+'q11'!$B$8</f>
        <v>230411</v>
      </c>
      <c r="D64" s="499">
        <f>+'q11'!$C$8</f>
        <v>240842</v>
      </c>
      <c r="E64" s="499">
        <f>+'q11'!$D$8</f>
        <v>249721</v>
      </c>
      <c r="F64" s="499">
        <f>+'q11'!$E$8</f>
        <v>261360</v>
      </c>
      <c r="G64" s="499">
        <f>+'q11'!$F$8</f>
        <v>273109</v>
      </c>
      <c r="H64" s="499">
        <f>+'q11'!$G$8</f>
        <v>282974</v>
      </c>
      <c r="I64" s="499">
        <f>+'q11'!$H$8</f>
        <v>279950</v>
      </c>
      <c r="J64" s="499">
        <f>+'q11'!$I$8</f>
        <v>281810</v>
      </c>
      <c r="K64" s="499">
        <f>+'q11'!$J$8</f>
        <v>284569</v>
      </c>
      <c r="L64" s="499">
        <f>+'q11'!$K$8</f>
        <v>304660</v>
      </c>
      <c r="M64" s="499">
        <f>+'q11'!$L$8</f>
        <v>312788</v>
      </c>
      <c r="N64" s="499">
        <f t="shared" si="21"/>
        <v>82377</v>
      </c>
      <c r="BX64" s="514"/>
      <c r="CC64" s="514"/>
      <c r="CH64" s="514"/>
      <c r="CM64" s="514"/>
      <c r="CO64" s="504"/>
      <c r="CR64" s="514"/>
      <c r="CT64" s="504"/>
    </row>
    <row r="65" spans="2:98">
      <c r="B65" s="501" t="str">
        <f>+'q11'!$A$9</f>
        <v>Bragança</v>
      </c>
      <c r="C65" s="499">
        <f>+'q11'!$B$9</f>
        <v>19709</v>
      </c>
      <c r="D65" s="499">
        <f>+'q11'!$C$9</f>
        <v>19925</v>
      </c>
      <c r="E65" s="499">
        <f>+'q11'!$D$9</f>
        <v>20381</v>
      </c>
      <c r="F65" s="499">
        <f>+'q11'!$E$9</f>
        <v>20798</v>
      </c>
      <c r="G65" s="499">
        <f>+'q11'!$F$9</f>
        <v>21150</v>
      </c>
      <c r="H65" s="499">
        <f>+'q11'!$G$9</f>
        <v>21768</v>
      </c>
      <c r="I65" s="499">
        <f>+'q11'!$H$9</f>
        <v>21436</v>
      </c>
      <c r="J65" s="499">
        <f>+'q11'!$I$9</f>
        <v>22299</v>
      </c>
      <c r="K65" s="499">
        <f>+'q11'!$J$9</f>
        <v>22605</v>
      </c>
      <c r="L65" s="499">
        <f>+'q11'!$K$9</f>
        <v>23249</v>
      </c>
      <c r="M65" s="499">
        <f>+'q11'!$L$9</f>
        <v>24160</v>
      </c>
      <c r="N65" s="499">
        <f t="shared" si="21"/>
        <v>4451</v>
      </c>
      <c r="AG65" s="525">
        <f>+(AD62/T62-1)*100</f>
        <v>40.641641789227776</v>
      </c>
      <c r="CO65" s="504"/>
      <c r="CT65" s="504"/>
    </row>
    <row r="66" spans="2:98">
      <c r="B66" s="501" t="str">
        <f>+'q11'!$A$10</f>
        <v>Castelo Branco</v>
      </c>
      <c r="C66" s="499">
        <f>+'q11'!$B$10</f>
        <v>37109</v>
      </c>
      <c r="D66" s="499">
        <f>+'q11'!$C$10</f>
        <v>38714</v>
      </c>
      <c r="E66" s="499">
        <f>+'q11'!$D$10</f>
        <v>38487</v>
      </c>
      <c r="F66" s="499">
        <f>+'q11'!$E$10</f>
        <v>38942</v>
      </c>
      <c r="G66" s="499">
        <f>+'q11'!$F$10</f>
        <v>39544</v>
      </c>
      <c r="H66" s="499">
        <f>+'q11'!$G$10</f>
        <v>41834</v>
      </c>
      <c r="I66" s="499">
        <f>+'q11'!$H$10</f>
        <v>40763</v>
      </c>
      <c r="J66" s="499">
        <f>+'q11'!$I$10</f>
        <v>40114</v>
      </c>
      <c r="K66" s="499">
        <f>+'q11'!$J$10</f>
        <v>40323</v>
      </c>
      <c r="L66" s="499">
        <f>+'q11'!$K$10</f>
        <v>42765</v>
      </c>
      <c r="M66" s="499">
        <f>+'q11'!$L$10</f>
        <v>45470</v>
      </c>
      <c r="N66" s="499">
        <f t="shared" si="21"/>
        <v>8361</v>
      </c>
      <c r="AA66" s="521" t="s">
        <v>313</v>
      </c>
      <c r="AG66" s="525">
        <f>+(AD63/T63-1)*100</f>
        <v>42.233923763963091</v>
      </c>
      <c r="CO66" s="504"/>
      <c r="CT66" s="504"/>
    </row>
    <row r="67" spans="2:98">
      <c r="B67" s="501" t="str">
        <f>+'q11'!$A$11</f>
        <v>Coimbra</v>
      </c>
      <c r="C67" s="499">
        <f>+'q11'!$B$11</f>
        <v>92473</v>
      </c>
      <c r="D67" s="499">
        <f>+'q11'!$C$11</f>
        <v>91625</v>
      </c>
      <c r="E67" s="499">
        <f>+'q11'!$D$11</f>
        <v>94165</v>
      </c>
      <c r="F67" s="499">
        <f>+'q11'!$E$11</f>
        <v>95440</v>
      </c>
      <c r="G67" s="499">
        <f>+'q11'!$F$11</f>
        <v>99946</v>
      </c>
      <c r="H67" s="499">
        <f>+'q11'!$G$11</f>
        <v>100811</v>
      </c>
      <c r="I67" s="499">
        <f>+'q11'!$H$11</f>
        <v>101713</v>
      </c>
      <c r="J67" s="499">
        <f>+'q11'!$I$11</f>
        <v>102994</v>
      </c>
      <c r="K67" s="499">
        <f>+'q11'!$J$11</f>
        <v>102989</v>
      </c>
      <c r="L67" s="499">
        <f>+'q11'!$K$11</f>
        <v>109304</v>
      </c>
      <c r="M67" s="499">
        <f>+'q11'!$L$11</f>
        <v>112151</v>
      </c>
      <c r="N67" s="499">
        <f t="shared" si="21"/>
        <v>19678</v>
      </c>
      <c r="BX67" s="514"/>
      <c r="CC67" s="514"/>
      <c r="CH67" s="514"/>
      <c r="CM67" s="514"/>
      <c r="CO67" s="504"/>
      <c r="CR67" s="514"/>
      <c r="CT67" s="504"/>
    </row>
    <row r="68" spans="2:98">
      <c r="B68" s="501" t="str">
        <f>+'q11'!$A$12</f>
        <v>Évora</v>
      </c>
      <c r="C68" s="499">
        <f>+'q11'!$B$12</f>
        <v>34466</v>
      </c>
      <c r="D68" s="499">
        <f>+'q11'!$C$12</f>
        <v>35478</v>
      </c>
      <c r="E68" s="499">
        <f>+'q11'!$D$12</f>
        <v>36817</v>
      </c>
      <c r="F68" s="499">
        <f>+'q11'!$E$12</f>
        <v>38198</v>
      </c>
      <c r="G68" s="499">
        <f>+'q11'!$F$12</f>
        <v>39029</v>
      </c>
      <c r="H68" s="499">
        <f>+'q11'!$G$12</f>
        <v>40741</v>
      </c>
      <c r="I68" s="499">
        <f>+'q11'!$H$12</f>
        <v>40944</v>
      </c>
      <c r="J68" s="499">
        <f>+'q11'!$I$12</f>
        <v>40465</v>
      </c>
      <c r="K68" s="499">
        <f>+'q11'!$J$12</f>
        <v>40725</v>
      </c>
      <c r="L68" s="499">
        <f>+'q11'!$K$12</f>
        <v>43523</v>
      </c>
      <c r="M68" s="499">
        <f>+'q11'!$L$12</f>
        <v>45228</v>
      </c>
      <c r="N68" s="499">
        <f t="shared" si="21"/>
        <v>10762</v>
      </c>
      <c r="AA68" s="582">
        <f>+AD61</f>
        <v>2023</v>
      </c>
      <c r="AB68" s="499" t="s">
        <v>443</v>
      </c>
      <c r="AC68" s="499" t="s">
        <v>451</v>
      </c>
      <c r="CO68" s="504"/>
      <c r="CT68" s="504"/>
    </row>
    <row r="69" spans="2:98" ht="12.95" customHeight="1">
      <c r="B69" s="501" t="str">
        <f>+'q11'!$A$13</f>
        <v>Faro</v>
      </c>
      <c r="C69" s="499">
        <f>+'q11'!$B$13</f>
        <v>114172</v>
      </c>
      <c r="D69" s="499">
        <f>+'q11'!$C$13</f>
        <v>119459</v>
      </c>
      <c r="E69" s="499">
        <f>+'q11'!$D$13</f>
        <v>126980</v>
      </c>
      <c r="F69" s="499">
        <f>+'q11'!$E$13</f>
        <v>135848</v>
      </c>
      <c r="G69" s="499">
        <f>+'q11'!$F$13</f>
        <v>145770</v>
      </c>
      <c r="H69" s="499">
        <f>+'q11'!$G$13</f>
        <v>154417</v>
      </c>
      <c r="I69" s="499">
        <f>+'q11'!$H$13</f>
        <v>160288</v>
      </c>
      <c r="J69" s="499">
        <f>+'q11'!$I$13</f>
        <v>144668</v>
      </c>
      <c r="K69" s="499">
        <f>+'q11'!$J$13</f>
        <v>148406</v>
      </c>
      <c r="L69" s="499">
        <f>+'q11'!$K$13</f>
        <v>165503</v>
      </c>
      <c r="M69" s="499">
        <f>+'q11'!$L$13</f>
        <v>178434</v>
      </c>
      <c r="N69" s="499">
        <f t="shared" si="21"/>
        <v>64262</v>
      </c>
      <c r="AA69" s="499" t="s">
        <v>321</v>
      </c>
      <c r="AB69" s="499" t="str">
        <f>+S60</f>
        <v>Lisboa</v>
      </c>
      <c r="AE69" s="772" t="str">
        <f>CONCATENATE(AA68,AB68,CHAR(10),AC68,AB69,AA70,AB71,AA72,AB72,AB73,AA74,AB75," ",AB76,AC77,AB78,AA79,AB79,AB80,AA81,AB82," ",AB83,AC84)</f>
        <v>2023:
As empresas do distrito de Lisboa tinham ao seu serviço 1.039.751 pessoas (variação de 40,6% face a 2013, ou seja, mais 300.460) e tinham 994.831 TCO (variação de 42,2% face a 2013, ou seja, mais 295.398).</v>
      </c>
      <c r="AF69" s="772"/>
      <c r="AG69" s="772"/>
      <c r="AH69" s="772"/>
      <c r="CO69" s="504"/>
      <c r="CT69" s="504"/>
    </row>
    <row r="70" spans="2:98">
      <c r="B70" s="501" t="str">
        <f>+'q11'!$A$14</f>
        <v>Guarda</v>
      </c>
      <c r="C70" s="499">
        <f>+'q11'!$B$14</f>
        <v>27724</v>
      </c>
      <c r="D70" s="499">
        <f>+'q11'!$C$14</f>
        <v>28347</v>
      </c>
      <c r="E70" s="499">
        <f>+'q11'!$D$14</f>
        <v>28671</v>
      </c>
      <c r="F70" s="499">
        <f>+'q11'!$E$14</f>
        <v>28979</v>
      </c>
      <c r="G70" s="499">
        <f>+'q11'!$F$14</f>
        <v>29930</v>
      </c>
      <c r="H70" s="499">
        <f>+'q11'!$G$14</f>
        <v>30579</v>
      </c>
      <c r="I70" s="499">
        <f>+'q11'!$H$14</f>
        <v>30148</v>
      </c>
      <c r="J70" s="499">
        <f>+'q11'!$I$14</f>
        <v>30772</v>
      </c>
      <c r="K70" s="499">
        <f>+'q11'!$J$14</f>
        <v>30792</v>
      </c>
      <c r="L70" s="499">
        <f>+'q11'!$K$14</f>
        <v>31779</v>
      </c>
      <c r="M70" s="499">
        <f>+'q11'!$L$14</f>
        <v>32928</v>
      </c>
      <c r="N70" s="499">
        <f t="shared" si="21"/>
        <v>5204</v>
      </c>
      <c r="AA70" s="499" t="s">
        <v>331</v>
      </c>
      <c r="AE70" s="772"/>
      <c r="AF70" s="772"/>
      <c r="AG70" s="772"/>
      <c r="AH70" s="772"/>
    </row>
    <row r="71" spans="2:98">
      <c r="B71" s="501" t="str">
        <f>+'q11'!$A$15</f>
        <v>Leiria</v>
      </c>
      <c r="C71" s="499">
        <f>+'q11'!$B$15</f>
        <v>123221</v>
      </c>
      <c r="D71" s="499">
        <f>+'q11'!$C$15</f>
        <v>128192</v>
      </c>
      <c r="E71" s="499">
        <f>+'q11'!$D$15</f>
        <v>131409</v>
      </c>
      <c r="F71" s="499">
        <f>+'q11'!$E$15</f>
        <v>135744</v>
      </c>
      <c r="G71" s="499">
        <f>+'q11'!$F$15</f>
        <v>142737</v>
      </c>
      <c r="H71" s="499">
        <f>+'q11'!$G$15</f>
        <v>150327</v>
      </c>
      <c r="I71" s="499">
        <f>+'q11'!$H$15</f>
        <v>152235</v>
      </c>
      <c r="J71" s="499">
        <f>+'q11'!$I$15</f>
        <v>151214</v>
      </c>
      <c r="K71" s="499">
        <f>+'q11'!$J$15</f>
        <v>150268</v>
      </c>
      <c r="L71" s="499">
        <f>+'q11'!$K$15</f>
        <v>157094</v>
      </c>
      <c r="M71" s="499">
        <f>+'q11'!$L$15</f>
        <v>163957</v>
      </c>
      <c r="N71" s="499">
        <f t="shared" si="21"/>
        <v>40736</v>
      </c>
      <c r="AA71" s="499" t="s">
        <v>322</v>
      </c>
      <c r="AB71" s="522" t="str">
        <f>+AE62</f>
        <v>1.039.751</v>
      </c>
      <c r="AE71" s="772"/>
      <c r="AF71" s="772"/>
      <c r="AG71" s="772"/>
      <c r="AH71" s="772"/>
    </row>
    <row r="72" spans="2:98">
      <c r="B72" s="501" t="str">
        <f>+'q11'!$A$16</f>
        <v>Lisboa</v>
      </c>
      <c r="C72" s="499">
        <f>+'q11'!$B$16</f>
        <v>739291</v>
      </c>
      <c r="D72" s="499">
        <f>+'q11'!$C$16</f>
        <v>764524</v>
      </c>
      <c r="E72" s="499">
        <f>+'q11'!$D$16</f>
        <v>780947</v>
      </c>
      <c r="F72" s="499">
        <f>+'q11'!$E$16</f>
        <v>817508</v>
      </c>
      <c r="G72" s="499">
        <f>+'q11'!$F$16</f>
        <v>847011</v>
      </c>
      <c r="H72" s="499">
        <f>+'q11'!$G$16</f>
        <v>886123</v>
      </c>
      <c r="I72" s="499">
        <f>+'q11'!$H$16</f>
        <v>905022</v>
      </c>
      <c r="J72" s="499">
        <f>+'q11'!$I$16</f>
        <v>895425</v>
      </c>
      <c r="K72" s="499">
        <f>+'q11'!$J$16</f>
        <v>900307</v>
      </c>
      <c r="L72" s="499">
        <f>+'q11'!$K$16</f>
        <v>981424</v>
      </c>
      <c r="M72" s="499">
        <f>+'q11'!$L$16</f>
        <v>1039751</v>
      </c>
      <c r="N72" s="499">
        <f t="shared" si="21"/>
        <v>300460</v>
      </c>
      <c r="AA72" s="499" t="s">
        <v>323</v>
      </c>
      <c r="AB72" s="499" t="s">
        <v>850</v>
      </c>
      <c r="AE72" s="772"/>
      <c r="AF72" s="772"/>
      <c r="AG72" s="772"/>
      <c r="AH72" s="772"/>
    </row>
    <row r="73" spans="2:98">
      <c r="B73" s="501" t="str">
        <f>+'q11'!$A$17</f>
        <v>Portalegre</v>
      </c>
      <c r="C73" s="499">
        <f>+'q11'!$B$17</f>
        <v>20094</v>
      </c>
      <c r="D73" s="499">
        <f>+'q11'!$C$17</f>
        <v>20497</v>
      </c>
      <c r="E73" s="499">
        <f>+'q11'!$D$17</f>
        <v>20704</v>
      </c>
      <c r="F73" s="499">
        <f>+'q11'!$E$17</f>
        <v>21614</v>
      </c>
      <c r="G73" s="499">
        <f>+'q11'!$F$17</f>
        <v>22068</v>
      </c>
      <c r="H73" s="499">
        <f>+'q11'!$G$17</f>
        <v>22056</v>
      </c>
      <c r="I73" s="499">
        <f>+'q11'!$H$17</f>
        <v>22201</v>
      </c>
      <c r="J73" s="499">
        <f>+'q11'!$I$17</f>
        <v>22475</v>
      </c>
      <c r="K73" s="499">
        <f>+'q11'!$J$17</f>
        <v>21854</v>
      </c>
      <c r="L73" s="499">
        <f>+'q11'!$K$17</f>
        <v>23056</v>
      </c>
      <c r="M73" s="499">
        <f>+'q11'!$L$17</f>
        <v>24444</v>
      </c>
      <c r="N73" s="499">
        <f t="shared" si="21"/>
        <v>4350</v>
      </c>
      <c r="AA73" s="499" t="s">
        <v>324</v>
      </c>
      <c r="AB73" s="525">
        <f>ROUND(AG65,1)</f>
        <v>40.6</v>
      </c>
      <c r="AE73" s="772"/>
      <c r="AF73" s="772"/>
      <c r="AG73" s="772"/>
      <c r="AH73" s="772"/>
    </row>
    <row r="74" spans="2:98">
      <c r="B74" s="501" t="str">
        <f>+'q11'!$A$18</f>
        <v>Porto</v>
      </c>
      <c r="C74" s="499">
        <f>+'q11'!$B$18</f>
        <v>492740</v>
      </c>
      <c r="D74" s="499">
        <f>+'q11'!$C$18</f>
        <v>511719</v>
      </c>
      <c r="E74" s="499">
        <f>+'q11'!$D$18</f>
        <v>532550</v>
      </c>
      <c r="F74" s="499">
        <f>+'q11'!$E$18</f>
        <v>551277</v>
      </c>
      <c r="G74" s="499">
        <f>+'q11'!$F$18</f>
        <v>580272</v>
      </c>
      <c r="H74" s="499">
        <f>+'q11'!$G$18</f>
        <v>593048</v>
      </c>
      <c r="I74" s="499">
        <f>+'q11'!$H$18</f>
        <v>607009</v>
      </c>
      <c r="J74" s="499">
        <f>+'q11'!$I$18</f>
        <v>599969</v>
      </c>
      <c r="K74" s="499">
        <f>+'q11'!$J$18</f>
        <v>603391</v>
      </c>
      <c r="L74" s="499">
        <f>+'q11'!$K$18</f>
        <v>647496</v>
      </c>
      <c r="M74" s="499">
        <f>+'q11'!$L$18</f>
        <v>675046</v>
      </c>
      <c r="N74" s="499">
        <f t="shared" si="21"/>
        <v>182306</v>
      </c>
      <c r="AA74" s="499" t="s">
        <v>854</v>
      </c>
      <c r="AE74" s="772"/>
      <c r="AF74" s="772"/>
      <c r="AG74" s="772"/>
      <c r="AH74" s="772"/>
    </row>
    <row r="75" spans="2:98">
      <c r="B75" s="501" t="str">
        <f>+'q11'!$A$19</f>
        <v>Santarém</v>
      </c>
      <c r="C75" s="499">
        <f>+'q11'!$B$19</f>
        <v>96319</v>
      </c>
      <c r="D75" s="499">
        <f>+'q11'!$C$19</f>
        <v>97672</v>
      </c>
      <c r="E75" s="499">
        <f>+'q11'!$D$19</f>
        <v>99795</v>
      </c>
      <c r="F75" s="499">
        <f>+'q11'!$E$19</f>
        <v>101230</v>
      </c>
      <c r="G75" s="499">
        <f>+'q11'!$F$19</f>
        <v>104902</v>
      </c>
      <c r="H75" s="499">
        <f>+'q11'!$G$19</f>
        <v>107738</v>
      </c>
      <c r="I75" s="499">
        <f>+'q11'!$H$19</f>
        <v>110106</v>
      </c>
      <c r="J75" s="499">
        <f>+'q11'!$I$19</f>
        <v>110997</v>
      </c>
      <c r="K75" s="499">
        <f>+'q11'!$J$19</f>
        <v>110211</v>
      </c>
      <c r="L75" s="499">
        <f>+'q11'!$K$19</f>
        <v>116005</v>
      </c>
      <c r="M75" s="499">
        <f>+'q11'!$L$19</f>
        <v>120066</v>
      </c>
      <c r="N75" s="499">
        <f t="shared" si="21"/>
        <v>23747</v>
      </c>
      <c r="AA75" s="499" t="s">
        <v>325</v>
      </c>
      <c r="AB75" s="499" t="str">
        <f>+AI62</f>
        <v>, mais</v>
      </c>
    </row>
    <row r="76" spans="2:98">
      <c r="B76" s="501" t="str">
        <f>+'q11'!$A$20</f>
        <v>Setúbal</v>
      </c>
      <c r="C76" s="499">
        <f>+'q11'!$B$20</f>
        <v>143967</v>
      </c>
      <c r="D76" s="499">
        <f>+'q11'!$C$20</f>
        <v>145403</v>
      </c>
      <c r="E76" s="499">
        <f>+'q11'!$D$20</f>
        <v>148477</v>
      </c>
      <c r="F76" s="499">
        <f>+'q11'!$E$20</f>
        <v>152690</v>
      </c>
      <c r="G76" s="499">
        <f>+'q11'!$F$20</f>
        <v>161083</v>
      </c>
      <c r="H76" s="499">
        <f>+'q11'!$G$20</f>
        <v>170243</v>
      </c>
      <c r="I76" s="499">
        <f>+'q11'!$H$20</f>
        <v>173740</v>
      </c>
      <c r="J76" s="499">
        <f>+'q11'!$I$20</f>
        <v>174949</v>
      </c>
      <c r="K76" s="499">
        <f>+'q11'!$J$20</f>
        <v>176465</v>
      </c>
      <c r="L76" s="499">
        <f>+'q11'!$K$20</f>
        <v>189206</v>
      </c>
      <c r="M76" s="499">
        <f>+'q11'!$L$20</f>
        <v>195528</v>
      </c>
      <c r="N76" s="499">
        <f t="shared" si="21"/>
        <v>51561</v>
      </c>
      <c r="AA76" s="499" t="s">
        <v>326</v>
      </c>
      <c r="AB76" s="522" t="str">
        <f>TEXT(AJ62,"##.###")</f>
        <v>300.460</v>
      </c>
    </row>
    <row r="77" spans="2:98">
      <c r="B77" s="501" t="str">
        <f>+'q11'!$A$21</f>
        <v>Viana do Castelo</v>
      </c>
      <c r="C77" s="499">
        <f>+'q11'!$B$21</f>
        <v>53023</v>
      </c>
      <c r="D77" s="499">
        <f>+'q11'!$C$21</f>
        <v>54568</v>
      </c>
      <c r="E77" s="499">
        <f>+'q11'!$D$21</f>
        <v>56865</v>
      </c>
      <c r="F77" s="499">
        <f>+'q11'!$E$21</f>
        <v>57001</v>
      </c>
      <c r="G77" s="499">
        <f>+'q11'!$F$21</f>
        <v>59646</v>
      </c>
      <c r="H77" s="499">
        <f>+'q11'!$G$21</f>
        <v>62987</v>
      </c>
      <c r="I77" s="499">
        <f>+'q11'!$H$21</f>
        <v>63449</v>
      </c>
      <c r="J77" s="499">
        <f>+'q11'!$I$21</f>
        <v>64864</v>
      </c>
      <c r="K77" s="499">
        <f>+'q11'!$J$21</f>
        <v>65112</v>
      </c>
      <c r="L77" s="499">
        <f>+'q11'!$K$21</f>
        <v>68558</v>
      </c>
      <c r="M77" s="499">
        <f>+'q11'!$L$21</f>
        <v>72633</v>
      </c>
      <c r="N77" s="499">
        <f t="shared" si="21"/>
        <v>19610</v>
      </c>
      <c r="AC77" s="499" t="s">
        <v>757</v>
      </c>
    </row>
    <row r="78" spans="2:98">
      <c r="B78" s="501" t="str">
        <f>+'q11'!$A$22</f>
        <v>Vila Real</v>
      </c>
      <c r="C78" s="499">
        <f>+'q11'!$B$22</f>
        <v>31008</v>
      </c>
      <c r="D78" s="499">
        <f>+'q11'!$C$22</f>
        <v>31502</v>
      </c>
      <c r="E78" s="499">
        <f>+'q11'!$D$22</f>
        <v>32630</v>
      </c>
      <c r="F78" s="499">
        <f>+'q11'!$E$22</f>
        <v>33121</v>
      </c>
      <c r="G78" s="499">
        <f>+'q11'!$F$22</f>
        <v>34749</v>
      </c>
      <c r="H78" s="499">
        <f>+'q11'!$G$22</f>
        <v>35689</v>
      </c>
      <c r="I78" s="499">
        <f>+'q11'!$H$22</f>
        <v>36501</v>
      </c>
      <c r="J78" s="499">
        <f>+'q11'!$I$22</f>
        <v>36381</v>
      </c>
      <c r="K78" s="499">
        <f>+'q11'!$J$22</f>
        <v>36810</v>
      </c>
      <c r="L78" s="499">
        <f>+'q11'!$K$22</f>
        <v>38651</v>
      </c>
      <c r="M78" s="499">
        <f>+'q11'!$L$22</f>
        <v>40275</v>
      </c>
      <c r="N78" s="499">
        <f t="shared" si="21"/>
        <v>9267</v>
      </c>
      <c r="AA78" s="499" t="s">
        <v>327</v>
      </c>
      <c r="AB78" s="522" t="str">
        <f>+AE63</f>
        <v>994.831</v>
      </c>
    </row>
    <row r="79" spans="2:98">
      <c r="B79" s="501" t="str">
        <f>+'q11'!$A$23</f>
        <v>Viseu</v>
      </c>
      <c r="C79" s="499">
        <f>+'q11'!$B$23</f>
        <v>73147</v>
      </c>
      <c r="D79" s="499">
        <f>+'q11'!$C$23</f>
        <v>74809</v>
      </c>
      <c r="E79" s="499">
        <f>+'q11'!$D$23</f>
        <v>77228</v>
      </c>
      <c r="F79" s="499">
        <f>+'q11'!$E$23</f>
        <v>80578</v>
      </c>
      <c r="G79" s="499">
        <f>+'q11'!$F$23</f>
        <v>84335</v>
      </c>
      <c r="H79" s="499">
        <f>+'q11'!$G$23</f>
        <v>87903</v>
      </c>
      <c r="I79" s="499">
        <f>+'q11'!$H$23</f>
        <v>90397</v>
      </c>
      <c r="J79" s="499">
        <f>+'q11'!$I$23</f>
        <v>91057</v>
      </c>
      <c r="K79" s="499">
        <f>+'q11'!$J$23</f>
        <v>91948</v>
      </c>
      <c r="L79" s="499">
        <f>+'q11'!$K$23</f>
        <v>99161</v>
      </c>
      <c r="M79" s="499">
        <f>+'q11'!$L$23</f>
        <v>103482</v>
      </c>
      <c r="N79" s="499">
        <f t="shared" si="21"/>
        <v>30335</v>
      </c>
      <c r="AA79" s="499" t="s">
        <v>855</v>
      </c>
      <c r="AB79" s="499" t="s">
        <v>850</v>
      </c>
    </row>
    <row r="80" spans="2:98">
      <c r="B80" s="501" t="s">
        <v>14</v>
      </c>
      <c r="C80" s="499">
        <f>+'q11'!$B$5</f>
        <v>2555676</v>
      </c>
      <c r="D80" s="499">
        <f>+'q11'!$C$5</f>
        <v>2636881</v>
      </c>
      <c r="E80" s="499">
        <f>+'q11'!$D$5</f>
        <v>2716011</v>
      </c>
      <c r="F80" s="499">
        <f>+'q11'!$E$5</f>
        <v>2819978</v>
      </c>
      <c r="G80" s="499">
        <f>+'q11'!$F$5</f>
        <v>2946903</v>
      </c>
      <c r="H80" s="499">
        <f>+'q11'!$G$5</f>
        <v>3060489</v>
      </c>
      <c r="I80" s="499">
        <f>+'q11'!$H$5</f>
        <v>3110949</v>
      </c>
      <c r="J80" s="499">
        <f>+'q11'!$I$5</f>
        <v>3085566</v>
      </c>
      <c r="K80" s="499">
        <f>+'q11'!$J$5</f>
        <v>3102345</v>
      </c>
      <c r="L80" s="499">
        <f>+'q11'!$K$5</f>
        <v>3337082</v>
      </c>
      <c r="M80" s="499">
        <f>+'q11'!$L$5</f>
        <v>3489583</v>
      </c>
      <c r="N80" s="499">
        <f t="shared" si="21"/>
        <v>933907</v>
      </c>
      <c r="AA80" s="499" t="s">
        <v>328</v>
      </c>
      <c r="AB80" s="525">
        <f>ROUND(AG66,1)</f>
        <v>42.2</v>
      </c>
    </row>
    <row r="81" spans="1:29">
      <c r="A81" s="501" t="s">
        <v>185</v>
      </c>
      <c r="C81" s="503">
        <f>+'q15'!$B$4</f>
        <v>2013</v>
      </c>
      <c r="D81" s="503">
        <f>+'q15'!$C$4</f>
        <v>2014</v>
      </c>
      <c r="E81" s="503">
        <f>+'q15'!$D$4</f>
        <v>2015</v>
      </c>
      <c r="F81" s="503">
        <f>+'q15'!$E$4</f>
        <v>2016</v>
      </c>
      <c r="G81" s="503">
        <f>+'q15'!$F$4</f>
        <v>2017</v>
      </c>
      <c r="H81" s="503">
        <f>+'q15'!$G$4</f>
        <v>2018</v>
      </c>
      <c r="I81" s="503">
        <f>+'q15'!$H$4</f>
        <v>2019</v>
      </c>
      <c r="J81" s="503">
        <f>+'q15'!$I$4</f>
        <v>2020</v>
      </c>
      <c r="K81" s="503">
        <f>+'q15'!$J$4</f>
        <v>2021</v>
      </c>
      <c r="L81" s="503">
        <f>+'q15'!$K$4</f>
        <v>2022</v>
      </c>
      <c r="M81" s="503">
        <f>+'q15'!$L$4</f>
        <v>2023</v>
      </c>
      <c r="N81" s="499">
        <f t="shared" si="21"/>
        <v>10</v>
      </c>
      <c r="AA81" s="499" t="s">
        <v>854</v>
      </c>
    </row>
    <row r="82" spans="1:29">
      <c r="B82" s="501" t="str">
        <f>+'q15'!$A$6</f>
        <v>Aveiro</v>
      </c>
      <c r="C82" s="499">
        <f>+'q15'!$B$6</f>
        <v>183121</v>
      </c>
      <c r="D82" s="499">
        <f>+'q15'!$C$6</f>
        <v>188531</v>
      </c>
      <c r="E82" s="499">
        <f>+'q15'!$D$6</f>
        <v>193207</v>
      </c>
      <c r="F82" s="499">
        <f>+'q15'!$E$6</f>
        <v>201583</v>
      </c>
      <c r="G82" s="499">
        <f>+'q15'!$F$6</f>
        <v>211076</v>
      </c>
      <c r="H82" s="499">
        <f>+'q15'!$G$6</f>
        <v>219148</v>
      </c>
      <c r="I82" s="499">
        <f>+'q15'!$H$6</f>
        <v>221154</v>
      </c>
      <c r="J82" s="499">
        <f>+'q15'!$I$6</f>
        <v>218824</v>
      </c>
      <c r="K82" s="499">
        <f>+'q15'!$J$6</f>
        <v>219217</v>
      </c>
      <c r="L82" s="499">
        <f>+'q15'!$K$6</f>
        <v>234940</v>
      </c>
      <c r="M82" s="499">
        <f>+'q15'!$L$6</f>
        <v>240286</v>
      </c>
      <c r="N82" s="499">
        <f t="shared" si="21"/>
        <v>57165</v>
      </c>
      <c r="AA82" s="499" t="s">
        <v>329</v>
      </c>
      <c r="AB82" s="499" t="str">
        <f>+AI63</f>
        <v>, mais</v>
      </c>
    </row>
    <row r="83" spans="1:29">
      <c r="B83" s="501" t="str">
        <f>+'q15'!$A$7</f>
        <v>Beja</v>
      </c>
      <c r="C83" s="499">
        <f>+'q15'!$B$7</f>
        <v>27466</v>
      </c>
      <c r="D83" s="499">
        <f>+'q15'!$C$7</f>
        <v>28261</v>
      </c>
      <c r="E83" s="499">
        <f>+'q15'!$D$7</f>
        <v>30156</v>
      </c>
      <c r="F83" s="499">
        <f>+'q15'!$E$7</f>
        <v>31333</v>
      </c>
      <c r="G83" s="499">
        <f>+'q15'!$F$7</f>
        <v>33532</v>
      </c>
      <c r="H83" s="499">
        <f>+'q15'!$G$7</f>
        <v>34861</v>
      </c>
      <c r="I83" s="499">
        <f>+'q15'!$H$7</f>
        <v>36824</v>
      </c>
      <c r="J83" s="499">
        <f>+'q15'!$I$7</f>
        <v>39057</v>
      </c>
      <c r="K83" s="499">
        <f>+'q15'!$J$7</f>
        <v>39335</v>
      </c>
      <c r="L83" s="499">
        <f>+'q15'!$K$7</f>
        <v>43289</v>
      </c>
      <c r="M83" s="499">
        <f>+'q15'!$L$7</f>
        <v>45122</v>
      </c>
      <c r="N83" s="499">
        <f t="shared" si="21"/>
        <v>17656</v>
      </c>
      <c r="AA83" s="499" t="s">
        <v>330</v>
      </c>
      <c r="AB83" s="522" t="str">
        <f>TEXT(AJ63,"##.###")</f>
        <v>295.398</v>
      </c>
    </row>
    <row r="84" spans="1:29">
      <c r="B84" s="501" t="str">
        <f>+'q15'!$A$8</f>
        <v>Braga</v>
      </c>
      <c r="C84" s="499">
        <f>+'q15'!$B$8</f>
        <v>213863</v>
      </c>
      <c r="D84" s="499">
        <f>+'q15'!$C$8</f>
        <v>223498</v>
      </c>
      <c r="E84" s="499">
        <f>+'q15'!$D$8</f>
        <v>232168</v>
      </c>
      <c r="F84" s="499">
        <f>+'q15'!$E$8</f>
        <v>243606</v>
      </c>
      <c r="G84" s="499">
        <f>+'q15'!$F$8</f>
        <v>254948</v>
      </c>
      <c r="H84" s="499">
        <f>+'q15'!$G$8</f>
        <v>264675</v>
      </c>
      <c r="I84" s="499">
        <f>+'q15'!$H$8</f>
        <v>261930</v>
      </c>
      <c r="J84" s="499">
        <f>+'q15'!$I$8</f>
        <v>263588</v>
      </c>
      <c r="K84" s="499">
        <f>+'q15'!$J$8</f>
        <v>266470</v>
      </c>
      <c r="L84" s="499">
        <f>+'q15'!$K$8</f>
        <v>285498</v>
      </c>
      <c r="M84" s="499">
        <f>+'q15'!$L$8</f>
        <v>293224</v>
      </c>
      <c r="N84" s="499">
        <f t="shared" si="21"/>
        <v>79361</v>
      </c>
      <c r="AC84" s="499" t="s">
        <v>442</v>
      </c>
    </row>
    <row r="85" spans="1:29">
      <c r="B85" s="501" t="str">
        <f>+'q15'!$A$9</f>
        <v>Bragança</v>
      </c>
      <c r="C85" s="499">
        <f>+'q15'!$B$9</f>
        <v>17863</v>
      </c>
      <c r="D85" s="499">
        <f>+'q15'!$C$9</f>
        <v>18027</v>
      </c>
      <c r="E85" s="499">
        <f>+'q15'!$D$9</f>
        <v>18508</v>
      </c>
      <c r="F85" s="499">
        <f>+'q15'!$E$9</f>
        <v>18920</v>
      </c>
      <c r="G85" s="499">
        <f>+'q15'!$F$9</f>
        <v>19168</v>
      </c>
      <c r="H85" s="499">
        <f>+'q15'!$G$9</f>
        <v>19762</v>
      </c>
      <c r="I85" s="499">
        <f>+'q15'!$H$9</f>
        <v>19512</v>
      </c>
      <c r="J85" s="499">
        <f>+'q15'!$I$9</f>
        <v>20332</v>
      </c>
      <c r="K85" s="499">
        <f>+'q15'!$J$9</f>
        <v>20601</v>
      </c>
      <c r="L85" s="499">
        <f>+'q15'!$K$9</f>
        <v>21226</v>
      </c>
      <c r="M85" s="499">
        <f>+'q15'!$L$9</f>
        <v>22078</v>
      </c>
      <c r="N85" s="499">
        <f t="shared" si="21"/>
        <v>4215</v>
      </c>
    </row>
    <row r="86" spans="1:29">
      <c r="B86" s="501" t="str">
        <f>+'q15'!$A$10</f>
        <v>Castelo Branco</v>
      </c>
      <c r="C86" s="499">
        <f>+'q15'!$B$10</f>
        <v>34335</v>
      </c>
      <c r="D86" s="499">
        <f>+'q15'!$C$10</f>
        <v>35837</v>
      </c>
      <c r="E86" s="499">
        <f>+'q15'!$D$10</f>
        <v>35619</v>
      </c>
      <c r="F86" s="499">
        <f>+'q15'!$E$10</f>
        <v>36035</v>
      </c>
      <c r="G86" s="499">
        <f>+'q15'!$F$10</f>
        <v>36753</v>
      </c>
      <c r="H86" s="499">
        <f>+'q15'!$G$10</f>
        <v>38953</v>
      </c>
      <c r="I86" s="499">
        <f>+'q15'!$H$10</f>
        <v>38009</v>
      </c>
      <c r="J86" s="499">
        <f>+'q15'!$I$10</f>
        <v>37294</v>
      </c>
      <c r="K86" s="499">
        <f>+'q15'!$J$10</f>
        <v>37537</v>
      </c>
      <c r="L86" s="499">
        <f>+'q15'!$K$10</f>
        <v>39840</v>
      </c>
      <c r="M86" s="499">
        <f>+'q15'!$L$10</f>
        <v>42612</v>
      </c>
      <c r="N86" s="499">
        <f t="shared" si="21"/>
        <v>8277</v>
      </c>
    </row>
    <row r="87" spans="1:29">
      <c r="B87" s="501" t="str">
        <f>+'q15'!$A$11</f>
        <v>Coimbra</v>
      </c>
      <c r="C87" s="499">
        <f>+'q15'!$B$11</f>
        <v>85563</v>
      </c>
      <c r="D87" s="499">
        <f>+'q15'!$C$11</f>
        <v>84401</v>
      </c>
      <c r="E87" s="499">
        <f>+'q15'!$D$11</f>
        <v>87151</v>
      </c>
      <c r="F87" s="499">
        <f>+'q15'!$E$11</f>
        <v>88449</v>
      </c>
      <c r="G87" s="499">
        <f>+'q15'!$F$11</f>
        <v>92904</v>
      </c>
      <c r="H87" s="499">
        <f>+'q15'!$G$11</f>
        <v>93788</v>
      </c>
      <c r="I87" s="499">
        <f>+'q15'!$H$11</f>
        <v>94736</v>
      </c>
      <c r="J87" s="499">
        <f>+'q15'!$I$11</f>
        <v>95872</v>
      </c>
      <c r="K87" s="499">
        <f>+'q15'!$J$11</f>
        <v>95954</v>
      </c>
      <c r="L87" s="499">
        <f>+'q15'!$K$11</f>
        <v>101940</v>
      </c>
      <c r="M87" s="499">
        <f>+'q15'!$L$11</f>
        <v>104759</v>
      </c>
      <c r="N87" s="499">
        <f t="shared" ref="N87:N140" si="25">+M87-C87</f>
        <v>19196</v>
      </c>
    </row>
    <row r="88" spans="1:29">
      <c r="B88" s="501" t="str">
        <f>+'q15'!$A$12</f>
        <v>Évora</v>
      </c>
      <c r="C88" s="499">
        <f>+'q15'!$B$12</f>
        <v>31718</v>
      </c>
      <c r="D88" s="499">
        <f>+'q15'!$C$12</f>
        <v>32529</v>
      </c>
      <c r="E88" s="499">
        <f>+'q15'!$D$12</f>
        <v>34031</v>
      </c>
      <c r="F88" s="499">
        <f>+'q15'!$E$12</f>
        <v>35370</v>
      </c>
      <c r="G88" s="499">
        <f>+'q15'!$F$12</f>
        <v>36298</v>
      </c>
      <c r="H88" s="499">
        <f>+'q15'!$G$12</f>
        <v>38027</v>
      </c>
      <c r="I88" s="499">
        <f>+'q15'!$H$12</f>
        <v>38257</v>
      </c>
      <c r="J88" s="499">
        <f>+'q15'!$I$12</f>
        <v>37783</v>
      </c>
      <c r="K88" s="499">
        <f>+'q15'!$J$12</f>
        <v>38189</v>
      </c>
      <c r="L88" s="499">
        <f>+'q15'!$K$12</f>
        <v>40691</v>
      </c>
      <c r="M88" s="499">
        <f>+'q15'!$L$12</f>
        <v>42406</v>
      </c>
      <c r="N88" s="499">
        <f t="shared" si="25"/>
        <v>10688</v>
      </c>
    </row>
    <row r="89" spans="1:29">
      <c r="B89" s="501" t="str">
        <f>+'q15'!$A$13</f>
        <v>Faro</v>
      </c>
      <c r="C89" s="499">
        <f>+'q15'!$B$13</f>
        <v>104938</v>
      </c>
      <c r="D89" s="499">
        <f>+'q15'!$C$13</f>
        <v>109922</v>
      </c>
      <c r="E89" s="499">
        <f>+'q15'!$D$13</f>
        <v>117234</v>
      </c>
      <c r="F89" s="499">
        <f>+'q15'!$E$13</f>
        <v>125990</v>
      </c>
      <c r="G89" s="499">
        <f>+'q15'!$F$13</f>
        <v>135848</v>
      </c>
      <c r="H89" s="499">
        <f>+'q15'!$G$13</f>
        <v>144110</v>
      </c>
      <c r="I89" s="499">
        <f>+'q15'!$H$13</f>
        <v>149611</v>
      </c>
      <c r="J89" s="499">
        <f>+'q15'!$I$13</f>
        <v>133944</v>
      </c>
      <c r="K89" s="499">
        <f>+'q15'!$J$13</f>
        <v>137936</v>
      </c>
      <c r="L89" s="499">
        <f>+'q15'!$K$13</f>
        <v>154670</v>
      </c>
      <c r="M89" s="499">
        <f>+'q15'!$L$13</f>
        <v>166794</v>
      </c>
      <c r="N89" s="499">
        <f t="shared" si="25"/>
        <v>61856</v>
      </c>
    </row>
    <row r="90" spans="1:29">
      <c r="B90" s="501" t="str">
        <f>+'q15'!$A$14</f>
        <v>Guarda</v>
      </c>
      <c r="C90" s="499">
        <f>+'q15'!$B$14</f>
        <v>25577</v>
      </c>
      <c r="D90" s="499">
        <f>+'q15'!$C$14</f>
        <v>26046</v>
      </c>
      <c r="E90" s="499">
        <f>+'q15'!$D$14</f>
        <v>26456</v>
      </c>
      <c r="F90" s="499">
        <f>+'q15'!$E$14</f>
        <v>26786</v>
      </c>
      <c r="G90" s="499">
        <f>+'q15'!$F$14</f>
        <v>27741</v>
      </c>
      <c r="H90" s="499">
        <f>+'q15'!$G$14</f>
        <v>28412</v>
      </c>
      <c r="I90" s="499">
        <f>+'q15'!$H$14</f>
        <v>28057</v>
      </c>
      <c r="J90" s="499">
        <f>+'q15'!$I$14</f>
        <v>28646</v>
      </c>
      <c r="K90" s="499">
        <f>+'q15'!$J$14</f>
        <v>28719</v>
      </c>
      <c r="L90" s="499">
        <f>+'q15'!$K$14</f>
        <v>29721</v>
      </c>
      <c r="M90" s="499">
        <f>+'q15'!$L$14</f>
        <v>30808</v>
      </c>
      <c r="N90" s="499">
        <f t="shared" si="25"/>
        <v>5231</v>
      </c>
    </row>
    <row r="91" spans="1:29">
      <c r="B91" s="501" t="str">
        <f>+'q15'!$A$15</f>
        <v>Leiria</v>
      </c>
      <c r="C91" s="499">
        <f>+'q15'!$B$15</f>
        <v>113088</v>
      </c>
      <c r="D91" s="499">
        <f>+'q15'!$C$15</f>
        <v>117819</v>
      </c>
      <c r="E91" s="499">
        <f>+'q15'!$D$15</f>
        <v>121050</v>
      </c>
      <c r="F91" s="499">
        <f>+'q15'!$E$15</f>
        <v>125303</v>
      </c>
      <c r="G91" s="499">
        <f>+'q15'!$F$15</f>
        <v>132189</v>
      </c>
      <c r="H91" s="499">
        <f>+'q15'!$G$15</f>
        <v>139739</v>
      </c>
      <c r="I91" s="499">
        <f>+'q15'!$H$15</f>
        <v>141609</v>
      </c>
      <c r="J91" s="499">
        <f>+'q15'!$I$15</f>
        <v>140537</v>
      </c>
      <c r="K91" s="499">
        <f>+'q15'!$J$15</f>
        <v>139576</v>
      </c>
      <c r="L91" s="499">
        <f>+'q15'!$K$15</f>
        <v>145795</v>
      </c>
      <c r="M91" s="499">
        <f>+'q15'!$L$15</f>
        <v>152308</v>
      </c>
      <c r="N91" s="499">
        <f t="shared" si="25"/>
        <v>39220</v>
      </c>
    </row>
    <row r="92" spans="1:29">
      <c r="B92" s="501" t="str">
        <f>+'q15'!$A$16</f>
        <v>Lisboa</v>
      </c>
      <c r="C92" s="499">
        <f>+'q15'!$B$16</f>
        <v>699433</v>
      </c>
      <c r="D92" s="499">
        <f>+'q15'!$C$16</f>
        <v>722854</v>
      </c>
      <c r="E92" s="499">
        <f>+'q15'!$D$16</f>
        <v>739126</v>
      </c>
      <c r="F92" s="499">
        <f>+'q15'!$E$16</f>
        <v>776535</v>
      </c>
      <c r="G92" s="499">
        <f>+'q15'!$F$16</f>
        <v>805619</v>
      </c>
      <c r="H92" s="499">
        <f>+'q15'!$G$16</f>
        <v>843599</v>
      </c>
      <c r="I92" s="499">
        <f>+'q15'!$H$16</f>
        <v>863493</v>
      </c>
      <c r="J92" s="499">
        <f>+'q15'!$I$16</f>
        <v>853268</v>
      </c>
      <c r="K92" s="499">
        <f>+'q15'!$J$16</f>
        <v>859051</v>
      </c>
      <c r="L92" s="499">
        <f>+'q15'!$K$16</f>
        <v>937531</v>
      </c>
      <c r="M92" s="499">
        <f>+'q15'!$L$16</f>
        <v>994831</v>
      </c>
      <c r="N92" s="499">
        <f t="shared" si="25"/>
        <v>295398</v>
      </c>
    </row>
    <row r="93" spans="1:29">
      <c r="B93" s="501" t="str">
        <f>+'q15'!$A$17</f>
        <v>Portalegre</v>
      </c>
      <c r="C93" s="499">
        <f>+'q15'!$B$17</f>
        <v>18653</v>
      </c>
      <c r="D93" s="499">
        <f>+'q15'!$C$17</f>
        <v>19009</v>
      </c>
      <c r="E93" s="499">
        <f>+'q15'!$D$17</f>
        <v>19293</v>
      </c>
      <c r="F93" s="499">
        <f>+'q15'!$E$17</f>
        <v>20176</v>
      </c>
      <c r="G93" s="499">
        <f>+'q15'!$F$17</f>
        <v>20664</v>
      </c>
      <c r="H93" s="499">
        <f>+'q15'!$G$17</f>
        <v>20620</v>
      </c>
      <c r="I93" s="499">
        <f>+'q15'!$H$17</f>
        <v>20826</v>
      </c>
      <c r="J93" s="499">
        <f>+'q15'!$I$17</f>
        <v>21098</v>
      </c>
      <c r="K93" s="499">
        <f>+'q15'!$J$17</f>
        <v>20537</v>
      </c>
      <c r="L93" s="499">
        <f>+'q15'!$K$17</f>
        <v>21623</v>
      </c>
      <c r="M93" s="499">
        <f>+'q15'!$L$17</f>
        <v>22968</v>
      </c>
      <c r="N93" s="499">
        <f t="shared" si="25"/>
        <v>4315</v>
      </c>
    </row>
    <row r="94" spans="1:29">
      <c r="B94" s="501" t="str">
        <f>+'q15'!$A$18</f>
        <v>Porto</v>
      </c>
      <c r="C94" s="499">
        <f>+'q15'!$B$18</f>
        <v>460333</v>
      </c>
      <c r="D94" s="499">
        <f>+'q15'!$C$18</f>
        <v>477642</v>
      </c>
      <c r="E94" s="499">
        <f>+'q15'!$D$18</f>
        <v>498411</v>
      </c>
      <c r="F94" s="499">
        <f>+'q15'!$E$18</f>
        <v>517250</v>
      </c>
      <c r="G94" s="499">
        <f>+'q15'!$F$18</f>
        <v>546130</v>
      </c>
      <c r="H94" s="499">
        <f>+'q15'!$G$18</f>
        <v>558004</v>
      </c>
      <c r="I94" s="499">
        <f>+'q15'!$H$18</f>
        <v>572263</v>
      </c>
      <c r="J94" s="499">
        <f>+'q15'!$I$18</f>
        <v>564899</v>
      </c>
      <c r="K94" s="499">
        <f>+'q15'!$J$18</f>
        <v>569083</v>
      </c>
      <c r="L94" s="499">
        <f>+'q15'!$K$18</f>
        <v>611659</v>
      </c>
      <c r="M94" s="499">
        <f>+'q15'!$L$18</f>
        <v>638591</v>
      </c>
      <c r="N94" s="499">
        <f t="shared" si="25"/>
        <v>178258</v>
      </c>
    </row>
    <row r="95" spans="1:29">
      <c r="B95" s="501" t="str">
        <f>+'q15'!$A$19</f>
        <v>Santarém</v>
      </c>
      <c r="C95" s="499">
        <f>+'q15'!$B$19</f>
        <v>88785</v>
      </c>
      <c r="D95" s="499">
        <f>+'q15'!$C$19</f>
        <v>90076</v>
      </c>
      <c r="E95" s="499">
        <f>+'q15'!$D$19</f>
        <v>92191</v>
      </c>
      <c r="F95" s="499">
        <f>+'q15'!$E$19</f>
        <v>93792</v>
      </c>
      <c r="G95" s="499">
        <f>+'q15'!$F$19</f>
        <v>97412</v>
      </c>
      <c r="H95" s="499">
        <f>+'q15'!$G$19</f>
        <v>100090</v>
      </c>
      <c r="I95" s="499">
        <f>+'q15'!$H$19</f>
        <v>102585</v>
      </c>
      <c r="J95" s="499">
        <f>+'q15'!$I$19</f>
        <v>103403</v>
      </c>
      <c r="K95" s="499">
        <f>+'q15'!$J$19</f>
        <v>102715</v>
      </c>
      <c r="L95" s="499">
        <f>+'q15'!$K$19</f>
        <v>108232</v>
      </c>
      <c r="M95" s="499">
        <f>+'q15'!$L$19</f>
        <v>112134</v>
      </c>
      <c r="N95" s="499">
        <f t="shared" si="25"/>
        <v>23349</v>
      </c>
    </row>
    <row r="96" spans="1:29">
      <c r="B96" s="501" t="str">
        <f>+'q15'!$A$20</f>
        <v>Setúbal</v>
      </c>
      <c r="C96" s="499">
        <f>+'q15'!$B$20</f>
        <v>134300</v>
      </c>
      <c r="D96" s="499">
        <f>+'q15'!$C$20</f>
        <v>135568</v>
      </c>
      <c r="E96" s="499">
        <f>+'q15'!$D$20</f>
        <v>138934</v>
      </c>
      <c r="F96" s="499">
        <f>+'q15'!$E$20</f>
        <v>143036</v>
      </c>
      <c r="G96" s="499">
        <f>+'q15'!$F$20</f>
        <v>151328</v>
      </c>
      <c r="H96" s="499">
        <f>+'q15'!$G$20</f>
        <v>160472</v>
      </c>
      <c r="I96" s="499">
        <f>+'q15'!$H$20</f>
        <v>163930</v>
      </c>
      <c r="J96" s="499">
        <f>+'q15'!$I$20</f>
        <v>164805</v>
      </c>
      <c r="K96" s="499">
        <f>+'q15'!$J$20</f>
        <v>166416</v>
      </c>
      <c r="L96" s="499">
        <f>+'q15'!$K$20</f>
        <v>178440</v>
      </c>
      <c r="M96" s="499">
        <f>+'q15'!$L$20</f>
        <v>184464</v>
      </c>
      <c r="N96" s="499">
        <f t="shared" si="25"/>
        <v>50164</v>
      </c>
    </row>
    <row r="97" spans="1:55">
      <c r="B97" s="501" t="str">
        <f>+'q15'!$A$21</f>
        <v>Viana do Castelo</v>
      </c>
      <c r="C97" s="499">
        <f>+'q15'!$B$21</f>
        <v>48873</v>
      </c>
      <c r="D97" s="499">
        <f>+'q15'!$C$21</f>
        <v>50225</v>
      </c>
      <c r="E97" s="499">
        <f>+'q15'!$D$21</f>
        <v>52609</v>
      </c>
      <c r="F97" s="499">
        <f>+'q15'!$E$21</f>
        <v>52622</v>
      </c>
      <c r="G97" s="499">
        <f>+'q15'!$F$21</f>
        <v>55356</v>
      </c>
      <c r="H97" s="499">
        <f>+'q15'!$G$21</f>
        <v>58686</v>
      </c>
      <c r="I97" s="499">
        <f>+'q15'!$H$21</f>
        <v>59295</v>
      </c>
      <c r="J97" s="499">
        <f>+'q15'!$I$21</f>
        <v>60629</v>
      </c>
      <c r="K97" s="499">
        <f>+'q15'!$J$21</f>
        <v>60893</v>
      </c>
      <c r="L97" s="499">
        <f>+'q15'!$K$21</f>
        <v>64187</v>
      </c>
      <c r="M97" s="499">
        <f>+'q15'!$L$21</f>
        <v>68117</v>
      </c>
      <c r="N97" s="499">
        <f t="shared" si="25"/>
        <v>19244</v>
      </c>
    </row>
    <row r="98" spans="1:55">
      <c r="B98" s="501" t="str">
        <f>+'q15'!$A$22</f>
        <v>Vila Real</v>
      </c>
      <c r="C98" s="499">
        <f>+'q15'!$B$22</f>
        <v>28520</v>
      </c>
      <c r="D98" s="499">
        <f>+'q15'!$C$22</f>
        <v>28912</v>
      </c>
      <c r="E98" s="499">
        <f>+'q15'!$D$22</f>
        <v>30088</v>
      </c>
      <c r="F98" s="499">
        <f>+'q15'!$E$22</f>
        <v>30474</v>
      </c>
      <c r="G98" s="499">
        <f>+'q15'!$F$22</f>
        <v>32127</v>
      </c>
      <c r="H98" s="499">
        <f>+'q15'!$G$22</f>
        <v>33024</v>
      </c>
      <c r="I98" s="499">
        <f>+'q15'!$H$22</f>
        <v>33808</v>
      </c>
      <c r="J98" s="499">
        <f>+'q15'!$I$22</f>
        <v>33688</v>
      </c>
      <c r="K98" s="499">
        <f>+'q15'!$J$22</f>
        <v>34125</v>
      </c>
      <c r="L98" s="499">
        <f>+'q15'!$K$22</f>
        <v>35875</v>
      </c>
      <c r="M98" s="499">
        <f>+'q15'!$L$22</f>
        <v>37526</v>
      </c>
      <c r="N98" s="499">
        <f t="shared" si="25"/>
        <v>9006</v>
      </c>
    </row>
    <row r="99" spans="1:55">
      <c r="B99" s="501" t="str">
        <f>+'q15'!$A$23</f>
        <v>Viseu</v>
      </c>
      <c r="C99" s="499">
        <f>+'q15'!$B$23</f>
        <v>67692</v>
      </c>
      <c r="D99" s="499">
        <f>+'q15'!$C$23</f>
        <v>69006</v>
      </c>
      <c r="E99" s="499">
        <f>+'q15'!$D$23</f>
        <v>71421</v>
      </c>
      <c r="F99" s="499">
        <f>+'q15'!$E$23</f>
        <v>74659</v>
      </c>
      <c r="G99" s="499">
        <f>+'q15'!$F$23</f>
        <v>78428</v>
      </c>
      <c r="H99" s="499">
        <f>+'q15'!$G$23</f>
        <v>81948</v>
      </c>
      <c r="I99" s="499">
        <f>+'q15'!$H$23</f>
        <v>84583</v>
      </c>
      <c r="J99" s="499">
        <f>+'q15'!$I$23</f>
        <v>85158</v>
      </c>
      <c r="K99" s="499">
        <f>+'q15'!$J$23</f>
        <v>85989</v>
      </c>
      <c r="L99" s="499">
        <f>+'q15'!$K$23</f>
        <v>92990</v>
      </c>
      <c r="M99" s="499">
        <f>+'q15'!$L$23</f>
        <v>97106</v>
      </c>
      <c r="N99" s="499">
        <f t="shared" si="25"/>
        <v>29414</v>
      </c>
    </row>
    <row r="100" spans="1:55">
      <c r="B100" s="501" t="s">
        <v>14</v>
      </c>
      <c r="C100" s="499">
        <f>+'q15'!$B$5</f>
        <v>2384121</v>
      </c>
      <c r="D100" s="499">
        <f>+'q15'!$C$5</f>
        <v>2458163</v>
      </c>
      <c r="E100" s="499">
        <f>+'q15'!$D$5</f>
        <v>2537653</v>
      </c>
      <c r="F100" s="499">
        <f>+'q15'!$E$5</f>
        <v>2641919</v>
      </c>
      <c r="G100" s="499">
        <f>+'q15'!$F$5</f>
        <v>2767521</v>
      </c>
      <c r="H100" s="499">
        <f>+'q15'!$G$5</f>
        <v>2877918</v>
      </c>
      <c r="I100" s="499">
        <f>+'q15'!$H$5</f>
        <v>2930482</v>
      </c>
      <c r="J100" s="499">
        <f>+'q15'!$I$5</f>
        <v>2902825</v>
      </c>
      <c r="K100" s="499">
        <f>+'q15'!$J$5</f>
        <v>2922343</v>
      </c>
      <c r="L100" s="499">
        <f>+'q15'!$K$5</f>
        <v>3148147</v>
      </c>
      <c r="M100" s="499">
        <f>+'q15'!$L$5</f>
        <v>3296134</v>
      </c>
      <c r="N100" s="499">
        <f t="shared" si="25"/>
        <v>912013</v>
      </c>
      <c r="S100" s="499" t="str">
        <f>INDEX($A$2:$A$19,$Q$2)</f>
        <v>Lisboa</v>
      </c>
    </row>
    <row r="101" spans="1:55" ht="13.5" thickBot="1">
      <c r="A101" s="501" t="s">
        <v>290</v>
      </c>
      <c r="C101" s="503">
        <f>+'q24'!$B$4</f>
        <v>2013</v>
      </c>
      <c r="D101" s="503">
        <f>+'q24'!$C$4</f>
        <v>2014</v>
      </c>
      <c r="E101" s="503">
        <f>+'q24'!$D$4</f>
        <v>2015</v>
      </c>
      <c r="F101" s="503">
        <f>+'q24'!$E$4</f>
        <v>2016</v>
      </c>
      <c r="G101" s="503">
        <f>+'q24'!$F$4</f>
        <v>2017</v>
      </c>
      <c r="H101" s="503">
        <f>+'q24'!$G$4</f>
        <v>2018</v>
      </c>
      <c r="I101" s="503">
        <f>+'q24'!$H$4</f>
        <v>2019</v>
      </c>
      <c r="J101" s="503">
        <f>+'q24'!$I$4</f>
        <v>2020</v>
      </c>
      <c r="K101" s="503">
        <f>+'q24'!$J$4</f>
        <v>2021</v>
      </c>
      <c r="L101" s="503">
        <f>+'q24'!$K$4</f>
        <v>2022</v>
      </c>
      <c r="M101" s="503">
        <f>+'q24'!$L$4</f>
        <v>2023</v>
      </c>
      <c r="N101" s="499">
        <f t="shared" si="25"/>
        <v>10</v>
      </c>
      <c r="T101" s="6">
        <f>+'q24'!B$4</f>
        <v>2013</v>
      </c>
      <c r="U101" s="6">
        <f>+'q24'!C$4</f>
        <v>2014</v>
      </c>
      <c r="V101" s="6">
        <f>+'q24'!D$4</f>
        <v>2015</v>
      </c>
      <c r="W101" s="6">
        <f>+'q24'!E$4</f>
        <v>2016</v>
      </c>
      <c r="X101" s="6">
        <f>+'q24'!F$4</f>
        <v>2017</v>
      </c>
      <c r="Y101" s="6">
        <f>+'q24'!G$4</f>
        <v>2018</v>
      </c>
      <c r="Z101" s="6">
        <f>+'q24'!H$4</f>
        <v>2019</v>
      </c>
      <c r="AA101" s="6">
        <f>+'q24'!I$4</f>
        <v>2020</v>
      </c>
      <c r="AB101" s="6">
        <f>+'q24'!J$4</f>
        <v>2021</v>
      </c>
      <c r="AC101" s="6">
        <f>+'q24'!K$4</f>
        <v>2022</v>
      </c>
      <c r="AD101" s="6">
        <f>+'q24'!L$4</f>
        <v>2023</v>
      </c>
      <c r="AF101" s="464" t="s">
        <v>848</v>
      </c>
      <c r="AG101" s="464" t="s">
        <v>849</v>
      </c>
      <c r="BC101" s="557"/>
    </row>
    <row r="102" spans="1:55" ht="13.5" thickTop="1">
      <c r="B102" s="501" t="str">
        <f>+'q24'!$A$6</f>
        <v>Aveiro</v>
      </c>
      <c r="C102" s="504">
        <f>+'q24'!$B$6</f>
        <v>814.32</v>
      </c>
      <c r="D102" s="504">
        <f>+'q24'!$C$6</f>
        <v>822.65</v>
      </c>
      <c r="E102" s="504">
        <f>+'q24'!$D$6</f>
        <v>833.48</v>
      </c>
      <c r="F102" s="504">
        <f>+'q24'!$E$6</f>
        <v>848.25</v>
      </c>
      <c r="G102" s="504">
        <f>+'q24'!$F$6</f>
        <v>866.17</v>
      </c>
      <c r="H102" s="504">
        <f>+'q24'!$G$6</f>
        <v>898.45</v>
      </c>
      <c r="I102" s="504">
        <f>+'q24'!$H$6</f>
        <v>933.57</v>
      </c>
      <c r="J102" s="504">
        <f>+'q24'!$I$6</f>
        <v>962.64</v>
      </c>
      <c r="K102" s="504">
        <f>+'q24'!$J$6</f>
        <v>993.48</v>
      </c>
      <c r="L102" s="504">
        <f>+'q24'!$K$6</f>
        <v>1052.8</v>
      </c>
      <c r="M102" s="504">
        <f>+'q24'!$L$6</f>
        <v>1126.52</v>
      </c>
      <c r="N102" s="499">
        <f t="shared" si="25"/>
        <v>312.19999999999993</v>
      </c>
      <c r="S102" s="468" t="s">
        <v>296</v>
      </c>
      <c r="T102" s="505">
        <f t="shared" ref="T102:AD102" si="26">VLOOKUP($S$100,$B$101:$M$119,COLUMN(C102)-1,0)</f>
        <v>1160.8699999999999</v>
      </c>
      <c r="U102" s="505">
        <f t="shared" si="26"/>
        <v>1150.47</v>
      </c>
      <c r="V102" s="505">
        <f t="shared" si="26"/>
        <v>1151.6400000000001</v>
      </c>
      <c r="W102" s="505">
        <f t="shared" si="26"/>
        <v>1155.93</v>
      </c>
      <c r="X102" s="505">
        <f t="shared" si="26"/>
        <v>1171.8800000000001</v>
      </c>
      <c r="Y102" s="505">
        <f t="shared" si="26"/>
        <v>1194.22</v>
      </c>
      <c r="Z102" s="505">
        <f t="shared" si="26"/>
        <v>1230.1300000000001</v>
      </c>
      <c r="AA102" s="505">
        <f t="shared" si="26"/>
        <v>1266.69</v>
      </c>
      <c r="AB102" s="505">
        <f t="shared" si="26"/>
        <v>1312.07</v>
      </c>
      <c r="AC102" s="505">
        <f t="shared" si="26"/>
        <v>1388.37</v>
      </c>
      <c r="AD102" s="505">
        <f t="shared" si="26"/>
        <v>1474.84</v>
      </c>
      <c r="AE102" s="511" t="str">
        <f>TEXT(AD102,"##.###,0")</f>
        <v>1.474,8</v>
      </c>
      <c r="AF102" s="470">
        <f>+(AD102/AC102-1)</f>
        <v>6.2281668431325876E-2</v>
      </c>
      <c r="AG102" s="470">
        <f>+(AD102/T102-1)</f>
        <v>0.27046094739290361</v>
      </c>
      <c r="AH102" s="522">
        <f>+AD102-T102</f>
        <v>313.97000000000003</v>
      </c>
      <c r="AI102" s="499" t="str">
        <f>IF(AH102&gt;0,", +",", -")</f>
        <v>, +</v>
      </c>
      <c r="AJ102" s="514">
        <f>IF(AH102&gt;0,AH102,AH102*-1)</f>
        <v>313.97000000000003</v>
      </c>
      <c r="BC102" s="557"/>
    </row>
    <row r="103" spans="1:55">
      <c r="B103" s="501" t="str">
        <f>+'q24'!$A$7</f>
        <v>Beja</v>
      </c>
      <c r="C103" s="504">
        <f>+'q24'!$B$7</f>
        <v>768.29</v>
      </c>
      <c r="D103" s="504">
        <f>+'q24'!$C$7</f>
        <v>766.65</v>
      </c>
      <c r="E103" s="504">
        <f>+'q24'!$D$7</f>
        <v>771.56</v>
      </c>
      <c r="F103" s="504">
        <f>+'q24'!$E$7</f>
        <v>774.75</v>
      </c>
      <c r="G103" s="504">
        <f>+'q24'!$F$7</f>
        <v>798.43</v>
      </c>
      <c r="H103" s="504">
        <f>+'q24'!$G$7</f>
        <v>825.41</v>
      </c>
      <c r="I103" s="504">
        <f>+'q24'!$H$7</f>
        <v>846.78</v>
      </c>
      <c r="J103" s="504">
        <f>+'q24'!$I$7</f>
        <v>870.72</v>
      </c>
      <c r="K103" s="504">
        <f>+'q24'!$J$7</f>
        <v>905.26</v>
      </c>
      <c r="L103" s="504">
        <f>+'q24'!$K$7</f>
        <v>947.74</v>
      </c>
      <c r="M103" s="504">
        <f>+'q24'!$L$7</f>
        <v>1003.83</v>
      </c>
      <c r="N103" s="499">
        <f t="shared" si="25"/>
        <v>235.54000000000008</v>
      </c>
      <c r="S103" s="468" t="s">
        <v>297</v>
      </c>
      <c r="T103" s="506">
        <f t="shared" ref="T103:AD103" si="27">VLOOKUP($S$100,$B$121:$M$139,COLUMN(C122)-1,0)</f>
        <v>1399.09</v>
      </c>
      <c r="U103" s="506">
        <f t="shared" si="27"/>
        <v>1392.42</v>
      </c>
      <c r="V103" s="506">
        <f t="shared" si="27"/>
        <v>1391.17</v>
      </c>
      <c r="W103" s="506">
        <f t="shared" si="27"/>
        <v>1395.75</v>
      </c>
      <c r="X103" s="506">
        <f t="shared" si="27"/>
        <v>1416.56</v>
      </c>
      <c r="Y103" s="506">
        <f t="shared" si="27"/>
        <v>1449.43</v>
      </c>
      <c r="Z103" s="506">
        <f t="shared" si="27"/>
        <v>1487.75</v>
      </c>
      <c r="AA103" s="506">
        <f t="shared" si="27"/>
        <v>1526.77</v>
      </c>
      <c r="AB103" s="506">
        <f t="shared" si="27"/>
        <v>1576.15</v>
      </c>
      <c r="AC103" s="506">
        <f t="shared" si="27"/>
        <v>1668.92</v>
      </c>
      <c r="AD103" s="506">
        <f t="shared" si="27"/>
        <v>1779.36</v>
      </c>
      <c r="AE103" s="511" t="str">
        <f>TEXT(AD103,"##.###,0")</f>
        <v>1.779,4</v>
      </c>
      <c r="AF103" s="470">
        <f>+(AD103/AC103-1)</f>
        <v>6.6174532032691635E-2</v>
      </c>
      <c r="AG103" s="470">
        <f>+(AD103/T103-1)</f>
        <v>0.27179809733469606</v>
      </c>
      <c r="AH103" s="522">
        <f>+AD103-T103</f>
        <v>380.27</v>
      </c>
      <c r="AI103" s="499" t="str">
        <f>IF(AH103&gt;0,", +",", -")</f>
        <v>, +</v>
      </c>
      <c r="AJ103" s="514">
        <f>IF(AH103&gt;0,AH103,AH103*-1)</f>
        <v>380.27</v>
      </c>
      <c r="BC103" s="557"/>
    </row>
    <row r="104" spans="1:55">
      <c r="B104" s="501" t="str">
        <f>+'q24'!$A$8</f>
        <v>Braga</v>
      </c>
      <c r="C104" s="504">
        <f>+'q24'!$B$8</f>
        <v>732.12</v>
      </c>
      <c r="D104" s="504">
        <f>+'q24'!$C$8</f>
        <v>739.18</v>
      </c>
      <c r="E104" s="504">
        <f>+'q24'!$D$8</f>
        <v>743.72</v>
      </c>
      <c r="F104" s="504">
        <f>+'q24'!$E$8</f>
        <v>761.02</v>
      </c>
      <c r="G104" s="504">
        <f>+'q24'!$F$8</f>
        <v>787.65</v>
      </c>
      <c r="H104" s="504">
        <f>+'q24'!$G$8</f>
        <v>818.11</v>
      </c>
      <c r="I104" s="504">
        <f>+'q24'!$H$8</f>
        <v>855.14</v>
      </c>
      <c r="J104" s="504">
        <f>+'q24'!$I$8</f>
        <v>897.25</v>
      </c>
      <c r="K104" s="504">
        <f>+'q24'!$J$8</f>
        <v>943.61</v>
      </c>
      <c r="L104" s="504">
        <f>+'q24'!$K$8</f>
        <v>988</v>
      </c>
      <c r="M104" s="504">
        <f>+'q24'!$L$8</f>
        <v>1059.8900000000001</v>
      </c>
      <c r="N104" s="499">
        <f t="shared" si="25"/>
        <v>327.7700000000001</v>
      </c>
      <c r="BC104" s="557"/>
    </row>
    <row r="105" spans="1:55">
      <c r="B105" s="501" t="str">
        <f>+'q24'!$A$9</f>
        <v>Bragança</v>
      </c>
      <c r="C105" s="504">
        <f>+'q24'!$B$9</f>
        <v>715.55</v>
      </c>
      <c r="D105" s="504">
        <f>+'q24'!$C$9</f>
        <v>706.01</v>
      </c>
      <c r="E105" s="504">
        <f>+'q24'!$D$9</f>
        <v>708.23</v>
      </c>
      <c r="F105" s="504">
        <f>+'q24'!$E$9</f>
        <v>726.98</v>
      </c>
      <c r="G105" s="504">
        <f>+'q24'!$F$9</f>
        <v>745.83</v>
      </c>
      <c r="H105" s="504">
        <f>+'q24'!$G$9</f>
        <v>766.61</v>
      </c>
      <c r="I105" s="504">
        <f>+'q24'!$H$9</f>
        <v>793.8</v>
      </c>
      <c r="J105" s="504">
        <f>+'q24'!$I$9</f>
        <v>827.36</v>
      </c>
      <c r="K105" s="504">
        <f>+'q24'!$J$9</f>
        <v>858.77</v>
      </c>
      <c r="L105" s="504">
        <f>+'q24'!$K$9</f>
        <v>892.75</v>
      </c>
      <c r="M105" s="504">
        <f>+'q24'!$L$9</f>
        <v>958.36</v>
      </c>
      <c r="N105" s="499">
        <f t="shared" si="25"/>
        <v>242.81000000000006</v>
      </c>
      <c r="AG105" s="525">
        <f>+(AD102/T102-1)*100</f>
        <v>27.046094739290361</v>
      </c>
      <c r="BC105" s="557"/>
    </row>
    <row r="106" spans="1:55">
      <c r="B106" s="501" t="str">
        <f>+'q24'!$A$10</f>
        <v>Castelo Branco</v>
      </c>
      <c r="C106" s="504">
        <f>+'q24'!$B$10</f>
        <v>714.42</v>
      </c>
      <c r="D106" s="504">
        <f>+'q24'!$C$10</f>
        <v>720.73</v>
      </c>
      <c r="E106" s="504">
        <f>+'q24'!$D$10</f>
        <v>727.47</v>
      </c>
      <c r="F106" s="504">
        <f>+'q24'!$E$10</f>
        <v>746.22</v>
      </c>
      <c r="G106" s="504">
        <f>+'q24'!$F$10</f>
        <v>764.32</v>
      </c>
      <c r="H106" s="504">
        <f>+'q24'!$G$10</f>
        <v>784.68</v>
      </c>
      <c r="I106" s="504">
        <f>+'q24'!$H$10</f>
        <v>816.49</v>
      </c>
      <c r="J106" s="504">
        <f>+'q24'!$I$10</f>
        <v>854.55</v>
      </c>
      <c r="K106" s="504">
        <f>+'q24'!$J$10</f>
        <v>893.36</v>
      </c>
      <c r="L106" s="504">
        <f>+'q24'!$K$10</f>
        <v>932.85</v>
      </c>
      <c r="M106" s="504">
        <f>+'q24'!$L$10</f>
        <v>991.05</v>
      </c>
      <c r="N106" s="499">
        <f t="shared" si="25"/>
        <v>276.63</v>
      </c>
      <c r="AA106" s="521" t="s">
        <v>313</v>
      </c>
      <c r="AG106" s="525">
        <f>+(AD103/T103-1)*100</f>
        <v>27.179809733469607</v>
      </c>
      <c r="BC106" s="557"/>
    </row>
    <row r="107" spans="1:55">
      <c r="B107" s="501" t="str">
        <f>+'q24'!$A$11</f>
        <v>Coimbra</v>
      </c>
      <c r="C107" s="504">
        <f>+'q24'!$B$11</f>
        <v>816.65</v>
      </c>
      <c r="D107" s="504">
        <f>+'q24'!$C$11</f>
        <v>802.91</v>
      </c>
      <c r="E107" s="504">
        <f>+'q24'!$D$11</f>
        <v>802.08</v>
      </c>
      <c r="F107" s="504">
        <f>+'q24'!$E$11</f>
        <v>816.41</v>
      </c>
      <c r="G107" s="504">
        <f>+'q24'!$F$11</f>
        <v>834.25</v>
      </c>
      <c r="H107" s="504">
        <f>+'q24'!$G$11</f>
        <v>862.98</v>
      </c>
      <c r="I107" s="504">
        <f>+'q24'!$H$11</f>
        <v>896.42</v>
      </c>
      <c r="J107" s="504">
        <f>+'q24'!$I$11</f>
        <v>924.4</v>
      </c>
      <c r="K107" s="504">
        <f>+'q24'!$J$11</f>
        <v>969.39</v>
      </c>
      <c r="L107" s="504">
        <f>+'q24'!$K$11</f>
        <v>1016.07</v>
      </c>
      <c r="M107" s="504">
        <f>+'q24'!$L$11</f>
        <v>1085.1500000000001</v>
      </c>
      <c r="N107" s="499">
        <f t="shared" si="25"/>
        <v>268.50000000000011</v>
      </c>
      <c r="BC107" s="557"/>
    </row>
    <row r="108" spans="1:55">
      <c r="B108" s="501" t="str">
        <f>+'q24'!$A$12</f>
        <v>Évora</v>
      </c>
      <c r="C108" s="504">
        <f>+'q24'!$B$12</f>
        <v>789.17</v>
      </c>
      <c r="D108" s="504">
        <f>+'q24'!$C$12</f>
        <v>791.91</v>
      </c>
      <c r="E108" s="504">
        <f>+'q24'!$D$12</f>
        <v>796.55</v>
      </c>
      <c r="F108" s="504">
        <f>+'q24'!$E$12</f>
        <v>804.02</v>
      </c>
      <c r="G108" s="504">
        <f>+'q24'!$F$12</f>
        <v>819.6</v>
      </c>
      <c r="H108" s="504">
        <f>+'q24'!$G$12</f>
        <v>839.16</v>
      </c>
      <c r="I108" s="504">
        <f>+'q24'!$H$12</f>
        <v>861.13</v>
      </c>
      <c r="J108" s="504">
        <f>+'q24'!$I$12</f>
        <v>898.01</v>
      </c>
      <c r="K108" s="504">
        <f>+'q24'!$J$12</f>
        <v>931.83</v>
      </c>
      <c r="L108" s="504">
        <f>+'q24'!$K$12</f>
        <v>984.11</v>
      </c>
      <c r="M108" s="504">
        <f>+'q24'!$L$12</f>
        <v>1049.8499999999999</v>
      </c>
      <c r="N108" s="499">
        <f t="shared" si="25"/>
        <v>260.67999999999995</v>
      </c>
      <c r="AA108" s="499">
        <f>+AD101</f>
        <v>2023</v>
      </c>
      <c r="AB108" s="499" t="s">
        <v>443</v>
      </c>
      <c r="AC108" s="499" t="s">
        <v>452</v>
      </c>
      <c r="BC108" s="557"/>
    </row>
    <row r="109" spans="1:55" ht="12.75" customHeight="1">
      <c r="B109" s="501" t="str">
        <f>+'q24'!$A$13</f>
        <v>Faro</v>
      </c>
      <c r="C109" s="504">
        <f>+'q24'!$B$13</f>
        <v>785.87</v>
      </c>
      <c r="D109" s="504">
        <f>+'q24'!$C$13</f>
        <v>780.52</v>
      </c>
      <c r="E109" s="504">
        <f>+'q24'!$D$13</f>
        <v>781.12</v>
      </c>
      <c r="F109" s="504">
        <f>+'q24'!$E$13</f>
        <v>793.76</v>
      </c>
      <c r="G109" s="504">
        <f>+'q24'!$F$13</f>
        <v>810.99</v>
      </c>
      <c r="H109" s="504">
        <f>+'q24'!$G$13</f>
        <v>836.09</v>
      </c>
      <c r="I109" s="504">
        <f>+'q24'!$H$13</f>
        <v>861.15</v>
      </c>
      <c r="J109" s="504">
        <f>+'q24'!$I$13</f>
        <v>897.18</v>
      </c>
      <c r="K109" s="504">
        <f>+'q24'!$J$13</f>
        <v>928.44</v>
      </c>
      <c r="L109" s="504">
        <f>+'q24'!$K$13</f>
        <v>965.83</v>
      </c>
      <c r="M109" s="504">
        <f>+'q24'!$L$13</f>
        <v>1031.25</v>
      </c>
      <c r="N109" s="499">
        <f t="shared" si="25"/>
        <v>245.38</v>
      </c>
      <c r="AA109" s="499" t="s">
        <v>333</v>
      </c>
      <c r="AB109" s="499" t="str">
        <f>+S100</f>
        <v>Lisboa</v>
      </c>
      <c r="AE109" s="770" t="str">
        <f>CONCATENATE(AA108,AB108,CHAR(10),AC108," ",AB109,AA110,AB111,AA112,AB112,AB113,AA114,AB115," ",AB116,AA117,AC117,AB118,AA119,AB120,AA121,AB122," ",AB123,AA124,AC124)</f>
        <v>2023:
No distrito de Lisboa a remuneração média mensal base era de 1.474,8 euros (variação de 27% face a 2013, ou seja, + 314,0 euros) e de 1.779,4 euros a remuneração média mensal ganho (variação de 27,2% face a 2013, ou seja, + 380,3 euros).</v>
      </c>
      <c r="AF109" s="770"/>
      <c r="AG109" s="770"/>
      <c r="AH109" s="770"/>
      <c r="AI109" s="770"/>
      <c r="BC109" s="557"/>
    </row>
    <row r="110" spans="1:55">
      <c r="B110" s="501" t="str">
        <f>+'q24'!$A$14</f>
        <v>Guarda</v>
      </c>
      <c r="C110" s="504">
        <f>+'q24'!$B$14</f>
        <v>689.49</v>
      </c>
      <c r="D110" s="504">
        <f>+'q24'!$C$14</f>
        <v>700.01</v>
      </c>
      <c r="E110" s="504">
        <f>+'q24'!$D$14</f>
        <v>704.55</v>
      </c>
      <c r="F110" s="504">
        <f>+'q24'!$E$14</f>
        <v>721.53</v>
      </c>
      <c r="G110" s="504">
        <f>+'q24'!$F$14</f>
        <v>744.13</v>
      </c>
      <c r="H110" s="504">
        <f>+'q24'!$G$14</f>
        <v>769.55</v>
      </c>
      <c r="I110" s="504">
        <f>+'q24'!$H$14</f>
        <v>795.04</v>
      </c>
      <c r="J110" s="504">
        <f>+'q24'!$I$14</f>
        <v>827</v>
      </c>
      <c r="K110" s="504">
        <f>+'q24'!$J$14</f>
        <v>864.42</v>
      </c>
      <c r="L110" s="504">
        <f>+'q24'!$K$14</f>
        <v>905.21</v>
      </c>
      <c r="M110" s="504">
        <f>+'q24'!$L$14</f>
        <v>966.87</v>
      </c>
      <c r="N110" s="499">
        <f t="shared" si="25"/>
        <v>277.38</v>
      </c>
      <c r="AA110" s="499" t="s">
        <v>338</v>
      </c>
      <c r="AE110" s="770"/>
      <c r="AF110" s="770"/>
      <c r="AG110" s="770"/>
      <c r="AH110" s="770"/>
      <c r="AI110" s="770"/>
      <c r="BC110" s="557"/>
    </row>
    <row r="111" spans="1:55">
      <c r="B111" s="501" t="str">
        <f>+'q24'!$A$15</f>
        <v>Leiria</v>
      </c>
      <c r="C111" s="504">
        <f>+'q24'!$B$15</f>
        <v>788.76</v>
      </c>
      <c r="D111" s="504">
        <f>+'q24'!$C$15</f>
        <v>794.29</v>
      </c>
      <c r="E111" s="504">
        <f>+'q24'!$D$15</f>
        <v>799.95</v>
      </c>
      <c r="F111" s="504">
        <f>+'q24'!$E$15</f>
        <v>815.1</v>
      </c>
      <c r="G111" s="504">
        <f>+'q24'!$F$15</f>
        <v>833.68</v>
      </c>
      <c r="H111" s="504">
        <f>+'q24'!$G$15</f>
        <v>861.02</v>
      </c>
      <c r="I111" s="504">
        <f>+'q24'!$H$15</f>
        <v>887.38</v>
      </c>
      <c r="J111" s="504">
        <f>+'q24'!$I$15</f>
        <v>918.08</v>
      </c>
      <c r="K111" s="504">
        <f>+'q24'!$J$15</f>
        <v>961.21</v>
      </c>
      <c r="L111" s="504">
        <f>+'q24'!$K$15</f>
        <v>1007.35</v>
      </c>
      <c r="M111" s="504">
        <f>+'q24'!$L$15</f>
        <v>1070.77</v>
      </c>
      <c r="N111" s="499">
        <f t="shared" si="25"/>
        <v>282.01</v>
      </c>
      <c r="AA111" s="499" t="s">
        <v>332</v>
      </c>
      <c r="AB111" s="527" t="str">
        <f>+AE102</f>
        <v>1.474,8</v>
      </c>
      <c r="AE111" s="770"/>
      <c r="AF111" s="770"/>
      <c r="AG111" s="770"/>
      <c r="AH111" s="770"/>
      <c r="AI111" s="770"/>
      <c r="BC111" s="557"/>
    </row>
    <row r="112" spans="1:55">
      <c r="B112" s="501" t="str">
        <f>+'q24'!$A$16</f>
        <v>Lisboa</v>
      </c>
      <c r="C112" s="504">
        <f>+'q24'!$B$16</f>
        <v>1160.8699999999999</v>
      </c>
      <c r="D112" s="504">
        <f>+'q24'!$C$16</f>
        <v>1150.47</v>
      </c>
      <c r="E112" s="504">
        <f>+'q24'!$D$16</f>
        <v>1151.6400000000001</v>
      </c>
      <c r="F112" s="504">
        <f>+'q24'!$E$16</f>
        <v>1155.93</v>
      </c>
      <c r="G112" s="504">
        <f>+'q24'!$F$16</f>
        <v>1171.8800000000001</v>
      </c>
      <c r="H112" s="504">
        <f>+'q24'!$G$16</f>
        <v>1194.22</v>
      </c>
      <c r="I112" s="504">
        <f>+'q24'!$H$16</f>
        <v>1230.1300000000001</v>
      </c>
      <c r="J112" s="504">
        <f>+'q24'!$I$16</f>
        <v>1266.69</v>
      </c>
      <c r="K112" s="504">
        <f>+'q24'!$J$16</f>
        <v>1312.07</v>
      </c>
      <c r="L112" s="504">
        <f>+'q24'!$K$16</f>
        <v>1388.37</v>
      </c>
      <c r="M112" s="504">
        <f>+'q24'!$L$16</f>
        <v>1474.84</v>
      </c>
      <c r="N112" s="499">
        <f t="shared" si="25"/>
        <v>313.97000000000003</v>
      </c>
      <c r="AA112" s="499" t="s">
        <v>334</v>
      </c>
      <c r="AB112" s="499" t="s">
        <v>850</v>
      </c>
      <c r="AE112" s="770"/>
      <c r="AF112" s="770"/>
      <c r="AG112" s="770"/>
      <c r="AH112" s="770"/>
      <c r="AI112" s="770"/>
      <c r="BC112" s="557"/>
    </row>
    <row r="113" spans="1:55">
      <c r="B113" s="501" t="str">
        <f>+'q24'!$A$17</f>
        <v>Portalegre</v>
      </c>
      <c r="C113" s="504">
        <f>+'q24'!$B$17</f>
        <v>750.15</v>
      </c>
      <c r="D113" s="504">
        <f>+'q24'!$C$17</f>
        <v>754.22</v>
      </c>
      <c r="E113" s="504">
        <f>+'q24'!$D$17</f>
        <v>755.71</v>
      </c>
      <c r="F113" s="504">
        <f>+'q24'!$E$17</f>
        <v>767.83</v>
      </c>
      <c r="G113" s="504">
        <f>+'q24'!$F$17</f>
        <v>783.59</v>
      </c>
      <c r="H113" s="504">
        <f>+'q24'!$G$17</f>
        <v>805.96</v>
      </c>
      <c r="I113" s="504">
        <f>+'q24'!$H$17</f>
        <v>828.76</v>
      </c>
      <c r="J113" s="504">
        <f>+'q24'!$I$17</f>
        <v>863.38</v>
      </c>
      <c r="K113" s="504">
        <f>+'q24'!$J$17</f>
        <v>899.36</v>
      </c>
      <c r="L113" s="504">
        <f>+'q24'!$K$17</f>
        <v>939.13</v>
      </c>
      <c r="M113" s="504">
        <f>+'q24'!$L$17</f>
        <v>990.36</v>
      </c>
      <c r="N113" s="499">
        <f t="shared" si="25"/>
        <v>240.21000000000004</v>
      </c>
      <c r="AA113" s="499" t="s">
        <v>335</v>
      </c>
      <c r="AB113" s="525">
        <f>ROUND(AG105,1)</f>
        <v>27</v>
      </c>
      <c r="AE113" s="770"/>
      <c r="AF113" s="770"/>
      <c r="AG113" s="770"/>
      <c r="AH113" s="770"/>
      <c r="AI113" s="770"/>
      <c r="BC113" s="557"/>
    </row>
    <row r="114" spans="1:55">
      <c r="B114" s="501" t="str">
        <f>+'q24'!$A$18</f>
        <v>Porto</v>
      </c>
      <c r="C114" s="504">
        <f>+'q24'!$B$18</f>
        <v>870.78</v>
      </c>
      <c r="D114" s="504">
        <f>+'q24'!$C$18</f>
        <v>870.08</v>
      </c>
      <c r="E114" s="504">
        <f>+'q24'!$D$18</f>
        <v>879.09</v>
      </c>
      <c r="F114" s="504">
        <f>+'q24'!$E$18</f>
        <v>891.71</v>
      </c>
      <c r="G114" s="504">
        <f>+'q24'!$F$18</f>
        <v>908.25</v>
      </c>
      <c r="H114" s="504">
        <f>+'q24'!$G$18</f>
        <v>944.92</v>
      </c>
      <c r="I114" s="504">
        <f>+'q24'!$H$18</f>
        <v>983.5</v>
      </c>
      <c r="J114" s="504">
        <f>+'q24'!$I$18</f>
        <v>1030.3399999999999</v>
      </c>
      <c r="K114" s="504">
        <f>+'q24'!$J$18</f>
        <v>1072.1600000000001</v>
      </c>
      <c r="L114" s="504">
        <f>+'q24'!$K$18</f>
        <v>1135.73</v>
      </c>
      <c r="M114" s="504">
        <f>+'q24'!$L$18</f>
        <v>1212.5</v>
      </c>
      <c r="N114" s="499">
        <f t="shared" si="25"/>
        <v>341.72</v>
      </c>
      <c r="AA114" s="499" t="s">
        <v>854</v>
      </c>
      <c r="AE114" s="770"/>
      <c r="AF114" s="770"/>
      <c r="AG114" s="770"/>
      <c r="AH114" s="770"/>
      <c r="AI114" s="770"/>
      <c r="BC114" s="557"/>
    </row>
    <row r="115" spans="1:55">
      <c r="B115" s="501" t="str">
        <f>+'q24'!$A$19</f>
        <v>Santarém</v>
      </c>
      <c r="C115" s="504">
        <f>+'q24'!$B$19</f>
        <v>783.97</v>
      </c>
      <c r="D115" s="504">
        <f>+'q24'!$C$19</f>
        <v>786.64</v>
      </c>
      <c r="E115" s="504">
        <f>+'q24'!$D$19</f>
        <v>793.64</v>
      </c>
      <c r="F115" s="504">
        <f>+'q24'!$E$19</f>
        <v>799.15</v>
      </c>
      <c r="G115" s="504">
        <f>+'q24'!$F$19</f>
        <v>823.03</v>
      </c>
      <c r="H115" s="504">
        <f>+'q24'!$G$19</f>
        <v>842.95</v>
      </c>
      <c r="I115" s="504">
        <f>+'q24'!$H$19</f>
        <v>867.34</v>
      </c>
      <c r="J115" s="504">
        <f>+'q24'!$I$19</f>
        <v>899.19</v>
      </c>
      <c r="K115" s="504">
        <f>+'q24'!$J$19</f>
        <v>933.03</v>
      </c>
      <c r="L115" s="504">
        <f>+'q24'!$K$19</f>
        <v>975.12</v>
      </c>
      <c r="M115" s="504">
        <f>+'q24'!$L$19</f>
        <v>1038.8499999999999</v>
      </c>
      <c r="N115" s="499">
        <f t="shared" si="25"/>
        <v>254.87999999999988</v>
      </c>
      <c r="AA115" s="499" t="s">
        <v>336</v>
      </c>
      <c r="AB115" s="499" t="str">
        <f>+AI102</f>
        <v>, +</v>
      </c>
      <c r="BC115" s="557"/>
    </row>
    <row r="116" spans="1:55">
      <c r="B116" s="501" t="str">
        <f>+'q24'!$A$20</f>
        <v>Setúbal</v>
      </c>
      <c r="C116" s="504">
        <f>+'q24'!$B$20</f>
        <v>951.48</v>
      </c>
      <c r="D116" s="504">
        <f>+'q24'!$C$20</f>
        <v>945.37</v>
      </c>
      <c r="E116" s="504">
        <f>+'q24'!$D$20</f>
        <v>958.98</v>
      </c>
      <c r="F116" s="504">
        <f>+'q24'!$E$20</f>
        <v>979.51</v>
      </c>
      <c r="G116" s="504">
        <f>+'q24'!$F$20</f>
        <v>989.54</v>
      </c>
      <c r="H116" s="504">
        <f>+'q24'!$G$20</f>
        <v>1000.04</v>
      </c>
      <c r="I116" s="504">
        <f>+'q24'!$H$20</f>
        <v>1024.46</v>
      </c>
      <c r="J116" s="504">
        <f>+'q24'!$I$20</f>
        <v>1059.24</v>
      </c>
      <c r="K116" s="504">
        <f>+'q24'!$J$20</f>
        <v>1079.74</v>
      </c>
      <c r="L116" s="504">
        <f>+'q24'!$K$20</f>
        <v>1127.3900000000001</v>
      </c>
      <c r="M116" s="504">
        <f>+'q24'!$L$20</f>
        <v>1192.6099999999999</v>
      </c>
      <c r="N116" s="499">
        <f t="shared" si="25"/>
        <v>241.12999999999988</v>
      </c>
      <c r="AA116" s="499" t="s">
        <v>337</v>
      </c>
      <c r="AB116" s="522" t="str">
        <f>TEXT(AJ102,"##.###,0")</f>
        <v>314,0</v>
      </c>
      <c r="BC116" s="557"/>
    </row>
    <row r="117" spans="1:55">
      <c r="B117" s="501" t="str">
        <f>+'q24'!$A$21</f>
        <v>Viana do Castelo</v>
      </c>
      <c r="C117" s="504">
        <f>+'q24'!$B$21</f>
        <v>726.57</v>
      </c>
      <c r="D117" s="504">
        <f>+'q24'!$C$21</f>
        <v>729.89</v>
      </c>
      <c r="E117" s="504">
        <f>+'q24'!$D$21</f>
        <v>741.65</v>
      </c>
      <c r="F117" s="504">
        <f>+'q24'!$E$21</f>
        <v>746.72</v>
      </c>
      <c r="G117" s="504">
        <f>+'q24'!$F$21</f>
        <v>782.27</v>
      </c>
      <c r="H117" s="504">
        <f>+'q24'!$G$21</f>
        <v>802.92</v>
      </c>
      <c r="I117" s="504">
        <f>+'q24'!$H$21</f>
        <v>834.97</v>
      </c>
      <c r="J117" s="504">
        <f>+'q24'!$I$21</f>
        <v>865.76</v>
      </c>
      <c r="K117" s="504">
        <f>+'q24'!$J$21</f>
        <v>907.38</v>
      </c>
      <c r="L117" s="504">
        <f>+'q24'!$K$21</f>
        <v>955.67</v>
      </c>
      <c r="M117" s="504">
        <f>+'q24'!$L$21</f>
        <v>1022.16</v>
      </c>
      <c r="N117" s="499">
        <f t="shared" si="25"/>
        <v>295.58999999999992</v>
      </c>
      <c r="AA117" s="499" t="s">
        <v>856</v>
      </c>
      <c r="AC117" s="499" t="s">
        <v>758</v>
      </c>
    </row>
    <row r="118" spans="1:55">
      <c r="B118" s="501" t="str">
        <f>+'q24'!$A$22</f>
        <v>Vila Real</v>
      </c>
      <c r="C118" s="504">
        <f>+'q24'!$B$22</f>
        <v>737.08</v>
      </c>
      <c r="D118" s="504">
        <f>+'q24'!$C$22</f>
        <v>740.77</v>
      </c>
      <c r="E118" s="504">
        <f>+'q24'!$D$22</f>
        <v>744.14</v>
      </c>
      <c r="F118" s="504">
        <f>+'q24'!$E$22</f>
        <v>756.43</v>
      </c>
      <c r="G118" s="504">
        <f>+'q24'!$F$22</f>
        <v>776.75</v>
      </c>
      <c r="H118" s="504">
        <f>+'q24'!$G$22</f>
        <v>799.21</v>
      </c>
      <c r="I118" s="504">
        <f>+'q24'!$H$22</f>
        <v>826.76</v>
      </c>
      <c r="J118" s="504">
        <f>+'q24'!$I$22</f>
        <v>851.92</v>
      </c>
      <c r="K118" s="504">
        <f>+'q24'!$J$22</f>
        <v>878.43</v>
      </c>
      <c r="L118" s="504">
        <f>+'q24'!$K$22</f>
        <v>927.79</v>
      </c>
      <c r="M118" s="504">
        <f>+'q24'!$L$22</f>
        <v>997.39</v>
      </c>
      <c r="N118" s="499">
        <f t="shared" si="25"/>
        <v>260.30999999999995</v>
      </c>
      <c r="AA118" s="499" t="s">
        <v>339</v>
      </c>
      <c r="AB118" s="522" t="str">
        <f>+AE103</f>
        <v>1.779,4</v>
      </c>
    </row>
    <row r="119" spans="1:55">
      <c r="B119" s="501" t="str">
        <f>+'q24'!$A$23</f>
        <v>Viseu</v>
      </c>
      <c r="C119" s="504">
        <f>+'q24'!$B$23</f>
        <v>733.98</v>
      </c>
      <c r="D119" s="504">
        <f>+'q24'!$C$23</f>
        <v>734.34</v>
      </c>
      <c r="E119" s="504">
        <f>+'q24'!$D$23</f>
        <v>737.12</v>
      </c>
      <c r="F119" s="504">
        <f>+'q24'!$E$23</f>
        <v>749.63</v>
      </c>
      <c r="G119" s="504">
        <f>+'q24'!$F$23</f>
        <v>768.57</v>
      </c>
      <c r="H119" s="504">
        <f>+'q24'!$G$23</f>
        <v>793.7</v>
      </c>
      <c r="I119" s="504">
        <f>+'q24'!$H$23</f>
        <v>822.97</v>
      </c>
      <c r="J119" s="504">
        <f>+'q24'!$I$23</f>
        <v>854.37</v>
      </c>
      <c r="K119" s="504">
        <f>+'q24'!$J$23</f>
        <v>902.63</v>
      </c>
      <c r="L119" s="504">
        <f>+'q24'!$K$23</f>
        <v>932.68</v>
      </c>
      <c r="M119" s="504">
        <f>+'q24'!$L$23</f>
        <v>998.93</v>
      </c>
      <c r="N119" s="499">
        <f t="shared" si="25"/>
        <v>264.94999999999993</v>
      </c>
      <c r="AA119" s="499" t="s">
        <v>857</v>
      </c>
    </row>
    <row r="120" spans="1:55">
      <c r="B120" s="501" t="s">
        <v>14</v>
      </c>
      <c r="C120" s="504">
        <f>+'q24'!$B$5</f>
        <v>912.18</v>
      </c>
      <c r="D120" s="504">
        <f>+'q24'!$C$5</f>
        <v>909.49</v>
      </c>
      <c r="E120" s="504">
        <f>+'q24'!$D$5</f>
        <v>913.93</v>
      </c>
      <c r="F120" s="504">
        <f>+'q24'!$E$5</f>
        <v>924.94</v>
      </c>
      <c r="G120" s="504">
        <f>+'q24'!$F$5</f>
        <v>943</v>
      </c>
      <c r="H120" s="504">
        <f>+'q24'!$G$5</f>
        <v>970.42</v>
      </c>
      <c r="I120" s="504">
        <f>+'q24'!$H$5</f>
        <v>1005.09</v>
      </c>
      <c r="J120" s="504">
        <f>+'q24'!$I$5</f>
        <v>1041.99</v>
      </c>
      <c r="K120" s="504">
        <f>+'q24'!$J$5</f>
        <v>1082.77</v>
      </c>
      <c r="L120" s="504">
        <f>+'q24'!$K$5</f>
        <v>1143.45</v>
      </c>
      <c r="M120" s="504">
        <f>+'q24'!$L$5</f>
        <v>1219.8699999999999</v>
      </c>
      <c r="N120" s="499">
        <f t="shared" si="25"/>
        <v>307.68999999999994</v>
      </c>
      <c r="AA120" s="499" t="s">
        <v>340</v>
      </c>
      <c r="AB120" s="525">
        <f>ROUND(AG106,1)</f>
        <v>27.2</v>
      </c>
    </row>
    <row r="121" spans="1:55">
      <c r="A121" s="501" t="s">
        <v>291</v>
      </c>
      <c r="C121" s="503">
        <f>+'q35'!$B$4</f>
        <v>2013</v>
      </c>
      <c r="D121" s="503">
        <f>+'q35'!$C$4</f>
        <v>2014</v>
      </c>
      <c r="E121" s="503">
        <f>+'q35'!$D$4</f>
        <v>2015</v>
      </c>
      <c r="F121" s="503">
        <f>+'q35'!$E$4</f>
        <v>2016</v>
      </c>
      <c r="G121" s="503">
        <f>+'q35'!$F$4</f>
        <v>2017</v>
      </c>
      <c r="H121" s="503">
        <f>+'q35'!$G$4</f>
        <v>2018</v>
      </c>
      <c r="I121" s="503">
        <f>+'q35'!$H$4</f>
        <v>2019</v>
      </c>
      <c r="J121" s="503">
        <f>+'q35'!$I$4</f>
        <v>2020</v>
      </c>
      <c r="K121" s="503">
        <f>+'q35'!$J$4</f>
        <v>2021</v>
      </c>
      <c r="L121" s="503">
        <f>+'q35'!$K$4</f>
        <v>2022</v>
      </c>
      <c r="M121" s="503">
        <f>+'q35'!$L$4</f>
        <v>2023</v>
      </c>
      <c r="N121" s="499">
        <f t="shared" si="25"/>
        <v>10</v>
      </c>
      <c r="AA121" s="499" t="s">
        <v>854</v>
      </c>
    </row>
    <row r="122" spans="1:55">
      <c r="B122" s="501" t="str">
        <f>+'q35'!$A$6</f>
        <v>Aveiro</v>
      </c>
      <c r="C122" s="504">
        <f>+'q35'!$B$6</f>
        <v>961.84</v>
      </c>
      <c r="D122" s="504">
        <f>+'q35'!$C$6</f>
        <v>971.91</v>
      </c>
      <c r="E122" s="504">
        <f>+'q35'!$D$6</f>
        <v>984.24</v>
      </c>
      <c r="F122" s="504">
        <f>+'q35'!$E$6</f>
        <v>1001.02</v>
      </c>
      <c r="G122" s="504">
        <f>+'q35'!$F$6</f>
        <v>1028.8399999999999</v>
      </c>
      <c r="H122" s="504">
        <f>+'q35'!$G$6</f>
        <v>1070.6300000000001</v>
      </c>
      <c r="I122" s="504">
        <f>+'q35'!$H$6</f>
        <v>1111.21</v>
      </c>
      <c r="J122" s="504">
        <f>+'q35'!$I$6</f>
        <v>1147</v>
      </c>
      <c r="K122" s="504">
        <f>+'q35'!$J$6</f>
        <v>1177.95</v>
      </c>
      <c r="L122" s="504">
        <f>+'q35'!$K$6</f>
        <v>1252.03</v>
      </c>
      <c r="M122" s="504">
        <f>+'q35'!$L$6</f>
        <v>1348.68</v>
      </c>
      <c r="N122" s="499">
        <f t="shared" si="25"/>
        <v>386.84000000000003</v>
      </c>
      <c r="AA122" s="499" t="s">
        <v>341</v>
      </c>
      <c r="AB122" s="499" t="str">
        <f>+AI103</f>
        <v>, +</v>
      </c>
    </row>
    <row r="123" spans="1:55">
      <c r="B123" s="501" t="str">
        <f>+'q35'!$A$7</f>
        <v>Beja</v>
      </c>
      <c r="C123" s="504">
        <f>+'q35'!$B$7</f>
        <v>991.36</v>
      </c>
      <c r="D123" s="504">
        <f>+'q35'!$C$7</f>
        <v>983.84</v>
      </c>
      <c r="E123" s="504">
        <f>+'q35'!$D$7</f>
        <v>984.04</v>
      </c>
      <c r="F123" s="504">
        <f>+'q35'!$E$7</f>
        <v>981.92</v>
      </c>
      <c r="G123" s="504">
        <f>+'q35'!$F$7</f>
        <v>1009.59</v>
      </c>
      <c r="H123" s="504">
        <f>+'q35'!$G$7</f>
        <v>1059.6099999999999</v>
      </c>
      <c r="I123" s="504">
        <f>+'q35'!$H$7</f>
        <v>1062.3599999999999</v>
      </c>
      <c r="J123" s="504">
        <f>+'q35'!$I$7</f>
        <v>1092.76</v>
      </c>
      <c r="K123" s="504">
        <f>+'q35'!$J$7</f>
        <v>1153.3900000000001</v>
      </c>
      <c r="L123" s="504">
        <f>+'q35'!$K$7</f>
        <v>1192.76</v>
      </c>
      <c r="M123" s="504">
        <f>+'q35'!$L$7</f>
        <v>1305.52</v>
      </c>
      <c r="N123" s="499">
        <f t="shared" si="25"/>
        <v>314.15999999999997</v>
      </c>
      <c r="AA123" s="499" t="s">
        <v>342</v>
      </c>
      <c r="AB123" s="522" t="str">
        <f>TEXT(AJ103,"##.###,0")</f>
        <v>380,3</v>
      </c>
    </row>
    <row r="124" spans="1:55">
      <c r="B124" s="501" t="str">
        <f>+'q35'!$A$8</f>
        <v>Braga</v>
      </c>
      <c r="C124" s="504">
        <f>+'q35'!$B$8</f>
        <v>868.5</v>
      </c>
      <c r="D124" s="504">
        <f>+'q35'!$C$8</f>
        <v>876.17</v>
      </c>
      <c r="E124" s="504">
        <f>+'q35'!$D$8</f>
        <v>880.48</v>
      </c>
      <c r="F124" s="504">
        <f>+'q35'!$E$8</f>
        <v>895.72</v>
      </c>
      <c r="G124" s="504">
        <f>+'q35'!$F$8</f>
        <v>929.88</v>
      </c>
      <c r="H124" s="504">
        <f>+'q35'!$G$8</f>
        <v>968.01</v>
      </c>
      <c r="I124" s="504">
        <f>+'q35'!$H$8</f>
        <v>1012.37</v>
      </c>
      <c r="J124" s="504">
        <f>+'q35'!$I$8</f>
        <v>1057.55</v>
      </c>
      <c r="K124" s="504">
        <f>+'q35'!$J$8</f>
        <v>1105.67</v>
      </c>
      <c r="L124" s="504">
        <f>+'q35'!$K$8</f>
        <v>1156.32</v>
      </c>
      <c r="M124" s="504">
        <f>+'q35'!$L$8</f>
        <v>1244.8900000000001</v>
      </c>
      <c r="N124" s="499">
        <f t="shared" si="25"/>
        <v>376.3900000000001</v>
      </c>
      <c r="AA124" s="499" t="s">
        <v>856</v>
      </c>
      <c r="AC124" s="499" t="s">
        <v>442</v>
      </c>
    </row>
    <row r="125" spans="1:55">
      <c r="B125" s="501" t="str">
        <f>+'q35'!$A$9</f>
        <v>Bragança</v>
      </c>
      <c r="C125" s="504">
        <f>+'q35'!$B$9</f>
        <v>851.39</v>
      </c>
      <c r="D125" s="504">
        <f>+'q35'!$C$9</f>
        <v>838.71</v>
      </c>
      <c r="E125" s="504">
        <f>+'q35'!$D$9</f>
        <v>838.85</v>
      </c>
      <c r="F125" s="504">
        <f>+'q35'!$E$9</f>
        <v>858.81</v>
      </c>
      <c r="G125" s="504">
        <f>+'q35'!$F$9</f>
        <v>882.59</v>
      </c>
      <c r="H125" s="504">
        <f>+'q35'!$G$9</f>
        <v>910.81</v>
      </c>
      <c r="I125" s="504">
        <f>+'q35'!$H$9</f>
        <v>944.95</v>
      </c>
      <c r="J125" s="504">
        <f>+'q35'!$I$9</f>
        <v>977.7</v>
      </c>
      <c r="K125" s="504">
        <f>+'q35'!$J$9</f>
        <v>1012.23</v>
      </c>
      <c r="L125" s="504">
        <f>+'q35'!$K$9</f>
        <v>1054.3699999999999</v>
      </c>
      <c r="M125" s="504">
        <f>+'q35'!$L$9</f>
        <v>1136.1600000000001</v>
      </c>
      <c r="N125" s="499">
        <f t="shared" si="25"/>
        <v>284.7700000000001</v>
      </c>
    </row>
    <row r="126" spans="1:55">
      <c r="B126" s="501" t="str">
        <f>+'q35'!$A$10</f>
        <v>Castelo Branco</v>
      </c>
      <c r="C126" s="504">
        <f>+'q35'!$B$10</f>
        <v>841.84</v>
      </c>
      <c r="D126" s="504">
        <f>+'q35'!$C$10</f>
        <v>853.23</v>
      </c>
      <c r="E126" s="504">
        <f>+'q35'!$D$10</f>
        <v>858.65</v>
      </c>
      <c r="F126" s="504">
        <f>+'q35'!$E$10</f>
        <v>875.03</v>
      </c>
      <c r="G126" s="504">
        <f>+'q35'!$F$10</f>
        <v>904.07</v>
      </c>
      <c r="H126" s="504">
        <f>+'q35'!$G$10</f>
        <v>935.09</v>
      </c>
      <c r="I126" s="504">
        <f>+'q35'!$H$10</f>
        <v>971.15</v>
      </c>
      <c r="J126" s="504">
        <f>+'q35'!$I$10</f>
        <v>1010.47</v>
      </c>
      <c r="K126" s="504">
        <f>+'q35'!$J$10</f>
        <v>1053.79</v>
      </c>
      <c r="L126" s="504">
        <f>+'q35'!$K$10</f>
        <v>1106.6500000000001</v>
      </c>
      <c r="M126" s="504">
        <f>+'q35'!$L$10</f>
        <v>1180.77</v>
      </c>
      <c r="N126" s="499">
        <f t="shared" si="25"/>
        <v>338.92999999999995</v>
      </c>
    </row>
    <row r="127" spans="1:55">
      <c r="B127" s="501" t="str">
        <f>+'q35'!$A$11</f>
        <v>Coimbra</v>
      </c>
      <c r="C127" s="504">
        <f>+'q35'!$B$11</f>
        <v>978.02</v>
      </c>
      <c r="D127" s="504">
        <f>+'q35'!$C$11</f>
        <v>966.21</v>
      </c>
      <c r="E127" s="504">
        <f>+'q35'!$D$11</f>
        <v>967</v>
      </c>
      <c r="F127" s="504">
        <f>+'q35'!$E$11</f>
        <v>990.53</v>
      </c>
      <c r="G127" s="504">
        <f>+'q35'!$F$11</f>
        <v>1018.25</v>
      </c>
      <c r="H127" s="504">
        <f>+'q35'!$G$11</f>
        <v>1053.3599999999999</v>
      </c>
      <c r="I127" s="504">
        <f>+'q35'!$H$11</f>
        <v>1094.1400000000001</v>
      </c>
      <c r="J127" s="504">
        <f>+'q35'!$I$11</f>
        <v>1118.0999999999999</v>
      </c>
      <c r="K127" s="504">
        <f>+'q35'!$J$11</f>
        <v>1169.3900000000001</v>
      </c>
      <c r="L127" s="504">
        <f>+'q35'!$K$11</f>
        <v>1222.97</v>
      </c>
      <c r="M127" s="504">
        <f>+'q35'!$L$11</f>
        <v>1317.31</v>
      </c>
      <c r="N127" s="499">
        <f t="shared" si="25"/>
        <v>339.28999999999996</v>
      </c>
    </row>
    <row r="128" spans="1:55">
      <c r="B128" s="501" t="str">
        <f>+'q35'!$A$12</f>
        <v>Évora</v>
      </c>
      <c r="C128" s="504">
        <f>+'q35'!$B$12</f>
        <v>955.21</v>
      </c>
      <c r="D128" s="504">
        <f>+'q35'!$C$12</f>
        <v>955.65</v>
      </c>
      <c r="E128" s="504">
        <f>+'q35'!$D$12</f>
        <v>956.12</v>
      </c>
      <c r="F128" s="504">
        <f>+'q35'!$E$12</f>
        <v>967.64</v>
      </c>
      <c r="G128" s="504">
        <f>+'q35'!$F$12</f>
        <v>992.35</v>
      </c>
      <c r="H128" s="504">
        <f>+'q35'!$G$12</f>
        <v>1020.7</v>
      </c>
      <c r="I128" s="504">
        <f>+'q35'!$H$12</f>
        <v>1045.47</v>
      </c>
      <c r="J128" s="504">
        <f>+'q35'!$I$12</f>
        <v>1086.77</v>
      </c>
      <c r="K128" s="504">
        <f>+'q35'!$J$12</f>
        <v>1127.29</v>
      </c>
      <c r="L128" s="504">
        <f>+'q35'!$K$12</f>
        <v>1190.57</v>
      </c>
      <c r="M128" s="504">
        <f>+'q35'!$L$12</f>
        <v>1271.71</v>
      </c>
      <c r="N128" s="499">
        <f t="shared" si="25"/>
        <v>316.5</v>
      </c>
    </row>
    <row r="129" spans="2:14">
      <c r="B129" s="501" t="str">
        <f>+'q35'!$A$13</f>
        <v>Faro</v>
      </c>
      <c r="C129" s="504">
        <f>+'q35'!$B$13</f>
        <v>930.97</v>
      </c>
      <c r="D129" s="504">
        <f>+'q35'!$C$13</f>
        <v>927.58</v>
      </c>
      <c r="E129" s="504">
        <f>+'q35'!$D$13</f>
        <v>926.13</v>
      </c>
      <c r="F129" s="504">
        <f>+'q35'!$E$13</f>
        <v>942.73</v>
      </c>
      <c r="G129" s="504">
        <f>+'q35'!$F$13</f>
        <v>968.19</v>
      </c>
      <c r="H129" s="504">
        <f>+'q35'!$G$13</f>
        <v>999.05</v>
      </c>
      <c r="I129" s="504">
        <f>+'q35'!$H$13</f>
        <v>1029.01</v>
      </c>
      <c r="J129" s="504">
        <f>+'q35'!$I$13</f>
        <v>1070.96</v>
      </c>
      <c r="K129" s="504">
        <f>+'q35'!$J$13</f>
        <v>1106.32</v>
      </c>
      <c r="L129" s="504">
        <f>+'q35'!$K$13</f>
        <v>1150.81</v>
      </c>
      <c r="M129" s="504">
        <f>+'q35'!$L$13</f>
        <v>1238.68</v>
      </c>
      <c r="N129" s="499">
        <f t="shared" si="25"/>
        <v>307.71000000000004</v>
      </c>
    </row>
    <row r="130" spans="2:14">
      <c r="B130" s="501" t="str">
        <f>+'q35'!$A$14</f>
        <v>Guarda</v>
      </c>
      <c r="C130" s="504">
        <f>+'q35'!$B$14</f>
        <v>814.63</v>
      </c>
      <c r="D130" s="504">
        <f>+'q35'!$C$14</f>
        <v>830.16</v>
      </c>
      <c r="E130" s="504">
        <f>+'q35'!$D$14</f>
        <v>837.53</v>
      </c>
      <c r="F130" s="504">
        <f>+'q35'!$E$14</f>
        <v>857.61</v>
      </c>
      <c r="G130" s="504">
        <f>+'q35'!$F$14</f>
        <v>896.02</v>
      </c>
      <c r="H130" s="504">
        <f>+'q35'!$G$14</f>
        <v>934.77</v>
      </c>
      <c r="I130" s="504">
        <f>+'q35'!$H$14</f>
        <v>973.04</v>
      </c>
      <c r="J130" s="504">
        <f>+'q35'!$I$14</f>
        <v>1010.86</v>
      </c>
      <c r="K130" s="504">
        <f>+'q35'!$J$14</f>
        <v>1047.3699999999999</v>
      </c>
      <c r="L130" s="504">
        <f>+'q35'!$K$14</f>
        <v>1100.0999999999999</v>
      </c>
      <c r="M130" s="504">
        <f>+'q35'!$L$14</f>
        <v>1176.51</v>
      </c>
      <c r="N130" s="499">
        <f t="shared" si="25"/>
        <v>361.88</v>
      </c>
    </row>
    <row r="131" spans="2:14">
      <c r="B131" s="501" t="str">
        <f>+'q35'!$A$15</f>
        <v>Leiria</v>
      </c>
      <c r="C131" s="504">
        <f>+'q35'!$B$15</f>
        <v>945.12</v>
      </c>
      <c r="D131" s="504">
        <f>+'q35'!$C$15</f>
        <v>953.78</v>
      </c>
      <c r="E131" s="504">
        <f>+'q35'!$D$15</f>
        <v>959.4</v>
      </c>
      <c r="F131" s="504">
        <f>+'q35'!$E$15</f>
        <v>975.87</v>
      </c>
      <c r="G131" s="504">
        <f>+'q35'!$F$15</f>
        <v>1005.47</v>
      </c>
      <c r="H131" s="504">
        <f>+'q35'!$G$15</f>
        <v>1040.3800000000001</v>
      </c>
      <c r="I131" s="504">
        <f>+'q35'!$H$15</f>
        <v>1073.6500000000001</v>
      </c>
      <c r="J131" s="504">
        <f>+'q35'!$I$15</f>
        <v>1108.21</v>
      </c>
      <c r="K131" s="504">
        <f>+'q35'!$J$15</f>
        <v>1156.54</v>
      </c>
      <c r="L131" s="504">
        <f>+'q35'!$K$15</f>
        <v>1211.27</v>
      </c>
      <c r="M131" s="504">
        <f>+'q35'!$L$15</f>
        <v>1289.3599999999999</v>
      </c>
      <c r="N131" s="499">
        <f t="shared" si="25"/>
        <v>344.2399999999999</v>
      </c>
    </row>
    <row r="132" spans="2:14">
      <c r="B132" s="501" t="str">
        <f>+'q35'!$A$16</f>
        <v>Lisboa</v>
      </c>
      <c r="C132" s="504">
        <f>+'q35'!$B$16</f>
        <v>1399.09</v>
      </c>
      <c r="D132" s="504">
        <f>+'q35'!$C$16</f>
        <v>1392.42</v>
      </c>
      <c r="E132" s="504">
        <f>+'q35'!$D$16</f>
        <v>1391.17</v>
      </c>
      <c r="F132" s="504">
        <f>+'q35'!$E$16</f>
        <v>1395.75</v>
      </c>
      <c r="G132" s="504">
        <f>+'q35'!$F$16</f>
        <v>1416.56</v>
      </c>
      <c r="H132" s="504">
        <f>+'q35'!$G$16</f>
        <v>1449.43</v>
      </c>
      <c r="I132" s="504">
        <f>+'q35'!$H$16</f>
        <v>1487.75</v>
      </c>
      <c r="J132" s="504">
        <f>+'q35'!$I$16</f>
        <v>1526.77</v>
      </c>
      <c r="K132" s="504">
        <f>+'q35'!$J$16</f>
        <v>1576.15</v>
      </c>
      <c r="L132" s="504">
        <f>+'q35'!$K$16</f>
        <v>1668.92</v>
      </c>
      <c r="M132" s="504">
        <f>+'q35'!$L$16</f>
        <v>1779.36</v>
      </c>
      <c r="N132" s="499">
        <f t="shared" si="25"/>
        <v>380.27</v>
      </c>
    </row>
    <row r="133" spans="2:14">
      <c r="B133" s="501" t="str">
        <f>+'q35'!$A$17</f>
        <v>Portalegre</v>
      </c>
      <c r="C133" s="504">
        <f>+'q35'!$B$17</f>
        <v>894.32</v>
      </c>
      <c r="D133" s="504">
        <f>+'q35'!$C$17</f>
        <v>897.83</v>
      </c>
      <c r="E133" s="504">
        <f>+'q35'!$D$17</f>
        <v>901.87</v>
      </c>
      <c r="F133" s="504">
        <f>+'q35'!$E$17</f>
        <v>915.42</v>
      </c>
      <c r="G133" s="504">
        <f>+'q35'!$F$17</f>
        <v>934.83</v>
      </c>
      <c r="H133" s="504">
        <f>+'q35'!$G$17</f>
        <v>968.23</v>
      </c>
      <c r="I133" s="504">
        <f>+'q35'!$H$17</f>
        <v>989.48</v>
      </c>
      <c r="J133" s="504">
        <f>+'q35'!$I$17</f>
        <v>1029.47</v>
      </c>
      <c r="K133" s="504">
        <f>+'q35'!$J$17</f>
        <v>1078.92</v>
      </c>
      <c r="L133" s="504">
        <f>+'q35'!$K$17</f>
        <v>1126.5999999999999</v>
      </c>
      <c r="M133" s="504">
        <f>+'q35'!$L$17</f>
        <v>1197.92</v>
      </c>
      <c r="N133" s="499">
        <f t="shared" si="25"/>
        <v>303.60000000000002</v>
      </c>
    </row>
    <row r="134" spans="2:14">
      <c r="B134" s="501" t="str">
        <f>+'q35'!$A$18</f>
        <v>Porto</v>
      </c>
      <c r="C134" s="504">
        <f>+'q35'!$B$18</f>
        <v>1040.1300000000001</v>
      </c>
      <c r="D134" s="504">
        <f>+'q35'!$C$18</f>
        <v>1041.1099999999999</v>
      </c>
      <c r="E134" s="504">
        <f>+'q35'!$D$18</f>
        <v>1048.67</v>
      </c>
      <c r="F134" s="504">
        <f>+'q35'!$E$18</f>
        <v>1058.57</v>
      </c>
      <c r="G134" s="504">
        <f>+'q35'!$F$18</f>
        <v>1082.4000000000001</v>
      </c>
      <c r="H134" s="504">
        <f>+'q35'!$G$18</f>
        <v>1128.55</v>
      </c>
      <c r="I134" s="504">
        <f>+'q35'!$H$18</f>
        <v>1173.8800000000001</v>
      </c>
      <c r="J134" s="504">
        <f>+'q35'!$I$18</f>
        <v>1224.71</v>
      </c>
      <c r="K134" s="504">
        <f>+'q35'!$J$18</f>
        <v>1267.81</v>
      </c>
      <c r="L134" s="504">
        <f>+'q35'!$K$18</f>
        <v>1343.18</v>
      </c>
      <c r="M134" s="504">
        <f>+'q35'!$L$18</f>
        <v>1444.09</v>
      </c>
      <c r="N134" s="499">
        <f t="shared" si="25"/>
        <v>403.95999999999981</v>
      </c>
    </row>
    <row r="135" spans="2:14">
      <c r="B135" s="501" t="str">
        <f>+'q35'!$A$19</f>
        <v>Santarém</v>
      </c>
      <c r="C135" s="504">
        <f>+'q35'!$B$19</f>
        <v>945.7</v>
      </c>
      <c r="D135" s="504">
        <f>+'q35'!$C$19</f>
        <v>948.38</v>
      </c>
      <c r="E135" s="504">
        <f>+'q35'!$D$19</f>
        <v>957.21</v>
      </c>
      <c r="F135" s="504">
        <f>+'q35'!$E$19</f>
        <v>962.52</v>
      </c>
      <c r="G135" s="504">
        <f>+'q35'!$F$19</f>
        <v>990.46</v>
      </c>
      <c r="H135" s="504">
        <f>+'q35'!$G$19</f>
        <v>1023.31</v>
      </c>
      <c r="I135" s="504">
        <f>+'q35'!$H$19</f>
        <v>1050.52</v>
      </c>
      <c r="J135" s="504">
        <f>+'q35'!$I$19</f>
        <v>1086.33</v>
      </c>
      <c r="K135" s="504">
        <f>+'q35'!$J$19</f>
        <v>1122.5899999999999</v>
      </c>
      <c r="L135" s="504">
        <f>+'q35'!$K$19</f>
        <v>1182.04</v>
      </c>
      <c r="M135" s="504">
        <f>+'q35'!$L$19</f>
        <v>1264.1500000000001</v>
      </c>
      <c r="N135" s="499">
        <f t="shared" si="25"/>
        <v>318.45000000000005</v>
      </c>
    </row>
    <row r="136" spans="2:14">
      <c r="B136" s="501" t="str">
        <f>+'q35'!$A$20</f>
        <v>Setúbal</v>
      </c>
      <c r="C136" s="504">
        <f>+'q35'!$B$20</f>
        <v>1153.1500000000001</v>
      </c>
      <c r="D136" s="504">
        <f>+'q35'!$C$20</f>
        <v>1148.6600000000001</v>
      </c>
      <c r="E136" s="504">
        <f>+'q35'!$D$20</f>
        <v>1162.18</v>
      </c>
      <c r="F136" s="504">
        <f>+'q35'!$E$20</f>
        <v>1190.04</v>
      </c>
      <c r="G136" s="504">
        <f>+'q35'!$F$20</f>
        <v>1207.8800000000001</v>
      </c>
      <c r="H136" s="504">
        <f>+'q35'!$G$20</f>
        <v>1219.8</v>
      </c>
      <c r="I136" s="504">
        <f>+'q35'!$H$20</f>
        <v>1249</v>
      </c>
      <c r="J136" s="504">
        <f>+'q35'!$I$20</f>
        <v>1293.57</v>
      </c>
      <c r="K136" s="504">
        <f>+'q35'!$J$20</f>
        <v>1308.51</v>
      </c>
      <c r="L136" s="504">
        <f>+'q35'!$K$20</f>
        <v>1373.25</v>
      </c>
      <c r="M136" s="504">
        <f>+'q35'!$L$20</f>
        <v>1456.04</v>
      </c>
      <c r="N136" s="499">
        <f t="shared" si="25"/>
        <v>302.88999999999987</v>
      </c>
    </row>
    <row r="137" spans="2:14">
      <c r="B137" s="501" t="str">
        <f>+'q35'!$A$21</f>
        <v>Viana do Castelo</v>
      </c>
      <c r="C137" s="504">
        <f>+'q35'!$B$21</f>
        <v>878.85</v>
      </c>
      <c r="D137" s="504">
        <f>+'q35'!$C$21</f>
        <v>881.13</v>
      </c>
      <c r="E137" s="504">
        <f>+'q35'!$D$21</f>
        <v>895.53</v>
      </c>
      <c r="F137" s="504">
        <f>+'q35'!$E$21</f>
        <v>899.57</v>
      </c>
      <c r="G137" s="504">
        <f>+'q35'!$F$21</f>
        <v>950.1</v>
      </c>
      <c r="H137" s="504">
        <f>+'q35'!$G$21</f>
        <v>978.08</v>
      </c>
      <c r="I137" s="504">
        <f>+'q35'!$H$21</f>
        <v>1013.26</v>
      </c>
      <c r="J137" s="504">
        <f>+'q35'!$I$21</f>
        <v>1057.21</v>
      </c>
      <c r="K137" s="504">
        <f>+'q35'!$J$21</f>
        <v>1094.98</v>
      </c>
      <c r="L137" s="504">
        <f>+'q35'!$K$21</f>
        <v>1154.3399999999999</v>
      </c>
      <c r="M137" s="504">
        <f>+'q35'!$L$21</f>
        <v>1237.67</v>
      </c>
      <c r="N137" s="499">
        <f t="shared" si="25"/>
        <v>358.82000000000005</v>
      </c>
    </row>
    <row r="138" spans="2:14">
      <c r="B138" s="501" t="str">
        <f>+'q35'!$A$22</f>
        <v>Vila Real</v>
      </c>
      <c r="C138" s="504">
        <f>+'q35'!$B$22</f>
        <v>868.76</v>
      </c>
      <c r="D138" s="504">
        <f>+'q35'!$C$22</f>
        <v>880.9</v>
      </c>
      <c r="E138" s="504">
        <f>+'q35'!$D$22</f>
        <v>893.71</v>
      </c>
      <c r="F138" s="504">
        <f>+'q35'!$E$22</f>
        <v>897.29</v>
      </c>
      <c r="G138" s="504">
        <f>+'q35'!$F$22</f>
        <v>935.06</v>
      </c>
      <c r="H138" s="504">
        <f>+'q35'!$G$22</f>
        <v>966.03</v>
      </c>
      <c r="I138" s="504">
        <f>+'q35'!$H$22</f>
        <v>994.48</v>
      </c>
      <c r="J138" s="504">
        <f>+'q35'!$I$22</f>
        <v>1017.83</v>
      </c>
      <c r="K138" s="504">
        <f>+'q35'!$J$22</f>
        <v>1045.4000000000001</v>
      </c>
      <c r="L138" s="504">
        <f>+'q35'!$K$22</f>
        <v>1104.24</v>
      </c>
      <c r="M138" s="504">
        <f>+'q35'!$L$22</f>
        <v>1185.9000000000001</v>
      </c>
      <c r="N138" s="499">
        <f t="shared" si="25"/>
        <v>317.1400000000001</v>
      </c>
    </row>
    <row r="139" spans="2:14">
      <c r="B139" s="501" t="str">
        <f>+'q35'!$A$23</f>
        <v>Viseu</v>
      </c>
      <c r="C139" s="504">
        <f>+'q35'!$B$23</f>
        <v>878.77</v>
      </c>
      <c r="D139" s="504">
        <f>+'q35'!$C$23</f>
        <v>884.4</v>
      </c>
      <c r="E139" s="504">
        <f>+'q35'!$D$23</f>
        <v>887.05</v>
      </c>
      <c r="F139" s="504">
        <f>+'q35'!$E$23</f>
        <v>894.61</v>
      </c>
      <c r="G139" s="504">
        <f>+'q35'!$F$23</f>
        <v>922.31</v>
      </c>
      <c r="H139" s="504">
        <f>+'q35'!$G$23</f>
        <v>963.93</v>
      </c>
      <c r="I139" s="504">
        <f>+'q35'!$H$23</f>
        <v>1002.21</v>
      </c>
      <c r="J139" s="504">
        <f>+'q35'!$I$23</f>
        <v>1032.4000000000001</v>
      </c>
      <c r="K139" s="504">
        <f>+'q35'!$J$23</f>
        <v>1081.24</v>
      </c>
      <c r="L139" s="504">
        <f>+'q35'!$K$23</f>
        <v>1127.4000000000001</v>
      </c>
      <c r="M139" s="504">
        <f>+'q35'!$L$23</f>
        <v>1214.08</v>
      </c>
      <c r="N139" s="499">
        <f t="shared" si="25"/>
        <v>335.30999999999995</v>
      </c>
    </row>
    <row r="140" spans="2:14">
      <c r="B140" s="501" t="s">
        <v>14</v>
      </c>
      <c r="C140" s="504">
        <f>+'q35'!$B$5</f>
        <v>1093.82</v>
      </c>
      <c r="D140" s="504">
        <f>+'q35'!$C$5</f>
        <v>1093.21</v>
      </c>
      <c r="E140" s="504">
        <f>+'q35'!$D$5</f>
        <v>1096.6600000000001</v>
      </c>
      <c r="F140" s="504">
        <f>+'q35'!$E$5</f>
        <v>1107.8599999999999</v>
      </c>
      <c r="G140" s="504">
        <f>+'q35'!$F$5</f>
        <v>1133.3399999999999</v>
      </c>
      <c r="H140" s="504">
        <f>+'q35'!$G$5</f>
        <v>1170.25</v>
      </c>
      <c r="I140" s="504">
        <f>+'q35'!$H$5</f>
        <v>1209.94</v>
      </c>
      <c r="J140" s="504">
        <f>+'q35'!$I$5</f>
        <v>1250.75</v>
      </c>
      <c r="K140" s="504">
        <f>+'q35'!$J$5</f>
        <v>1294.1099999999999</v>
      </c>
      <c r="L140" s="504">
        <f>+'q35'!$K$5</f>
        <v>1368</v>
      </c>
      <c r="M140" s="504">
        <f>+'q35'!$L$5</f>
        <v>1466.66</v>
      </c>
      <c r="N140" s="499">
        <f t="shared" si="25"/>
        <v>372.84000000000015</v>
      </c>
    </row>
  </sheetData>
  <mergeCells count="5">
    <mergeCell ref="BL2:BP8"/>
    <mergeCell ref="AE109:AI114"/>
    <mergeCell ref="AY2:BD6"/>
    <mergeCell ref="AL4:AQ10"/>
    <mergeCell ref="AE69:AH74"/>
  </mergeCells>
  <conditionalFormatting sqref="AC21">
    <cfRule type="cellIs" dxfId="1136" priority="12" operator="equal">
      <formula>0</formula>
    </cfRule>
  </conditionalFormatting>
  <conditionalFormatting sqref="AD21">
    <cfRule type="cellIs" dxfId="1135" priority="11" operator="equal">
      <formula>0</formula>
    </cfRule>
  </conditionalFormatting>
  <conditionalFormatting sqref="T21:AD21">
    <cfRule type="cellIs" dxfId="1134" priority="10" operator="equal">
      <formula>0</formula>
    </cfRule>
  </conditionalFormatting>
  <conditionalFormatting sqref="T22:AD22">
    <cfRule type="cellIs" dxfId="1133" priority="9" operator="equal">
      <formula>0</formula>
    </cfRule>
  </conditionalFormatting>
  <conditionalFormatting sqref="AC61">
    <cfRule type="cellIs" dxfId="1132" priority="8" operator="equal">
      <formula>0</formula>
    </cfRule>
  </conditionalFormatting>
  <conditionalFormatting sqref="AD61">
    <cfRule type="cellIs" dxfId="1131" priority="7" operator="equal">
      <formula>0</formula>
    </cfRule>
  </conditionalFormatting>
  <conditionalFormatting sqref="T61:AD61">
    <cfRule type="cellIs" dxfId="1130" priority="6" operator="equal">
      <formula>0</formula>
    </cfRule>
  </conditionalFormatting>
  <conditionalFormatting sqref="T62:AD62">
    <cfRule type="cellIs" dxfId="1129" priority="5" operator="equal">
      <formula>0</formula>
    </cfRule>
  </conditionalFormatting>
  <conditionalFormatting sqref="AC101">
    <cfRule type="cellIs" dxfId="1128" priority="4" operator="equal">
      <formula>0</formula>
    </cfRule>
  </conditionalFormatting>
  <conditionalFormatting sqref="AD101">
    <cfRule type="cellIs" dxfId="1127" priority="3" operator="equal">
      <formula>0</formula>
    </cfRule>
  </conditionalFormatting>
  <conditionalFormatting sqref="T101:AD101">
    <cfRule type="cellIs" dxfId="1126" priority="2" operator="equal">
      <formula>0</formula>
    </cfRule>
  </conditionalFormatting>
  <conditionalFormatting sqref="T102:AD102">
    <cfRule type="cellIs" dxfId="1125" priority="1" operator="equal">
      <formula>0</formula>
    </cfRule>
  </conditionalFormatting>
  <dataValidations disablePrompts="1" count="1">
    <dataValidation type="textLength" allowBlank="1" showInputMessage="1" showErrorMessage="1" sqref="BL2" xr:uid="{53CC8764-24B7-4668-B9FE-82BCC03B489A}">
      <formula1>0</formula1>
      <formula2>280</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Drop Down 1">
              <controlPr defaultSize="0" autoLine="0" autoPict="0">
                <anchor moveWithCells="1">
                  <from>
                    <xdr:col>18</xdr:col>
                    <xdr:colOff>9525</xdr:colOff>
                    <xdr:row>0</xdr:row>
                    <xdr:rowOff>152400</xdr:rowOff>
                  </from>
                  <to>
                    <xdr:col>19</xdr:col>
                    <xdr:colOff>495300</xdr:colOff>
                    <xdr:row>2</xdr:row>
                    <xdr:rowOff>19050</xdr:rowOff>
                  </to>
                </anchor>
              </controlPr>
            </control>
          </mc:Choice>
        </mc:AlternateContent>
        <mc:AlternateContent xmlns:mc="http://schemas.openxmlformats.org/markup-compatibility/2006">
          <mc:Choice Requires="x14">
            <control shapeId="133122" r:id="rId5" name="Drop Down 2">
              <controlPr defaultSize="0" autoLine="0" autoPict="0">
                <anchor moveWithCells="1">
                  <from>
                    <xdr:col>38</xdr:col>
                    <xdr:colOff>9525</xdr:colOff>
                    <xdr:row>15</xdr:row>
                    <xdr:rowOff>0</xdr:rowOff>
                  </from>
                  <to>
                    <xdr:col>39</xdr:col>
                    <xdr:colOff>38100</xdr:colOff>
                    <xdr:row>16</xdr:row>
                    <xdr:rowOff>0</xdr:rowOff>
                  </to>
                </anchor>
              </controlPr>
            </control>
          </mc:Choice>
        </mc:AlternateContent>
        <mc:AlternateContent xmlns:mc="http://schemas.openxmlformats.org/markup-compatibility/2006">
          <mc:Choice Requires="x14">
            <control shapeId="133123" r:id="rId6" name="Drop Down 3">
              <controlPr defaultSize="0" autoLine="0" autoPict="0">
                <anchor moveWithCells="1">
                  <from>
                    <xdr:col>45</xdr:col>
                    <xdr:colOff>9525</xdr:colOff>
                    <xdr:row>15</xdr:row>
                    <xdr:rowOff>0</xdr:rowOff>
                  </from>
                  <to>
                    <xdr:col>46</xdr:col>
                    <xdr:colOff>38100</xdr:colOff>
                    <xdr:row>16</xdr:row>
                    <xdr:rowOff>0</xdr:rowOff>
                  </to>
                </anchor>
              </controlPr>
            </control>
          </mc:Choice>
        </mc:AlternateContent>
        <mc:AlternateContent xmlns:mc="http://schemas.openxmlformats.org/markup-compatibility/2006">
          <mc:Choice Requires="x14">
            <control shapeId="133124" r:id="rId7" name="Drop Down 4">
              <controlPr defaultSize="0" autoLine="0" autoPict="0">
                <anchor moveWithCells="1">
                  <from>
                    <xdr:col>52</xdr:col>
                    <xdr:colOff>9525</xdr:colOff>
                    <xdr:row>15</xdr:row>
                    <xdr:rowOff>0</xdr:rowOff>
                  </from>
                  <to>
                    <xdr:col>53</xdr:col>
                    <xdr:colOff>19050</xdr:colOff>
                    <xdr:row>16</xdr:row>
                    <xdr:rowOff>0</xdr:rowOff>
                  </to>
                </anchor>
              </controlPr>
            </control>
          </mc:Choice>
        </mc:AlternateContent>
        <mc:AlternateContent xmlns:mc="http://schemas.openxmlformats.org/markup-compatibility/2006">
          <mc:Choice Requires="x14">
            <control shapeId="133125" r:id="rId8" name="Drop Down 5">
              <controlPr defaultSize="0" autoLine="0" autoPict="0">
                <anchor moveWithCells="1">
                  <from>
                    <xdr:col>39</xdr:col>
                    <xdr:colOff>381000</xdr:colOff>
                    <xdr:row>40</xdr:row>
                    <xdr:rowOff>47625</xdr:rowOff>
                  </from>
                  <to>
                    <xdr:col>40</xdr:col>
                    <xdr:colOff>428625</xdr:colOff>
                    <xdr:row>41</xdr:row>
                    <xdr:rowOff>123825</xdr:rowOff>
                  </to>
                </anchor>
              </controlPr>
            </control>
          </mc:Choice>
        </mc:AlternateContent>
        <mc:AlternateContent xmlns:mc="http://schemas.openxmlformats.org/markup-compatibility/2006">
          <mc:Choice Requires="x14">
            <control shapeId="133126" r:id="rId9" name="Drop Down 6">
              <controlPr defaultSize="0" autoLine="0" autoPict="0">
                <anchor moveWithCells="1">
                  <from>
                    <xdr:col>46</xdr:col>
                    <xdr:colOff>628650</xdr:colOff>
                    <xdr:row>40</xdr:row>
                    <xdr:rowOff>38100</xdr:rowOff>
                  </from>
                  <to>
                    <xdr:col>48</xdr:col>
                    <xdr:colOff>28575</xdr:colOff>
                    <xdr:row>41</xdr:row>
                    <xdr:rowOff>114300</xdr:rowOff>
                  </to>
                </anchor>
              </controlPr>
            </control>
          </mc:Choice>
        </mc:AlternateContent>
        <mc:AlternateContent xmlns:mc="http://schemas.openxmlformats.org/markup-compatibility/2006">
          <mc:Choice Requires="x14">
            <control shapeId="133127" r:id="rId10" name="Drop Down 7">
              <controlPr defaultSize="0" autoLine="0" autoPict="0">
                <anchor moveWithCells="1">
                  <from>
                    <xdr:col>54</xdr:col>
                    <xdr:colOff>295275</xdr:colOff>
                    <xdr:row>40</xdr:row>
                    <xdr:rowOff>85725</xdr:rowOff>
                  </from>
                  <to>
                    <xdr:col>55</xdr:col>
                    <xdr:colOff>323850</xdr:colOff>
                    <xdr:row>41</xdr:row>
                    <xdr:rowOff>161925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6ED2-03DA-4105-979B-21AEFE2FCD5E}">
  <dimension ref="A1:DA265"/>
  <sheetViews>
    <sheetView topLeftCell="O64" zoomScale="120" zoomScaleNormal="120" workbookViewId="0">
      <selection activeCell="AH74" sqref="AH74"/>
    </sheetView>
  </sheetViews>
  <sheetFormatPr defaultColWidth="9.140625" defaultRowHeight="12.75"/>
  <cols>
    <col min="1" max="1" width="9.140625" style="499"/>
    <col min="2" max="2" width="23" style="499" customWidth="1"/>
    <col min="3" max="3" width="9.140625" style="499"/>
    <col min="4" max="4" width="13.28515625" style="499" customWidth="1"/>
    <col min="5" max="17" width="9.140625" style="499"/>
    <col min="18" max="18" width="15.5703125" style="499" customWidth="1"/>
    <col min="19" max="30" width="9.140625" style="499"/>
    <col min="31" max="31" width="20" style="499" customWidth="1"/>
    <col min="32" max="32" width="19.42578125" style="499" customWidth="1"/>
    <col min="33" max="43" width="9.140625" style="499"/>
    <col min="44" max="45" width="20.85546875" style="499" customWidth="1"/>
    <col min="46" max="46" width="15" style="499" bestFit="1" customWidth="1"/>
    <col min="47" max="47" width="9.140625" style="499"/>
    <col min="48" max="48" width="14.42578125" style="499" bestFit="1" customWidth="1"/>
    <col min="49" max="49" width="12.85546875" style="499" bestFit="1" customWidth="1"/>
    <col min="50" max="50" width="18.42578125" style="499" bestFit="1" customWidth="1"/>
    <col min="51" max="65" width="9.140625" style="499"/>
    <col min="66" max="66" width="12.42578125" style="499" customWidth="1"/>
    <col min="67" max="67" width="13.140625" style="499" customWidth="1"/>
    <col min="68" max="69" width="9.140625" style="499"/>
    <col min="70" max="70" width="12.7109375" style="499" customWidth="1"/>
    <col min="71" max="71" width="11.85546875" style="499" customWidth="1"/>
    <col min="72" max="16384" width="9.140625" style="499"/>
  </cols>
  <sheetData>
    <row r="1" spans="1:94">
      <c r="A1" s="502" t="s">
        <v>579</v>
      </c>
      <c r="D1" s="508" t="s">
        <v>580</v>
      </c>
      <c r="G1" s="508" t="s">
        <v>299</v>
      </c>
    </row>
    <row r="2" spans="1:94">
      <c r="A2" s="501" t="s">
        <v>551</v>
      </c>
      <c r="B2" s="499">
        <v>1</v>
      </c>
      <c r="D2" s="501" t="s">
        <v>552</v>
      </c>
      <c r="E2" s="499">
        <v>1</v>
      </c>
      <c r="G2" s="500">
        <f>+C30</f>
        <v>2013</v>
      </c>
      <c r="H2" s="499">
        <v>1</v>
      </c>
      <c r="P2" s="499">
        <v>4</v>
      </c>
      <c r="S2" s="499" t="s">
        <v>596</v>
      </c>
      <c r="AQ2" s="499">
        <v>11</v>
      </c>
      <c r="AT2" s="616" t="s">
        <v>506</v>
      </c>
      <c r="BL2" s="499">
        <v>11</v>
      </c>
      <c r="BO2" s="616" t="s">
        <v>507</v>
      </c>
      <c r="CF2" s="499">
        <v>11</v>
      </c>
      <c r="CI2" s="616" t="s">
        <v>508</v>
      </c>
    </row>
    <row r="3" spans="1:94">
      <c r="A3" s="501" t="s">
        <v>560</v>
      </c>
      <c r="B3" s="499">
        <v>2</v>
      </c>
      <c r="D3" s="501" t="s">
        <v>553</v>
      </c>
      <c r="E3" s="499">
        <v>2</v>
      </c>
      <c r="G3" s="500">
        <f>+D30</f>
        <v>2014</v>
      </c>
      <c r="H3" s="499">
        <v>2</v>
      </c>
    </row>
    <row r="4" spans="1:94">
      <c r="A4" s="501" t="s">
        <v>567</v>
      </c>
      <c r="B4" s="499">
        <v>3</v>
      </c>
      <c r="D4" s="501" t="s">
        <v>554</v>
      </c>
      <c r="E4" s="499">
        <v>3</v>
      </c>
      <c r="G4" s="500">
        <f>+E30</f>
        <v>2015</v>
      </c>
      <c r="H4" s="499">
        <v>3</v>
      </c>
      <c r="R4" s="500" t="str">
        <f>INDEX($A$2:$A$8,$P$2)</f>
        <v>Grande Lisboa</v>
      </c>
    </row>
    <row r="5" spans="1:94">
      <c r="A5" s="501" t="s">
        <v>571</v>
      </c>
      <c r="B5" s="499">
        <v>4</v>
      </c>
      <c r="D5" s="501" t="s">
        <v>555</v>
      </c>
      <c r="E5" s="499">
        <v>4</v>
      </c>
      <c r="G5" s="500">
        <f>+F30</f>
        <v>2016</v>
      </c>
      <c r="H5" s="499">
        <v>4</v>
      </c>
      <c r="S5" s="500">
        <f>+C30</f>
        <v>2013</v>
      </c>
      <c r="T5" s="500">
        <f t="shared" ref="T5:Z5" si="0">+D30</f>
        <v>2014</v>
      </c>
      <c r="U5" s="500">
        <f t="shared" si="0"/>
        <v>2015</v>
      </c>
      <c r="V5" s="500">
        <f t="shared" si="0"/>
        <v>2016</v>
      </c>
      <c r="W5" s="500">
        <f t="shared" si="0"/>
        <v>2017</v>
      </c>
      <c r="X5" s="500">
        <f t="shared" si="0"/>
        <v>2018</v>
      </c>
      <c r="Y5" s="500">
        <f t="shared" si="0"/>
        <v>2019</v>
      </c>
      <c r="Z5" s="500">
        <f t="shared" si="0"/>
        <v>2020</v>
      </c>
      <c r="AA5" s="500">
        <f>+K30</f>
        <v>2021</v>
      </c>
      <c r="AB5" s="500">
        <f t="shared" ref="AB5" si="1">+L30</f>
        <v>2022</v>
      </c>
      <c r="AC5" s="500">
        <f>+M30</f>
        <v>2023</v>
      </c>
      <c r="AE5" s="464" t="str">
        <f>+"variação "&amp;AC5&amp;"/"&amp;AB5</f>
        <v>variação 2023/2022</v>
      </c>
      <c r="AF5" s="464" t="str">
        <f>+"variação "&amp;AC5&amp;"/"&amp;S5</f>
        <v>variação 2023/2013</v>
      </c>
      <c r="AR5" s="499" t="s">
        <v>580</v>
      </c>
      <c r="BM5" s="499" t="s">
        <v>580</v>
      </c>
      <c r="CG5" s="499" t="s">
        <v>580</v>
      </c>
    </row>
    <row r="6" spans="1:94">
      <c r="A6" s="501" t="s">
        <v>572</v>
      </c>
      <c r="B6" s="499">
        <v>5</v>
      </c>
      <c r="D6" s="501" t="s">
        <v>556</v>
      </c>
      <c r="E6" s="499">
        <v>5</v>
      </c>
      <c r="G6" s="500">
        <f>+G30</f>
        <v>2017</v>
      </c>
      <c r="H6" s="499">
        <v>5</v>
      </c>
      <c r="R6" s="468" t="s">
        <v>226</v>
      </c>
      <c r="S6" s="511">
        <f>+VLOOKUP($R$4,$B$30:$M$37,COLUMN(C31)-1,0)</f>
        <v>53685</v>
      </c>
      <c r="T6" s="511">
        <f t="shared" ref="T6:AC6" si="2">+VLOOKUP($R$4,$B$30:$M$37,COLUMN(D31)-1,0)</f>
        <v>54415</v>
      </c>
      <c r="U6" s="511">
        <f t="shared" si="2"/>
        <v>55029</v>
      </c>
      <c r="V6" s="511">
        <f t="shared" si="2"/>
        <v>55354</v>
      </c>
      <c r="W6" s="511">
        <f t="shared" si="2"/>
        <v>56108</v>
      </c>
      <c r="X6" s="511">
        <f t="shared" si="2"/>
        <v>57209</v>
      </c>
      <c r="Y6" s="511">
        <f t="shared" si="2"/>
        <v>55559</v>
      </c>
      <c r="Z6" s="511">
        <f t="shared" si="2"/>
        <v>56643</v>
      </c>
      <c r="AA6" s="511">
        <f t="shared" si="2"/>
        <v>54793</v>
      </c>
      <c r="AB6" s="511">
        <f t="shared" si="2"/>
        <v>57854</v>
      </c>
      <c r="AC6" s="511">
        <f t="shared" si="2"/>
        <v>59573</v>
      </c>
      <c r="AD6" s="511" t="str">
        <f>TEXT(AC6,"##.###")</f>
        <v>59.573</v>
      </c>
      <c r="AE6" s="470">
        <f>+(AC6/AB6-1)</f>
        <v>2.9712725135686346E-2</v>
      </c>
      <c r="AF6" s="470">
        <f>+(AC6/S6-1)</f>
        <v>0.10967681847815958</v>
      </c>
      <c r="AG6" s="522">
        <f>+AC6-S6</f>
        <v>5888</v>
      </c>
      <c r="AH6" s="499" t="str">
        <f>IF(AG6&gt;0,", mais",", menos")</f>
        <v>, mais</v>
      </c>
      <c r="AI6" s="499">
        <f>IF(AG6&gt;0,AG6,AG6*-1)</f>
        <v>5888</v>
      </c>
      <c r="AR6" s="500">
        <f>INDEX($G$2:$G$12,$AQ$2)</f>
        <v>2023</v>
      </c>
      <c r="BM6" s="500">
        <f>INDEX($G$2:$G$12,$BL$2)</f>
        <v>2023</v>
      </c>
      <c r="CG6" s="500">
        <f>INDEX($G$2:$G$12,$CF$2)</f>
        <v>2023</v>
      </c>
    </row>
    <row r="7" spans="1:94">
      <c r="A7" s="501" t="s">
        <v>573</v>
      </c>
      <c r="B7" s="499">
        <v>6</v>
      </c>
      <c r="D7" s="501" t="s">
        <v>557</v>
      </c>
      <c r="E7" s="499">
        <v>6</v>
      </c>
      <c r="G7" s="500">
        <f>+H30</f>
        <v>2018</v>
      </c>
      <c r="H7" s="499">
        <v>6</v>
      </c>
      <c r="R7" s="468" t="s">
        <v>211</v>
      </c>
      <c r="S7" s="511">
        <f>+VLOOKUP($R$4,$B$70:$M$77,COLUMN(C71)-1,0)</f>
        <v>64587</v>
      </c>
      <c r="T7" s="511">
        <f t="shared" ref="T7:AC7" si="3">+VLOOKUP($R$4,$B$70:$M$77,COLUMN(D71)-1,0)</f>
        <v>65289</v>
      </c>
      <c r="U7" s="511">
        <f t="shared" si="3"/>
        <v>65847</v>
      </c>
      <c r="V7" s="511">
        <f t="shared" si="3"/>
        <v>66220</v>
      </c>
      <c r="W7" s="511">
        <f t="shared" si="3"/>
        <v>66764</v>
      </c>
      <c r="X7" s="511">
        <f t="shared" si="3"/>
        <v>67989</v>
      </c>
      <c r="Y7" s="511">
        <f t="shared" si="3"/>
        <v>66115</v>
      </c>
      <c r="Z7" s="511">
        <f t="shared" si="3"/>
        <v>67101</v>
      </c>
      <c r="AA7" s="511">
        <f t="shared" si="3"/>
        <v>64927</v>
      </c>
      <c r="AB7" s="511">
        <f t="shared" si="3"/>
        <v>68270</v>
      </c>
      <c r="AC7" s="511">
        <f t="shared" si="3"/>
        <v>70103.999999999985</v>
      </c>
      <c r="AD7" s="511" t="str">
        <f>TEXT(AC7,"##.###")</f>
        <v>70.104</v>
      </c>
      <c r="AE7" s="470">
        <f>+(AC7/AB7-1)</f>
        <v>2.686392266002624E-2</v>
      </c>
      <c r="AF7" s="470">
        <f>+(AC7/S7-1)</f>
        <v>8.5419666496353575E-2</v>
      </c>
      <c r="AG7" s="522">
        <f>+AC7-S7</f>
        <v>5516.9999999999854</v>
      </c>
      <c r="AH7" s="499" t="str">
        <f>IF(AG7&gt;0,", mais",", menos")</f>
        <v>, mais</v>
      </c>
      <c r="AI7" s="499">
        <f>IF(AG7&gt;0,AG7,AG7*-1)</f>
        <v>5516.9999999999854</v>
      </c>
      <c r="AS7" s="623" t="s">
        <v>226</v>
      </c>
      <c r="AT7" s="623" t="s">
        <v>211</v>
      </c>
      <c r="AU7" s="471" t="s">
        <v>348</v>
      </c>
      <c r="AV7" s="471" t="s">
        <v>349</v>
      </c>
      <c r="AW7" s="471" t="s">
        <v>346</v>
      </c>
      <c r="AX7" s="471" t="s">
        <v>347</v>
      </c>
      <c r="BN7" s="583" t="s">
        <v>212</v>
      </c>
      <c r="BO7" s="583" t="s">
        <v>185</v>
      </c>
      <c r="BP7" s="471" t="s">
        <v>353</v>
      </c>
      <c r="BQ7" s="471" t="s">
        <v>354</v>
      </c>
      <c r="BR7" s="471" t="s">
        <v>355</v>
      </c>
      <c r="BS7" s="471" t="s">
        <v>356</v>
      </c>
      <c r="CH7" s="623" t="s">
        <v>296</v>
      </c>
      <c r="CI7" s="623" t="s">
        <v>297</v>
      </c>
      <c r="CJ7" s="683" t="s">
        <v>360</v>
      </c>
      <c r="CK7" s="683" t="s">
        <v>361</v>
      </c>
      <c r="CL7" s="683" t="s">
        <v>362</v>
      </c>
      <c r="CM7" s="683" t="s">
        <v>363</v>
      </c>
      <c r="CN7" s="684" t="s">
        <v>365</v>
      </c>
      <c r="CO7" s="499" t="s">
        <v>366</v>
      </c>
    </row>
    <row r="8" spans="1:94">
      <c r="A8" s="501" t="s">
        <v>578</v>
      </c>
      <c r="B8" s="499">
        <v>7</v>
      </c>
      <c r="D8" s="501" t="s">
        <v>558</v>
      </c>
      <c r="E8" s="499">
        <v>7</v>
      </c>
      <c r="G8" s="500">
        <f>+I30</f>
        <v>2019</v>
      </c>
      <c r="H8" s="499">
        <v>7</v>
      </c>
      <c r="AQ8" s="774" t="s">
        <v>551</v>
      </c>
      <c r="AR8" s="501" t="s">
        <v>552</v>
      </c>
      <c r="AS8" s="511">
        <f>INDEX($B$40:$M$65,MATCH($AR$8:$AR$32,$B$40:$B$65,0),MATCH($AR$6,$B$40:$M$40,0))</f>
        <v>7381</v>
      </c>
      <c r="AT8" s="511">
        <f>INDEX($B$80:$M$105,MATCH($AR$8:$AR$32,$B$80:$B$105,0),MATCH($AR$6,$B$80:$M$80,0))</f>
        <v>8480</v>
      </c>
      <c r="AU8" s="525">
        <f>+AS8/$AS$32*100</f>
        <v>2.5342315245903873</v>
      </c>
      <c r="AV8" s="525">
        <f>+AT8/$AT$32*100</f>
        <v>2.4914503296470842</v>
      </c>
      <c r="AW8" s="514">
        <f>RANK(AS8,$AS$8:$AS$31,0)</f>
        <v>12</v>
      </c>
      <c r="AX8" s="514">
        <f>RANK(AT8,$AT$8:$AT$31,0)</f>
        <v>13</v>
      </c>
      <c r="AY8" s="499" t="str">
        <f>+AR8</f>
        <v>Alto Minho</v>
      </c>
      <c r="BL8" s="774" t="s">
        <v>551</v>
      </c>
      <c r="BM8" s="501" t="s">
        <v>552</v>
      </c>
      <c r="BN8" s="511">
        <f>INDEX($B$120:$M$145,MATCH($BM$8:$BM$32,$B$120:$B$145,0),MATCH($BM$6,$B$120:$M$120,0))</f>
        <v>72633</v>
      </c>
      <c r="BO8" s="511">
        <f>INDEX($B$160:$M$185,MATCH($BM$8:$BM$32,$B$160:$B$185,0),MATCH($BM$6,$B$160:$M$160,0))</f>
        <v>68117</v>
      </c>
      <c r="BP8" s="525">
        <f>+BN8/$BN$32*100</f>
        <v>2.0814234824046314</v>
      </c>
      <c r="BQ8" s="525">
        <f>+BO8/$BO$32*100</f>
        <v>2.0665725361893674</v>
      </c>
      <c r="BR8" s="514">
        <f>RANK(BN8,$BN$8:$BN$31,0)</f>
        <v>14</v>
      </c>
      <c r="BS8" s="514">
        <f>RANK(BO8,$BO$8:$BO$31,0)</f>
        <v>14</v>
      </c>
      <c r="BT8" s="499" t="str">
        <f>+BM8</f>
        <v>Alto Minho</v>
      </c>
      <c r="CF8" s="774" t="s">
        <v>551</v>
      </c>
      <c r="CG8" s="501" t="s">
        <v>552</v>
      </c>
      <c r="CH8" s="512">
        <f>INDEX($B$200:$M$225,MATCH($CG$8:$CG$32,$B$200:$B$225,0),MATCH($CG$6,$B$200:$M$200,0))</f>
        <v>1022.16</v>
      </c>
      <c r="CI8" s="512">
        <f>INDEX($B$240:$M$265,MATCH($CG$8:$CG$32,$B$240:$B$265,0),MATCH($CG$6,$B$240:$M$240,0))</f>
        <v>1237.67</v>
      </c>
      <c r="CJ8" s="525">
        <f>+CH8/$CH$38*100</f>
        <v>89.882344665060415</v>
      </c>
      <c r="CK8" s="525">
        <f>+CI8/$CI$38*100</f>
        <v>91.770349828718878</v>
      </c>
      <c r="CL8" s="514">
        <f>RANK(CH8,$CH$8:$CH$31,0)</f>
        <v>16</v>
      </c>
      <c r="CM8" s="514">
        <f>RANK(CI8,$CI$8:$CI$31,0)</f>
        <v>16</v>
      </c>
      <c r="CN8" s="512">
        <f>+CH8-$CH$32</f>
        <v>-197.70999999999992</v>
      </c>
      <c r="CO8" s="512">
        <f>+CI8-$CI$32</f>
        <v>-228.99</v>
      </c>
      <c r="CP8" s="499" t="str">
        <f>+CG8</f>
        <v>Alto Minho</v>
      </c>
    </row>
    <row r="9" spans="1:94">
      <c r="A9" s="501"/>
      <c r="D9" s="501" t="s">
        <v>559</v>
      </c>
      <c r="E9" s="499">
        <v>8</v>
      </c>
      <c r="G9" s="500">
        <f>+J30</f>
        <v>2020</v>
      </c>
      <c r="H9" s="499">
        <v>8</v>
      </c>
      <c r="AD9" s="523"/>
      <c r="AF9" s="525">
        <f>+(AC6/S6-1)*100</f>
        <v>10.967681847815957</v>
      </c>
      <c r="AQ9" s="774"/>
      <c r="AR9" s="501" t="s">
        <v>553</v>
      </c>
      <c r="AS9" s="511">
        <f t="shared" ref="AS9:AS32" si="4">INDEX($B$40:$M$65,MATCH($AR$8:$AR$32,$B$40:$B$65,0),MATCH($AR$6,$B$40:$M$40,0))</f>
        <v>15022.000000000002</v>
      </c>
      <c r="AT9" s="511">
        <f t="shared" ref="AT9:AT32" si="5">INDEX($B$80:$M$105,MATCH($AR$8:$AR$32,$B$80:$B$105,0),MATCH($AR$6,$B$80:$M$80,0))</f>
        <v>16873</v>
      </c>
      <c r="AU9" s="525">
        <f t="shared" ref="AU9:AU32" si="6">+AS9/$AS$32*100</f>
        <v>5.1577328224355519</v>
      </c>
      <c r="AV9" s="525">
        <f t="shared" ref="AV9:AV32" si="7">+AT9/$AT$32*100</f>
        <v>4.9573397891668929</v>
      </c>
      <c r="AW9" s="514">
        <f t="shared" ref="AW9:AW31" si="8">RANK(AS9,$AS$8:$AS$31,0)</f>
        <v>4</v>
      </c>
      <c r="AX9" s="514">
        <f t="shared" ref="AX9:AX31" si="9">RANK(AT9,$AT$8:$AT$31,0)</f>
        <v>5</v>
      </c>
      <c r="AY9" s="499" t="str">
        <f t="shared" ref="AY9:AY31" si="10">+AR9</f>
        <v>Cávado</v>
      </c>
      <c r="BL9" s="774"/>
      <c r="BM9" s="501" t="s">
        <v>553</v>
      </c>
      <c r="BN9" s="511">
        <f t="shared" ref="BN9:BN32" si="11">INDEX($B$120:$M$145,MATCH($BM$8:$BM$32,$B$120:$B$145,0),MATCH($BM$6,$B$120:$M$120,0))</f>
        <v>160086</v>
      </c>
      <c r="BO9" s="511">
        <f t="shared" ref="BO9:BO32" si="12">INDEX($B$160:$M$185,MATCH($BM$8:$BM$32,$B$160:$B$185,0),MATCH($BM$6,$B$160:$M$160,0))</f>
        <v>149790</v>
      </c>
      <c r="BP9" s="525">
        <f t="shared" ref="BP9:BP32" si="13">+BN9/$BN$32*100</f>
        <v>4.5875395426903447</v>
      </c>
      <c r="BQ9" s="525">
        <f t="shared" ref="BQ9:BQ32" si="14">+BO9/$BO$32*100</f>
        <v>4.5444147598368296</v>
      </c>
      <c r="BR9" s="514">
        <f t="shared" ref="BR9:BR31" si="15">RANK(BN9,$BN$8:$BN$31,0)</f>
        <v>5</v>
      </c>
      <c r="BS9" s="514">
        <f t="shared" ref="BS9:BS31" si="16">RANK(BO9,$BO$8:$BO$31,0)</f>
        <v>5</v>
      </c>
      <c r="BT9" s="499" t="str">
        <f t="shared" ref="BT9:BT31" si="17">+BM9</f>
        <v>Cávado</v>
      </c>
      <c r="CF9" s="774"/>
      <c r="CG9" s="501" t="s">
        <v>553</v>
      </c>
      <c r="CH9" s="512">
        <f t="shared" ref="CH9:CH32" si="18">INDEX($B$200:$M$225,MATCH($CG$8:$CG$32,$B$200:$B$225,0),MATCH($CG$6,$B$200:$M$200,0))</f>
        <v>1092.31</v>
      </c>
      <c r="CI9" s="512">
        <f t="shared" ref="CI9:CI32" si="19">INDEX($B$240:$M$265,MATCH($CG$8:$CG$32,$B$240:$B$265,0),MATCH($CG$6,$B$240:$M$240,0))</f>
        <v>1276.47</v>
      </c>
      <c r="CJ9" s="525">
        <f t="shared" ref="CJ9:CJ15" si="20">+CH9/$CH$38*100</f>
        <v>96.050896044740668</v>
      </c>
      <c r="CK9" s="525">
        <f t="shared" ref="CK9:CK15" si="21">+CI9/$CI$38*100</f>
        <v>94.647279521895797</v>
      </c>
      <c r="CL9" s="514">
        <f t="shared" ref="CL9:CL31" si="22">RANK(CH9,$CH$8:$CH$31,0)</f>
        <v>7</v>
      </c>
      <c r="CM9" s="514">
        <f t="shared" ref="CM9:CM31" si="23">RANK(CI9,$CI$8:$CI$31,0)</f>
        <v>9</v>
      </c>
      <c r="CN9" s="512">
        <f t="shared" ref="CN9:CN31" si="24">+CH9-$CH$32</f>
        <v>-127.55999999999995</v>
      </c>
      <c r="CO9" s="512">
        <f t="shared" ref="CO9:CO31" si="25">+CI9-$CI$32</f>
        <v>-190.19000000000005</v>
      </c>
      <c r="CP9" s="499" t="str">
        <f t="shared" ref="CP9:CP31" si="26">+CG9</f>
        <v>Cávado</v>
      </c>
    </row>
    <row r="10" spans="1:94">
      <c r="A10" s="501"/>
      <c r="D10" s="501" t="s">
        <v>561</v>
      </c>
      <c r="E10" s="499">
        <v>9</v>
      </c>
      <c r="G10" s="500">
        <f>+K30</f>
        <v>2021</v>
      </c>
      <c r="H10" s="499">
        <v>9</v>
      </c>
      <c r="Z10" s="521" t="s">
        <v>597</v>
      </c>
      <c r="AA10" s="521"/>
      <c r="AB10" s="521"/>
      <c r="AF10" s="525">
        <f>+(AC7/S7-1)*100</f>
        <v>8.5419666496353575</v>
      </c>
      <c r="AQ10" s="774"/>
      <c r="AR10" s="501" t="s">
        <v>554</v>
      </c>
      <c r="AS10" s="511">
        <f t="shared" si="4"/>
        <v>13849.999999999998</v>
      </c>
      <c r="AT10" s="511">
        <f t="shared" si="5"/>
        <v>15408.999999999998</v>
      </c>
      <c r="AU10" s="525">
        <f t="shared" si="6"/>
        <v>4.7553321522255612</v>
      </c>
      <c r="AV10" s="525">
        <f t="shared" si="7"/>
        <v>4.5272120435768768</v>
      </c>
      <c r="AW10" s="514">
        <f t="shared" si="8"/>
        <v>6</v>
      </c>
      <c r="AX10" s="514">
        <f t="shared" si="9"/>
        <v>6</v>
      </c>
      <c r="AY10" s="499" t="str">
        <f t="shared" si="10"/>
        <v>Ave</v>
      </c>
      <c r="BL10" s="774"/>
      <c r="BM10" s="501" t="s">
        <v>554</v>
      </c>
      <c r="BN10" s="511">
        <f t="shared" si="11"/>
        <v>150333</v>
      </c>
      <c r="BO10" s="511">
        <f t="shared" si="12"/>
        <v>141278</v>
      </c>
      <c r="BP10" s="525">
        <f t="shared" si="13"/>
        <v>4.3080505607690087</v>
      </c>
      <c r="BQ10" s="525">
        <f t="shared" si="14"/>
        <v>4.2861728315657093</v>
      </c>
      <c r="BR10" s="514">
        <f t="shared" si="15"/>
        <v>6</v>
      </c>
      <c r="BS10" s="514">
        <f t="shared" si="16"/>
        <v>6</v>
      </c>
      <c r="BT10" s="499" t="str">
        <f t="shared" si="17"/>
        <v>Ave</v>
      </c>
      <c r="CF10" s="774"/>
      <c r="CG10" s="501" t="s">
        <v>554</v>
      </c>
      <c r="CH10" s="512">
        <f t="shared" si="18"/>
        <v>1028.49</v>
      </c>
      <c r="CI10" s="512">
        <f t="shared" si="19"/>
        <v>1215.1300000000001</v>
      </c>
      <c r="CJ10" s="525">
        <f t="shared" si="20"/>
        <v>90.43896519582843</v>
      </c>
      <c r="CK10" s="525">
        <f t="shared" si="21"/>
        <v>90.099061290466096</v>
      </c>
      <c r="CL10" s="514">
        <f t="shared" si="22"/>
        <v>15</v>
      </c>
      <c r="CM10" s="514">
        <f t="shared" si="23"/>
        <v>17</v>
      </c>
      <c r="CN10" s="512">
        <f t="shared" si="24"/>
        <v>-191.37999999999988</v>
      </c>
      <c r="CO10" s="512">
        <f t="shared" si="25"/>
        <v>-251.52999999999997</v>
      </c>
      <c r="CP10" s="499" t="str">
        <f t="shared" si="26"/>
        <v>Ave</v>
      </c>
    </row>
    <row r="11" spans="1:94">
      <c r="A11" s="501"/>
      <c r="D11" s="501" t="s">
        <v>562</v>
      </c>
      <c r="E11" s="499">
        <v>10</v>
      </c>
      <c r="G11" s="500">
        <f>+L30</f>
        <v>2022</v>
      </c>
      <c r="H11" s="499">
        <v>10</v>
      </c>
      <c r="AQ11" s="774"/>
      <c r="AR11" s="501" t="s">
        <v>555</v>
      </c>
      <c r="AS11" s="687">
        <f t="shared" si="4"/>
        <v>52107</v>
      </c>
      <c r="AT11" s="687">
        <f t="shared" si="5"/>
        <v>60584.999999999985</v>
      </c>
      <c r="AU11" s="525">
        <f t="shared" si="6"/>
        <v>17.890692596102333</v>
      </c>
      <c r="AV11" s="525">
        <f t="shared" si="7"/>
        <v>17.800061111045821</v>
      </c>
      <c r="AW11" s="514">
        <f t="shared" si="8"/>
        <v>2</v>
      </c>
      <c r="AX11" s="514">
        <f t="shared" si="9"/>
        <v>2</v>
      </c>
      <c r="AY11" s="499" t="str">
        <f t="shared" si="10"/>
        <v>Área Metropolitana do Porto</v>
      </c>
      <c r="AZ11" s="525"/>
      <c r="BA11" s="525"/>
      <c r="BL11" s="774"/>
      <c r="BM11" s="501" t="s">
        <v>555</v>
      </c>
      <c r="BN11" s="511">
        <f t="shared" si="11"/>
        <v>658882.00000000012</v>
      </c>
      <c r="BO11" s="511">
        <f t="shared" si="12"/>
        <v>622620</v>
      </c>
      <c r="BP11" s="525">
        <f t="shared" si="13"/>
        <v>18.881396430461756</v>
      </c>
      <c r="BQ11" s="525">
        <f t="shared" si="14"/>
        <v>18.889401947857714</v>
      </c>
      <c r="BR11" s="514">
        <f t="shared" si="15"/>
        <v>2</v>
      </c>
      <c r="BS11" s="514">
        <f t="shared" si="16"/>
        <v>2</v>
      </c>
      <c r="BT11" s="499" t="str">
        <f t="shared" si="17"/>
        <v>Área Metropolitana do Porto</v>
      </c>
      <c r="CF11" s="774"/>
      <c r="CG11" s="501" t="s">
        <v>555</v>
      </c>
      <c r="CH11" s="512">
        <f t="shared" si="18"/>
        <v>1242.23</v>
      </c>
      <c r="CI11" s="512">
        <f t="shared" si="19"/>
        <v>1480.08</v>
      </c>
      <c r="CJ11" s="525">
        <f t="shared" si="20"/>
        <v>109.23392131689558</v>
      </c>
      <c r="CK11" s="525">
        <f t="shared" si="21"/>
        <v>109.74448712054927</v>
      </c>
      <c r="CL11" s="514">
        <f t="shared" si="22"/>
        <v>2</v>
      </c>
      <c r="CM11" s="514">
        <f t="shared" si="23"/>
        <v>2</v>
      </c>
      <c r="CN11" s="512">
        <f t="shared" si="24"/>
        <v>22.360000000000127</v>
      </c>
      <c r="CO11" s="512">
        <f t="shared" si="25"/>
        <v>13.419999999999845</v>
      </c>
      <c r="CP11" s="499" t="str">
        <f t="shared" si="26"/>
        <v>Área Metropolitana do Porto</v>
      </c>
    </row>
    <row r="12" spans="1:94" ht="12.75" customHeight="1">
      <c r="A12" s="501"/>
      <c r="D12" s="501" t="s">
        <v>563</v>
      </c>
      <c r="E12" s="499">
        <v>11</v>
      </c>
      <c r="G12" s="500">
        <f>+M30</f>
        <v>2023</v>
      </c>
      <c r="H12" s="499">
        <v>11</v>
      </c>
      <c r="Z12" s="499">
        <f>+AC5</f>
        <v>2023</v>
      </c>
      <c r="AA12" s="499" t="s">
        <v>443</v>
      </c>
      <c r="AB12" s="499" t="s">
        <v>598</v>
      </c>
      <c r="AQ12" s="774"/>
      <c r="AR12" s="501" t="s">
        <v>556</v>
      </c>
      <c r="AS12" s="688">
        <f t="shared" si="4"/>
        <v>2397</v>
      </c>
      <c r="AT12" s="688">
        <f t="shared" si="5"/>
        <v>2746</v>
      </c>
      <c r="AU12" s="525">
        <f t="shared" si="6"/>
        <v>0.82299864035268389</v>
      </c>
      <c r="AV12" s="525">
        <f t="shared" si="7"/>
        <v>0.80678332608619019</v>
      </c>
      <c r="AW12" s="514">
        <f t="shared" si="8"/>
        <v>24</v>
      </c>
      <c r="AX12" s="514">
        <f t="shared" si="9"/>
        <v>24</v>
      </c>
      <c r="AY12" s="499" t="str">
        <f t="shared" si="10"/>
        <v>Alto Tâmega e Barroso</v>
      </c>
      <c r="AZ12" s="525"/>
      <c r="BA12" s="525"/>
      <c r="BL12" s="774"/>
      <c r="BM12" s="501" t="s">
        <v>556</v>
      </c>
      <c r="BN12" s="511">
        <f t="shared" si="11"/>
        <v>16238</v>
      </c>
      <c r="BO12" s="511">
        <f t="shared" si="12"/>
        <v>14953</v>
      </c>
      <c r="BP12" s="525">
        <f t="shared" si="13"/>
        <v>0.46532780564325316</v>
      </c>
      <c r="BQ12" s="525">
        <f t="shared" si="14"/>
        <v>0.45365267310127588</v>
      </c>
      <c r="BR12" s="514">
        <f t="shared" si="15"/>
        <v>24</v>
      </c>
      <c r="BS12" s="514">
        <f t="shared" si="16"/>
        <v>24</v>
      </c>
      <c r="BT12" s="499" t="str">
        <f t="shared" si="17"/>
        <v>Alto Tâmega e Barroso</v>
      </c>
      <c r="CF12" s="774"/>
      <c r="CG12" s="501" t="s">
        <v>556</v>
      </c>
      <c r="CH12" s="512">
        <f t="shared" si="18"/>
        <v>964</v>
      </c>
      <c r="CI12" s="512">
        <f t="shared" si="19"/>
        <v>1128.21</v>
      </c>
      <c r="CJ12" s="525">
        <f t="shared" si="20"/>
        <v>84.768118745713224</v>
      </c>
      <c r="CK12" s="525">
        <f t="shared" si="21"/>
        <v>83.654145596369716</v>
      </c>
      <c r="CL12" s="514">
        <f t="shared" si="22"/>
        <v>23</v>
      </c>
      <c r="CM12" s="514">
        <f t="shared" si="23"/>
        <v>23</v>
      </c>
      <c r="CN12" s="512">
        <f t="shared" si="24"/>
        <v>-255.86999999999989</v>
      </c>
      <c r="CO12" s="512">
        <f t="shared" si="25"/>
        <v>-338.45000000000005</v>
      </c>
      <c r="CP12" s="499" t="str">
        <f t="shared" si="26"/>
        <v>Alto Tâmega e Barroso</v>
      </c>
    </row>
    <row r="13" spans="1:94">
      <c r="A13" s="501"/>
      <c r="D13" s="501" t="s">
        <v>564</v>
      </c>
      <c r="E13" s="499">
        <v>12</v>
      </c>
      <c r="Z13" s="499" t="s">
        <v>308</v>
      </c>
      <c r="AA13" s="499" t="str">
        <f>+R4</f>
        <v>Grande Lisboa</v>
      </c>
      <c r="AD13" s="770" t="str">
        <f>CONCATENATE(Z12,AA12,CHAR(10),AB12,AA13,Z14,AA15,Z16,AA17,Z18,AA19," ",AA20,AB21,AA22,Z23,AA24,Z25,AA26," ",AA27,AB28)</f>
        <v>2023:
A região Grande Lisboa era a sede de 59.573 empresas (variação de 11% face a 2013, ou seja, mais 5.888) e era a localização de 70.104 estabelecimentos (variação de 8,5% face a 2013, ou seja, mais 5.517).</v>
      </c>
      <c r="AE13" s="770"/>
      <c r="AF13" s="770"/>
      <c r="AG13" s="770"/>
      <c r="AQ13" s="774"/>
      <c r="AR13" s="501" t="s">
        <v>557</v>
      </c>
      <c r="AS13" s="511">
        <f t="shared" si="4"/>
        <v>13558</v>
      </c>
      <c r="AT13" s="511">
        <f t="shared" si="5"/>
        <v>14776</v>
      </c>
      <c r="AU13" s="525">
        <f t="shared" si="6"/>
        <v>4.6550753299548129</v>
      </c>
      <c r="AV13" s="525">
        <f t="shared" si="7"/>
        <v>4.3412346781680791</v>
      </c>
      <c r="AW13" s="514">
        <f t="shared" si="8"/>
        <v>7</v>
      </c>
      <c r="AX13" s="514">
        <f t="shared" si="9"/>
        <v>7</v>
      </c>
      <c r="AY13" s="499" t="str">
        <f t="shared" si="10"/>
        <v>Tâmega e Sousa</v>
      </c>
      <c r="BL13" s="774"/>
      <c r="BM13" s="501" t="s">
        <v>557</v>
      </c>
      <c r="BN13" s="511">
        <f t="shared" si="11"/>
        <v>138339</v>
      </c>
      <c r="BO13" s="511">
        <f t="shared" si="12"/>
        <v>130339.99999999999</v>
      </c>
      <c r="BP13" s="525">
        <f t="shared" si="13"/>
        <v>3.964341871220717</v>
      </c>
      <c r="BQ13" s="525">
        <f t="shared" si="14"/>
        <v>3.9543295266515273</v>
      </c>
      <c r="BR13" s="514">
        <f t="shared" si="15"/>
        <v>8</v>
      </c>
      <c r="BS13" s="514">
        <f t="shared" si="16"/>
        <v>8</v>
      </c>
      <c r="BT13" s="499" t="str">
        <f t="shared" si="17"/>
        <v>Tâmega e Sousa</v>
      </c>
      <c r="CF13" s="774"/>
      <c r="CG13" s="501" t="s">
        <v>557</v>
      </c>
      <c r="CH13" s="512">
        <f t="shared" si="18"/>
        <v>949.32</v>
      </c>
      <c r="CI13" s="512">
        <f t="shared" si="19"/>
        <v>1107.17</v>
      </c>
      <c r="CJ13" s="525">
        <f t="shared" si="20"/>
        <v>83.477251543237017</v>
      </c>
      <c r="CK13" s="525">
        <f t="shared" si="21"/>
        <v>82.09407856687379</v>
      </c>
      <c r="CL13" s="514">
        <f t="shared" si="22"/>
        <v>24</v>
      </c>
      <c r="CM13" s="514">
        <f t="shared" si="23"/>
        <v>24</v>
      </c>
      <c r="CN13" s="512">
        <f t="shared" si="24"/>
        <v>-270.54999999999984</v>
      </c>
      <c r="CO13" s="512">
        <f t="shared" si="25"/>
        <v>-359.49</v>
      </c>
      <c r="CP13" s="499" t="str">
        <f t="shared" si="26"/>
        <v>Tâmega e Sousa</v>
      </c>
    </row>
    <row r="14" spans="1:94">
      <c r="A14" s="501"/>
      <c r="D14" s="501" t="s">
        <v>565</v>
      </c>
      <c r="E14" s="499">
        <v>13</v>
      </c>
      <c r="Z14" s="499" t="s">
        <v>450</v>
      </c>
      <c r="AD14" s="770"/>
      <c r="AE14" s="770"/>
      <c r="AF14" s="770"/>
      <c r="AG14" s="770"/>
      <c r="AQ14" s="774"/>
      <c r="AR14" s="501" t="s">
        <v>558</v>
      </c>
      <c r="AS14" s="511">
        <f t="shared" si="4"/>
        <v>5412.9999999999991</v>
      </c>
      <c r="AT14" s="511">
        <f t="shared" si="5"/>
        <v>6355.9999999999982</v>
      </c>
      <c r="AU14" s="525">
        <f t="shared" si="6"/>
        <v>1.8585280101080837</v>
      </c>
      <c r="AV14" s="525">
        <f t="shared" si="7"/>
        <v>1.8674125348156676</v>
      </c>
      <c r="AW14" s="514">
        <f t="shared" si="8"/>
        <v>17</v>
      </c>
      <c r="AX14" s="514">
        <f t="shared" si="9"/>
        <v>17</v>
      </c>
      <c r="AY14" s="499" t="str">
        <f t="shared" si="10"/>
        <v>Douro</v>
      </c>
      <c r="BL14" s="774"/>
      <c r="BM14" s="501" t="s">
        <v>558</v>
      </c>
      <c r="BN14" s="511">
        <f t="shared" si="11"/>
        <v>42126.999999999993</v>
      </c>
      <c r="BO14" s="511">
        <f t="shared" si="12"/>
        <v>39343</v>
      </c>
      <c r="BP14" s="525">
        <f t="shared" si="13"/>
        <v>1.2072216078540043</v>
      </c>
      <c r="BQ14" s="525">
        <f t="shared" si="14"/>
        <v>1.1936104539439241</v>
      </c>
      <c r="BR14" s="514">
        <f t="shared" si="15"/>
        <v>18</v>
      </c>
      <c r="BS14" s="514">
        <f t="shared" si="16"/>
        <v>18</v>
      </c>
      <c r="BT14" s="499" t="str">
        <f t="shared" si="17"/>
        <v>Douro</v>
      </c>
      <c r="CF14" s="774"/>
      <c r="CG14" s="501" t="s">
        <v>558</v>
      </c>
      <c r="CH14" s="512">
        <f t="shared" si="18"/>
        <v>988.16</v>
      </c>
      <c r="CI14" s="512">
        <f t="shared" si="19"/>
        <v>1168.78</v>
      </c>
      <c r="CJ14" s="525">
        <f t="shared" si="20"/>
        <v>86.892597738344378</v>
      </c>
      <c r="CK14" s="525">
        <f t="shared" si="21"/>
        <v>86.662316669879729</v>
      </c>
      <c r="CL14" s="514">
        <f t="shared" si="22"/>
        <v>20</v>
      </c>
      <c r="CM14" s="514">
        <f t="shared" si="23"/>
        <v>21</v>
      </c>
      <c r="CN14" s="512">
        <f t="shared" si="24"/>
        <v>-231.70999999999992</v>
      </c>
      <c r="CO14" s="512">
        <f t="shared" si="25"/>
        <v>-297.88000000000011</v>
      </c>
      <c r="CP14" s="499" t="str">
        <f t="shared" si="26"/>
        <v>Douro</v>
      </c>
    </row>
    <row r="15" spans="1:94">
      <c r="A15" s="501"/>
      <c r="D15" s="501" t="s">
        <v>566</v>
      </c>
      <c r="E15" s="499">
        <v>14</v>
      </c>
      <c r="Z15" s="499" t="s">
        <v>316</v>
      </c>
      <c r="AA15" s="522" t="str">
        <f>+AD6</f>
        <v>59.573</v>
      </c>
      <c r="AD15" s="770"/>
      <c r="AE15" s="770"/>
      <c r="AF15" s="770"/>
      <c r="AG15" s="770"/>
      <c r="AQ15" s="774"/>
      <c r="AR15" s="501" t="s">
        <v>559</v>
      </c>
      <c r="AS15" s="511">
        <f t="shared" si="4"/>
        <v>3258</v>
      </c>
      <c r="AT15" s="511">
        <f t="shared" si="5"/>
        <v>3777.0000000000009</v>
      </c>
      <c r="AU15" s="525">
        <f t="shared" si="6"/>
        <v>1.1186189279386916</v>
      </c>
      <c r="AV15" s="525">
        <f t="shared" si="7"/>
        <v>1.1096943272496507</v>
      </c>
      <c r="AW15" s="514">
        <f t="shared" si="8"/>
        <v>20</v>
      </c>
      <c r="AX15" s="514">
        <f t="shared" si="9"/>
        <v>20</v>
      </c>
      <c r="AY15" s="499" t="str">
        <f t="shared" si="10"/>
        <v>Terras de Trás-os-Montes</v>
      </c>
      <c r="BL15" s="774"/>
      <c r="BM15" s="501" t="s">
        <v>559</v>
      </c>
      <c r="BN15" s="511">
        <f t="shared" si="11"/>
        <v>21461.999999999993</v>
      </c>
      <c r="BO15" s="511">
        <f t="shared" si="12"/>
        <v>19591</v>
      </c>
      <c r="BP15" s="525">
        <f t="shared" si="13"/>
        <v>0.61503050651037661</v>
      </c>
      <c r="BQ15" s="525">
        <f t="shared" si="14"/>
        <v>0.5943629718937401</v>
      </c>
      <c r="BR15" s="514">
        <f t="shared" si="15"/>
        <v>23</v>
      </c>
      <c r="BS15" s="514">
        <f t="shared" si="16"/>
        <v>23</v>
      </c>
      <c r="BT15" s="499" t="str">
        <f t="shared" si="17"/>
        <v>Terras de Trás-os-Montes</v>
      </c>
      <c r="CF15" s="774"/>
      <c r="CG15" s="501" t="s">
        <v>559</v>
      </c>
      <c r="CH15" s="512">
        <f t="shared" si="18"/>
        <v>965.83</v>
      </c>
      <c r="CI15" s="512">
        <f t="shared" si="19"/>
        <v>1149.46</v>
      </c>
      <c r="CJ15" s="525">
        <f t="shared" si="20"/>
        <v>84.929037477357056</v>
      </c>
      <c r="CK15" s="525">
        <f t="shared" si="21"/>
        <v>85.229783637091629</v>
      </c>
      <c r="CL15" s="514">
        <f t="shared" si="22"/>
        <v>22</v>
      </c>
      <c r="CM15" s="514">
        <f t="shared" si="23"/>
        <v>22</v>
      </c>
      <c r="CN15" s="512">
        <f t="shared" si="24"/>
        <v>-254.03999999999985</v>
      </c>
      <c r="CO15" s="512">
        <f t="shared" si="25"/>
        <v>-317.20000000000005</v>
      </c>
      <c r="CP15" s="499" t="str">
        <f t="shared" si="26"/>
        <v>Terras de Trás-os-Montes</v>
      </c>
    </row>
    <row r="16" spans="1:94">
      <c r="A16" s="501"/>
      <c r="D16" s="501" t="s">
        <v>568</v>
      </c>
      <c r="E16" s="499">
        <v>15</v>
      </c>
      <c r="Z16" s="499" t="s">
        <v>858</v>
      </c>
      <c r="AD16" s="770"/>
      <c r="AE16" s="770"/>
      <c r="AF16" s="770"/>
      <c r="AG16" s="770"/>
      <c r="AQ16" s="774" t="s">
        <v>560</v>
      </c>
      <c r="AR16" s="501" t="s">
        <v>561</v>
      </c>
      <c r="AS16" s="511">
        <f t="shared" si="4"/>
        <v>9766</v>
      </c>
      <c r="AT16" s="511">
        <f t="shared" si="5"/>
        <v>11485</v>
      </c>
      <c r="AU16" s="525">
        <f t="shared" si="6"/>
        <v>3.3531100215620815</v>
      </c>
      <c r="AV16" s="525">
        <f t="shared" si="7"/>
        <v>3.3743286599052782</v>
      </c>
      <c r="AW16" s="514">
        <f t="shared" si="8"/>
        <v>11</v>
      </c>
      <c r="AX16" s="514">
        <f t="shared" si="9"/>
        <v>11</v>
      </c>
      <c r="AY16" s="499" t="str">
        <f t="shared" si="10"/>
        <v>Região de Aveiro</v>
      </c>
      <c r="BL16" s="774" t="s">
        <v>560</v>
      </c>
      <c r="BM16" s="501" t="s">
        <v>561</v>
      </c>
      <c r="BN16" s="511">
        <f t="shared" si="11"/>
        <v>139483</v>
      </c>
      <c r="BO16" s="511">
        <f t="shared" si="12"/>
        <v>131410.00000000003</v>
      </c>
      <c r="BP16" s="525">
        <f t="shared" si="13"/>
        <v>3.9971251579343439</v>
      </c>
      <c r="BQ16" s="525">
        <f t="shared" si="14"/>
        <v>3.9867917991198203</v>
      </c>
      <c r="BR16" s="514">
        <f t="shared" si="15"/>
        <v>7</v>
      </c>
      <c r="BS16" s="514">
        <f t="shared" si="16"/>
        <v>7</v>
      </c>
      <c r="BT16" s="499" t="str">
        <f t="shared" si="17"/>
        <v>Região de Aveiro</v>
      </c>
      <c r="CF16" s="774" t="s">
        <v>560</v>
      </c>
      <c r="CG16" s="501" t="s">
        <v>561</v>
      </c>
      <c r="CH16" s="512">
        <f t="shared" si="18"/>
        <v>1142.06</v>
      </c>
      <c r="CI16" s="512">
        <f t="shared" si="19"/>
        <v>1382.49</v>
      </c>
      <c r="CJ16" s="525">
        <f>+CH16/$CH$39*100</f>
        <v>106.19566127037557</v>
      </c>
      <c r="CK16" s="525">
        <f>+CI16/$CI$39*100</f>
        <v>105.8795147504825</v>
      </c>
      <c r="CL16" s="514">
        <f t="shared" si="22"/>
        <v>4</v>
      </c>
      <c r="CM16" s="514">
        <f t="shared" si="23"/>
        <v>6</v>
      </c>
      <c r="CN16" s="512">
        <f t="shared" si="24"/>
        <v>-77.809999999999945</v>
      </c>
      <c r="CO16" s="512">
        <f t="shared" si="25"/>
        <v>-84.170000000000073</v>
      </c>
      <c r="CP16" s="499" t="str">
        <f t="shared" si="26"/>
        <v>Região de Aveiro</v>
      </c>
    </row>
    <row r="17" spans="1:94">
      <c r="A17" s="501"/>
      <c r="D17" s="501" t="s">
        <v>569</v>
      </c>
      <c r="E17" s="499">
        <v>16</v>
      </c>
      <c r="Z17" s="499" t="s">
        <v>317</v>
      </c>
      <c r="AA17" s="525">
        <f>ROUND(AF9,1)</f>
        <v>11</v>
      </c>
      <c r="AD17" s="770"/>
      <c r="AE17" s="770"/>
      <c r="AF17" s="770"/>
      <c r="AG17" s="770"/>
      <c r="AQ17" s="774"/>
      <c r="AR17" s="501" t="s">
        <v>562</v>
      </c>
      <c r="AS17" s="687">
        <f t="shared" si="4"/>
        <v>11047.999999999998</v>
      </c>
      <c r="AT17" s="687">
        <f t="shared" si="5"/>
        <v>13431.000000000004</v>
      </c>
      <c r="AU17" s="525">
        <f t="shared" si="6"/>
        <v>3.7932786727644761</v>
      </c>
      <c r="AV17" s="525">
        <f t="shared" si="7"/>
        <v>3.9460695020625001</v>
      </c>
      <c r="AW17" s="514">
        <f t="shared" si="8"/>
        <v>9</v>
      </c>
      <c r="AX17" s="514">
        <f t="shared" si="9"/>
        <v>8</v>
      </c>
      <c r="AY17" s="499" t="str">
        <f t="shared" si="10"/>
        <v>Região de Coimbra</v>
      </c>
      <c r="BL17" s="774"/>
      <c r="BM17" s="501" t="s">
        <v>562</v>
      </c>
      <c r="BN17" s="511">
        <f t="shared" si="11"/>
        <v>122152</v>
      </c>
      <c r="BO17" s="511">
        <f t="shared" si="12"/>
        <v>114228</v>
      </c>
      <c r="BP17" s="525">
        <f t="shared" si="13"/>
        <v>3.5004755582543825</v>
      </c>
      <c r="BQ17" s="525">
        <f t="shared" si="14"/>
        <v>3.4655144481383364</v>
      </c>
      <c r="BR17" s="514">
        <f t="shared" si="15"/>
        <v>9</v>
      </c>
      <c r="BS17" s="514">
        <f t="shared" si="16"/>
        <v>9</v>
      </c>
      <c r="BT17" s="499" t="str">
        <f t="shared" si="17"/>
        <v>Região de Coimbra</v>
      </c>
      <c r="CF17" s="774"/>
      <c r="CG17" s="501" t="s">
        <v>562</v>
      </c>
      <c r="CH17" s="512">
        <f t="shared" si="18"/>
        <v>1081.05</v>
      </c>
      <c r="CI17" s="512">
        <f t="shared" si="19"/>
        <v>1319.21</v>
      </c>
      <c r="CJ17" s="525">
        <f t="shared" ref="CJ17:CJ21" si="27">+CH17/$CH$39*100</f>
        <v>100.5225816650084</v>
      </c>
      <c r="CK17" s="525">
        <f t="shared" ref="CK17:CK21" si="28">+CI17/$CI$39*100</f>
        <v>101.03314646325398</v>
      </c>
      <c r="CL17" s="514">
        <f t="shared" si="22"/>
        <v>8</v>
      </c>
      <c r="CM17" s="514">
        <f t="shared" si="23"/>
        <v>8</v>
      </c>
      <c r="CN17" s="512">
        <f t="shared" si="24"/>
        <v>-138.81999999999994</v>
      </c>
      <c r="CO17" s="512">
        <f t="shared" si="25"/>
        <v>-147.45000000000005</v>
      </c>
      <c r="CP17" s="499" t="str">
        <f t="shared" si="26"/>
        <v>Região de Coimbra</v>
      </c>
    </row>
    <row r="18" spans="1:94">
      <c r="A18" s="501"/>
      <c r="D18" s="501" t="s">
        <v>570</v>
      </c>
      <c r="E18" s="499">
        <v>17</v>
      </c>
      <c r="Z18" s="499" t="s">
        <v>854</v>
      </c>
      <c r="AD18" s="770"/>
      <c r="AE18" s="770"/>
      <c r="AF18" s="770"/>
      <c r="AG18" s="770"/>
      <c r="AQ18" s="774"/>
      <c r="AR18" s="501" t="s">
        <v>563</v>
      </c>
      <c r="AS18" s="511">
        <f t="shared" si="4"/>
        <v>10426</v>
      </c>
      <c r="AT18" s="511">
        <f t="shared" si="5"/>
        <v>12118.999999999998</v>
      </c>
      <c r="AU18" s="525">
        <f t="shared" si="6"/>
        <v>3.5797179075165131</v>
      </c>
      <c r="AV18" s="525">
        <f t="shared" si="7"/>
        <v>3.5605998284189866</v>
      </c>
      <c r="AW18" s="514">
        <f t="shared" si="8"/>
        <v>10</v>
      </c>
      <c r="AX18" s="514">
        <f t="shared" si="9"/>
        <v>10</v>
      </c>
      <c r="AY18" s="499" t="str">
        <f t="shared" si="10"/>
        <v>Região de Leiria</v>
      </c>
      <c r="BL18" s="774"/>
      <c r="BM18" s="501" t="s">
        <v>563</v>
      </c>
      <c r="BN18" s="511">
        <f t="shared" si="11"/>
        <v>109519</v>
      </c>
      <c r="BO18" s="511">
        <f t="shared" si="12"/>
        <v>101701</v>
      </c>
      <c r="BP18" s="525">
        <f t="shared" si="13"/>
        <v>3.1384552251658726</v>
      </c>
      <c r="BQ18" s="525">
        <f t="shared" si="14"/>
        <v>3.0854631516801216</v>
      </c>
      <c r="BR18" s="514">
        <f t="shared" si="15"/>
        <v>11</v>
      </c>
      <c r="BS18" s="514">
        <f t="shared" si="16"/>
        <v>11</v>
      </c>
      <c r="BT18" s="499" t="str">
        <f t="shared" si="17"/>
        <v>Região de Leiria</v>
      </c>
      <c r="CF18" s="774"/>
      <c r="CG18" s="501" t="s">
        <v>563</v>
      </c>
      <c r="CH18" s="512">
        <f t="shared" si="18"/>
        <v>1096.77</v>
      </c>
      <c r="CI18" s="512">
        <f t="shared" si="19"/>
        <v>1326.74</v>
      </c>
      <c r="CJ18" s="525">
        <f t="shared" si="27"/>
        <v>101.98432255004974</v>
      </c>
      <c r="CK18" s="525">
        <f t="shared" si="28"/>
        <v>101.60983978188278</v>
      </c>
      <c r="CL18" s="514">
        <f t="shared" si="22"/>
        <v>6</v>
      </c>
      <c r="CM18" s="514">
        <f t="shared" si="23"/>
        <v>7</v>
      </c>
      <c r="CN18" s="512">
        <f t="shared" si="24"/>
        <v>-123.09999999999991</v>
      </c>
      <c r="CO18" s="512">
        <f t="shared" si="25"/>
        <v>-139.92000000000007</v>
      </c>
      <c r="CP18" s="499" t="str">
        <f t="shared" si="26"/>
        <v>Região de Leiria</v>
      </c>
    </row>
    <row r="19" spans="1:94">
      <c r="D19" s="501" t="s">
        <v>571</v>
      </c>
      <c r="E19" s="499">
        <v>18</v>
      </c>
      <c r="Z19" s="499" t="s">
        <v>309</v>
      </c>
      <c r="AA19" s="499" t="str">
        <f>+AH6</f>
        <v>, mais</v>
      </c>
      <c r="AD19" s="770"/>
      <c r="AE19" s="770"/>
      <c r="AF19" s="770"/>
      <c r="AG19" s="770"/>
      <c r="AQ19" s="774"/>
      <c r="AR19" s="501" t="s">
        <v>564</v>
      </c>
      <c r="AS19" s="511">
        <f t="shared" si="4"/>
        <v>7366</v>
      </c>
      <c r="AT19" s="511">
        <f t="shared" si="5"/>
        <v>8638</v>
      </c>
      <c r="AU19" s="525">
        <f t="shared" si="6"/>
        <v>2.5290813453641503</v>
      </c>
      <c r="AV19" s="525">
        <f t="shared" si="7"/>
        <v>2.5378712202230558</v>
      </c>
      <c r="AW19" s="514">
        <f t="shared" si="8"/>
        <v>13</v>
      </c>
      <c r="AX19" s="514">
        <f t="shared" si="9"/>
        <v>12</v>
      </c>
      <c r="AY19" s="499" t="str">
        <f t="shared" si="10"/>
        <v>Viseu Dão Lafões</v>
      </c>
      <c r="BL19" s="774"/>
      <c r="BM19" s="501" t="s">
        <v>564</v>
      </c>
      <c r="BN19" s="511">
        <f t="shared" si="11"/>
        <v>77276</v>
      </c>
      <c r="BO19" s="511">
        <f t="shared" si="12"/>
        <v>72453</v>
      </c>
      <c r="BP19" s="525">
        <f t="shared" si="13"/>
        <v>2.2144766294425438</v>
      </c>
      <c r="BQ19" s="525">
        <f t="shared" si="14"/>
        <v>2.198120586116949</v>
      </c>
      <c r="BR19" s="514">
        <f t="shared" si="15"/>
        <v>12</v>
      </c>
      <c r="BS19" s="514">
        <f t="shared" si="16"/>
        <v>12</v>
      </c>
      <c r="BT19" s="499" t="str">
        <f t="shared" si="17"/>
        <v>Viseu Dão Lafões</v>
      </c>
      <c r="CF19" s="774"/>
      <c r="CG19" s="501" t="s">
        <v>564</v>
      </c>
      <c r="CH19" s="512">
        <f t="shared" si="18"/>
        <v>1009.72</v>
      </c>
      <c r="CI19" s="512">
        <f t="shared" si="19"/>
        <v>1239.6199999999999</v>
      </c>
      <c r="CJ19" s="525">
        <f t="shared" si="27"/>
        <v>93.889885906102677</v>
      </c>
      <c r="CK19" s="525">
        <f t="shared" si="28"/>
        <v>94.937658916153538</v>
      </c>
      <c r="CL19" s="514">
        <f t="shared" si="22"/>
        <v>17</v>
      </c>
      <c r="CM19" s="514">
        <f t="shared" si="23"/>
        <v>13</v>
      </c>
      <c r="CN19" s="512">
        <f t="shared" si="24"/>
        <v>-210.14999999999986</v>
      </c>
      <c r="CO19" s="512">
        <f t="shared" si="25"/>
        <v>-227.04000000000019</v>
      </c>
      <c r="CP19" s="499" t="str">
        <f t="shared" si="26"/>
        <v>Viseu Dão Lafões</v>
      </c>
    </row>
    <row r="20" spans="1:94">
      <c r="D20" s="501" t="s">
        <v>572</v>
      </c>
      <c r="E20" s="499">
        <v>19</v>
      </c>
      <c r="Z20" s="499" t="s">
        <v>311</v>
      </c>
      <c r="AA20" s="522" t="str">
        <f>TEXT(AI6,"##.###")</f>
        <v>5.888</v>
      </c>
      <c r="AQ20" s="774"/>
      <c r="AR20" s="501" t="s">
        <v>565</v>
      </c>
      <c r="AS20" s="688">
        <f t="shared" si="4"/>
        <v>2743</v>
      </c>
      <c r="AT20" s="688">
        <f t="shared" si="5"/>
        <v>3270</v>
      </c>
      <c r="AU20" s="525">
        <f t="shared" si="6"/>
        <v>0.94179610783788548</v>
      </c>
      <c r="AV20" s="525">
        <f t="shared" si="7"/>
        <v>0.96073615305966564</v>
      </c>
      <c r="AW20" s="514">
        <f t="shared" si="8"/>
        <v>23</v>
      </c>
      <c r="AX20" s="514">
        <f t="shared" si="9"/>
        <v>23</v>
      </c>
      <c r="AY20" s="499" t="str">
        <f t="shared" si="10"/>
        <v>Beira Baixa</v>
      </c>
      <c r="BL20" s="774"/>
      <c r="BM20" s="501" t="s">
        <v>565</v>
      </c>
      <c r="BN20" s="511">
        <f t="shared" si="11"/>
        <v>23604</v>
      </c>
      <c r="BO20" s="511">
        <f t="shared" si="12"/>
        <v>21994</v>
      </c>
      <c r="BP20" s="525">
        <f t="shared" si="13"/>
        <v>0.67641319894096241</v>
      </c>
      <c r="BQ20" s="525">
        <f t="shared" si="14"/>
        <v>0.66726656137159512</v>
      </c>
      <c r="BR20" s="514">
        <f t="shared" si="15"/>
        <v>22</v>
      </c>
      <c r="BS20" s="514">
        <f t="shared" si="16"/>
        <v>22</v>
      </c>
      <c r="BT20" s="499" t="str">
        <f t="shared" si="17"/>
        <v>Beira Baixa</v>
      </c>
      <c r="CF20" s="774"/>
      <c r="CG20" s="501" t="s">
        <v>565</v>
      </c>
      <c r="CH20" s="512">
        <f t="shared" si="18"/>
        <v>990.62</v>
      </c>
      <c r="CI20" s="512">
        <f t="shared" si="19"/>
        <v>1188.93</v>
      </c>
      <c r="CJ20" s="525">
        <f t="shared" si="27"/>
        <v>92.113852133565175</v>
      </c>
      <c r="CK20" s="525">
        <f t="shared" si="28"/>
        <v>91.055509603896695</v>
      </c>
      <c r="CL20" s="514">
        <f t="shared" si="22"/>
        <v>18</v>
      </c>
      <c r="CM20" s="514">
        <f t="shared" si="23"/>
        <v>19</v>
      </c>
      <c r="CN20" s="512">
        <f t="shared" si="24"/>
        <v>-229.24999999999989</v>
      </c>
      <c r="CO20" s="512">
        <f t="shared" si="25"/>
        <v>-277.73</v>
      </c>
      <c r="CP20" s="499" t="str">
        <f t="shared" si="26"/>
        <v>Beira Baixa</v>
      </c>
    </row>
    <row r="21" spans="1:94">
      <c r="D21" s="501" t="s">
        <v>574</v>
      </c>
      <c r="E21" s="499">
        <v>20</v>
      </c>
      <c r="AB21" s="499" t="s">
        <v>756</v>
      </c>
      <c r="AQ21" s="774"/>
      <c r="AR21" s="501" t="s">
        <v>566</v>
      </c>
      <c r="AS21" s="511">
        <f t="shared" si="4"/>
        <v>5716.9999999999991</v>
      </c>
      <c r="AT21" s="511">
        <f t="shared" si="5"/>
        <v>6677</v>
      </c>
      <c r="AU21" s="525">
        <f t="shared" si="6"/>
        <v>1.9629049757598216</v>
      </c>
      <c r="AV21" s="525">
        <f t="shared" si="7"/>
        <v>1.9617233314921676</v>
      </c>
      <c r="AW21" s="514">
        <f t="shared" si="8"/>
        <v>16</v>
      </c>
      <c r="AX21" s="514">
        <f t="shared" si="9"/>
        <v>16</v>
      </c>
      <c r="AY21" s="499" t="str">
        <f t="shared" si="10"/>
        <v>Beiras e Serra da Estrela</v>
      </c>
      <c r="BL21" s="774"/>
      <c r="BM21" s="501" t="s">
        <v>566</v>
      </c>
      <c r="BN21" s="511">
        <f t="shared" si="11"/>
        <v>52184</v>
      </c>
      <c r="BO21" s="511">
        <f t="shared" si="12"/>
        <v>48989.999999999993</v>
      </c>
      <c r="BP21" s="525">
        <f t="shared" si="13"/>
        <v>1.4954222323985418</v>
      </c>
      <c r="BQ21" s="525">
        <f t="shared" si="14"/>
        <v>1.4862866618893533</v>
      </c>
      <c r="BR21" s="514">
        <f t="shared" si="15"/>
        <v>16</v>
      </c>
      <c r="BS21" s="514">
        <f t="shared" si="16"/>
        <v>16</v>
      </c>
      <c r="BT21" s="499" t="str">
        <f t="shared" si="17"/>
        <v>Beiras e Serra da Estrela</v>
      </c>
      <c r="CF21" s="774"/>
      <c r="CG21" s="501" t="s">
        <v>566</v>
      </c>
      <c r="CH21" s="512">
        <f t="shared" si="18"/>
        <v>979.61</v>
      </c>
      <c r="CI21" s="512">
        <f t="shared" si="19"/>
        <v>1180.54</v>
      </c>
      <c r="CJ21" s="525">
        <f t="shared" si="27"/>
        <v>91.090075597667905</v>
      </c>
      <c r="CK21" s="525">
        <f t="shared" si="28"/>
        <v>90.412952240909235</v>
      </c>
      <c r="CL21" s="514">
        <f t="shared" si="22"/>
        <v>21</v>
      </c>
      <c r="CM21" s="514">
        <f t="shared" si="23"/>
        <v>20</v>
      </c>
      <c r="CN21" s="512">
        <f t="shared" si="24"/>
        <v>-240.25999999999988</v>
      </c>
      <c r="CO21" s="512">
        <f t="shared" si="25"/>
        <v>-286.12000000000012</v>
      </c>
      <c r="CP21" s="499" t="str">
        <f t="shared" si="26"/>
        <v>Beiras e Serra da Estrela</v>
      </c>
    </row>
    <row r="22" spans="1:94">
      <c r="D22" s="501" t="s">
        <v>575</v>
      </c>
      <c r="E22" s="499">
        <v>21</v>
      </c>
      <c r="Z22" s="499" t="s">
        <v>320</v>
      </c>
      <c r="AA22" s="522" t="str">
        <f>+AD7</f>
        <v>70.104</v>
      </c>
      <c r="AQ22" s="774" t="s">
        <v>603</v>
      </c>
      <c r="AR22" s="501" t="s">
        <v>568</v>
      </c>
      <c r="AS22" s="687">
        <f t="shared" si="4"/>
        <v>11504</v>
      </c>
      <c r="AT22" s="687">
        <f t="shared" si="5"/>
        <v>13372</v>
      </c>
      <c r="AU22" s="525">
        <f t="shared" si="6"/>
        <v>3.9498441212420832</v>
      </c>
      <c r="AV22" s="525">
        <f t="shared" si="7"/>
        <v>3.9287351188727371</v>
      </c>
      <c r="AW22" s="514">
        <f t="shared" si="8"/>
        <v>8</v>
      </c>
      <c r="AX22" s="514">
        <f t="shared" si="9"/>
        <v>9</v>
      </c>
      <c r="AY22" s="499" t="str">
        <f t="shared" si="10"/>
        <v>Oeste</v>
      </c>
      <c r="BL22" s="774" t="s">
        <v>603</v>
      </c>
      <c r="BM22" s="501" t="s">
        <v>568</v>
      </c>
      <c r="BN22" s="511">
        <f t="shared" si="11"/>
        <v>111666</v>
      </c>
      <c r="BO22" s="511">
        <f t="shared" si="12"/>
        <v>103758</v>
      </c>
      <c r="BP22" s="525">
        <f t="shared" si="13"/>
        <v>3.1999812011922346</v>
      </c>
      <c r="BQ22" s="525">
        <f t="shared" si="14"/>
        <v>3.1478695951074824</v>
      </c>
      <c r="BR22" s="514">
        <f t="shared" si="15"/>
        <v>10</v>
      </c>
      <c r="BS22" s="514">
        <f t="shared" si="16"/>
        <v>10</v>
      </c>
      <c r="BT22" s="499" t="str">
        <f t="shared" si="17"/>
        <v>Oeste</v>
      </c>
      <c r="CF22" s="774" t="s">
        <v>603</v>
      </c>
      <c r="CG22" s="501" t="s">
        <v>568</v>
      </c>
      <c r="CH22" s="512">
        <f t="shared" si="18"/>
        <v>1033.98</v>
      </c>
      <c r="CI22" s="512">
        <f t="shared" si="19"/>
        <v>1237.75</v>
      </c>
      <c r="CJ22" s="525">
        <f>+CH22/$CH$40*100</f>
        <v>99.892762948149453</v>
      </c>
      <c r="CK22" s="525">
        <f>+CI22/$CI$40*100</f>
        <v>99.038223033038079</v>
      </c>
      <c r="CL22" s="514">
        <f t="shared" si="22"/>
        <v>13</v>
      </c>
      <c r="CM22" s="514">
        <f t="shared" si="23"/>
        <v>15</v>
      </c>
      <c r="CN22" s="512">
        <f t="shared" si="24"/>
        <v>-185.88999999999987</v>
      </c>
      <c r="CO22" s="512">
        <f t="shared" si="25"/>
        <v>-228.91000000000008</v>
      </c>
      <c r="CP22" s="499" t="str">
        <f t="shared" si="26"/>
        <v>Oeste</v>
      </c>
    </row>
    <row r="23" spans="1:94">
      <c r="D23" s="501" t="s">
        <v>576</v>
      </c>
      <c r="E23" s="499">
        <v>22</v>
      </c>
      <c r="Z23" s="499" t="s">
        <v>859</v>
      </c>
      <c r="AQ23" s="774"/>
      <c r="AR23" s="501" t="s">
        <v>569</v>
      </c>
      <c r="AS23" s="688">
        <f t="shared" si="4"/>
        <v>6010</v>
      </c>
      <c r="AT23" s="688">
        <f t="shared" si="5"/>
        <v>7144</v>
      </c>
      <c r="AU23" s="525">
        <f t="shared" si="6"/>
        <v>2.0635051433123195</v>
      </c>
      <c r="AV23" s="525">
        <f t="shared" si="7"/>
        <v>2.098929381485704</v>
      </c>
      <c r="AW23" s="514">
        <f t="shared" si="8"/>
        <v>15</v>
      </c>
      <c r="AX23" s="514">
        <f t="shared" si="9"/>
        <v>15</v>
      </c>
      <c r="AY23" s="499" t="str">
        <f t="shared" si="10"/>
        <v>Médio Tejo</v>
      </c>
      <c r="BL23" s="774"/>
      <c r="BM23" s="501" t="s">
        <v>569</v>
      </c>
      <c r="BN23" s="511">
        <f t="shared" si="11"/>
        <v>59990</v>
      </c>
      <c r="BO23" s="511">
        <f t="shared" si="12"/>
        <v>55728</v>
      </c>
      <c r="BP23" s="525">
        <f t="shared" si="13"/>
        <v>1.7191165821245695</v>
      </c>
      <c r="BQ23" s="525">
        <f t="shared" si="14"/>
        <v>1.6907079627223904</v>
      </c>
      <c r="BR23" s="514">
        <f t="shared" si="15"/>
        <v>15</v>
      </c>
      <c r="BS23" s="514">
        <f t="shared" si="16"/>
        <v>15</v>
      </c>
      <c r="BT23" s="499" t="str">
        <f t="shared" si="17"/>
        <v>Médio Tejo</v>
      </c>
      <c r="CF23" s="774"/>
      <c r="CG23" s="501" t="s">
        <v>569</v>
      </c>
      <c r="CH23" s="512">
        <f t="shared" si="18"/>
        <v>1035.3900000000001</v>
      </c>
      <c r="CI23" s="512">
        <f t="shared" si="19"/>
        <v>1259.29</v>
      </c>
      <c r="CJ23" s="525">
        <f t="shared" ref="CJ23:CJ24" si="29">+CH23/$CH$40*100</f>
        <v>100.02898298698666</v>
      </c>
      <c r="CK23" s="525">
        <f t="shared" ref="CK23:CK24" si="30">+CI23/$CI$40*100</f>
        <v>100.76174016018949</v>
      </c>
      <c r="CL23" s="514">
        <f t="shared" si="22"/>
        <v>12</v>
      </c>
      <c r="CM23" s="514">
        <f t="shared" si="23"/>
        <v>12</v>
      </c>
      <c r="CN23" s="512">
        <f t="shared" si="24"/>
        <v>-184.47999999999979</v>
      </c>
      <c r="CO23" s="512">
        <f t="shared" si="25"/>
        <v>-207.37000000000012</v>
      </c>
      <c r="CP23" s="499" t="str">
        <f t="shared" si="26"/>
        <v>Médio Tejo</v>
      </c>
    </row>
    <row r="24" spans="1:94">
      <c r="D24" s="501" t="s">
        <v>577</v>
      </c>
      <c r="E24" s="499">
        <v>23</v>
      </c>
      <c r="Z24" s="499" t="s">
        <v>318</v>
      </c>
      <c r="AA24" s="525">
        <f>ROUND(AF10,1)</f>
        <v>8.5</v>
      </c>
      <c r="AQ24" s="774"/>
      <c r="AR24" s="501" t="s">
        <v>570</v>
      </c>
      <c r="AS24" s="511">
        <f t="shared" si="4"/>
        <v>6284</v>
      </c>
      <c r="AT24" s="511">
        <f t="shared" si="5"/>
        <v>7492.0000000000018</v>
      </c>
      <c r="AU24" s="525">
        <f t="shared" si="6"/>
        <v>2.1575817505115831</v>
      </c>
      <c r="AV24" s="525">
        <f t="shared" si="7"/>
        <v>2.2011728619948068</v>
      </c>
      <c r="AW24" s="514">
        <f t="shared" si="8"/>
        <v>14</v>
      </c>
      <c r="AX24" s="514">
        <f t="shared" si="9"/>
        <v>14</v>
      </c>
      <c r="AY24" s="499" t="str">
        <f t="shared" si="10"/>
        <v>Lezíria do Tejo</v>
      </c>
      <c r="BL24" s="774"/>
      <c r="BM24" s="501" t="s">
        <v>570</v>
      </c>
      <c r="BN24" s="511">
        <f t="shared" si="11"/>
        <v>73041</v>
      </c>
      <c r="BO24" s="511">
        <f t="shared" si="12"/>
        <v>69095</v>
      </c>
      <c r="BP24" s="525">
        <f t="shared" si="13"/>
        <v>2.0931154238199809</v>
      </c>
      <c r="BQ24" s="525">
        <f t="shared" si="14"/>
        <v>2.0962436599968339</v>
      </c>
      <c r="BR24" s="514">
        <f t="shared" si="15"/>
        <v>13</v>
      </c>
      <c r="BS24" s="514">
        <f t="shared" si="16"/>
        <v>13</v>
      </c>
      <c r="BT24" s="499" t="str">
        <f t="shared" si="17"/>
        <v>Lezíria do Tejo</v>
      </c>
      <c r="CF24" s="774"/>
      <c r="CG24" s="501" t="s">
        <v>570</v>
      </c>
      <c r="CH24" s="512">
        <f t="shared" si="18"/>
        <v>1036.5899999999999</v>
      </c>
      <c r="CI24" s="512">
        <f t="shared" si="19"/>
        <v>1260.73</v>
      </c>
      <c r="CJ24" s="525">
        <f t="shared" si="29"/>
        <v>100.14491493493321</v>
      </c>
      <c r="CK24" s="525">
        <f t="shared" si="30"/>
        <v>100.87696136089042</v>
      </c>
      <c r="CL24" s="514">
        <f t="shared" si="22"/>
        <v>11</v>
      </c>
      <c r="CM24" s="514">
        <f t="shared" si="23"/>
        <v>11</v>
      </c>
      <c r="CN24" s="512">
        <f t="shared" si="24"/>
        <v>-183.27999999999997</v>
      </c>
      <c r="CO24" s="512">
        <f t="shared" si="25"/>
        <v>-205.93000000000006</v>
      </c>
      <c r="CP24" s="499" t="str">
        <f t="shared" si="26"/>
        <v>Lezíria do Tejo</v>
      </c>
    </row>
    <row r="25" spans="1:94" ht="25.5">
      <c r="D25" s="501" t="s">
        <v>578</v>
      </c>
      <c r="E25" s="499">
        <v>24</v>
      </c>
      <c r="Z25" s="499" t="s">
        <v>854</v>
      </c>
      <c r="AQ25" s="686" t="str">
        <f>+AR25</f>
        <v>Grande Lisboa</v>
      </c>
      <c r="AR25" s="501" t="s">
        <v>571</v>
      </c>
      <c r="AS25" s="511">
        <f t="shared" si="4"/>
        <v>59573</v>
      </c>
      <c r="AT25" s="511">
        <f t="shared" si="5"/>
        <v>70103.999999999985</v>
      </c>
      <c r="AU25" s="525">
        <f t="shared" si="6"/>
        <v>20.454108469641398</v>
      </c>
      <c r="AV25" s="525">
        <f t="shared" si="7"/>
        <v>20.596772866695652</v>
      </c>
      <c r="AW25" s="514">
        <f t="shared" si="8"/>
        <v>1</v>
      </c>
      <c r="AX25" s="514">
        <f t="shared" si="9"/>
        <v>1</v>
      </c>
      <c r="AY25" s="499" t="str">
        <f t="shared" si="10"/>
        <v>Grande Lisboa</v>
      </c>
      <c r="BL25" s="686" t="str">
        <f>+BM25</f>
        <v>Grande Lisboa</v>
      </c>
      <c r="BM25" s="501" t="s">
        <v>571</v>
      </c>
      <c r="BN25" s="511">
        <f t="shared" si="11"/>
        <v>969558</v>
      </c>
      <c r="BO25" s="511">
        <f t="shared" si="12"/>
        <v>928991</v>
      </c>
      <c r="BP25" s="525">
        <f t="shared" si="13"/>
        <v>27.784351310744011</v>
      </c>
      <c r="BQ25" s="525">
        <f t="shared" si="14"/>
        <v>28.184260712701626</v>
      </c>
      <c r="BR25" s="514">
        <f t="shared" si="15"/>
        <v>1</v>
      </c>
      <c r="BS25" s="514">
        <f t="shared" si="16"/>
        <v>1</v>
      </c>
      <c r="BT25" s="499" t="str">
        <f t="shared" si="17"/>
        <v>Grande Lisboa</v>
      </c>
      <c r="CF25" s="686" t="str">
        <f>+CG25</f>
        <v>Grande Lisboa</v>
      </c>
      <c r="CG25" s="501" t="s">
        <v>571</v>
      </c>
      <c r="CH25" s="512">
        <f t="shared" si="18"/>
        <v>1505.99</v>
      </c>
      <c r="CI25" s="512">
        <f t="shared" si="19"/>
        <v>1817.17</v>
      </c>
      <c r="CJ25" s="525">
        <f t="shared" ref="CJ25:CJ32" si="31">+CH25/$CH$32*100</f>
        <v>123.45495831523033</v>
      </c>
      <c r="CK25" s="525">
        <f t="shared" ref="CK25:CK32" si="32">+CI25/$CI$32*100</f>
        <v>123.89851772053508</v>
      </c>
      <c r="CL25" s="514">
        <f t="shared" si="22"/>
        <v>1</v>
      </c>
      <c r="CM25" s="514">
        <f t="shared" si="23"/>
        <v>1</v>
      </c>
      <c r="CN25" s="512">
        <f t="shared" si="24"/>
        <v>286.12000000000012</v>
      </c>
      <c r="CO25" s="512">
        <f t="shared" si="25"/>
        <v>350.51</v>
      </c>
      <c r="CP25" s="499" t="str">
        <f t="shared" si="26"/>
        <v>Grande Lisboa</v>
      </c>
    </row>
    <row r="26" spans="1:94" ht="38.25">
      <c r="D26" s="501"/>
      <c r="Z26" s="499" t="s">
        <v>310</v>
      </c>
      <c r="AA26" s="499" t="str">
        <f>+AH7</f>
        <v>, mais</v>
      </c>
      <c r="AQ26" s="686" t="str">
        <f>+AR26</f>
        <v>Península de Setúbal</v>
      </c>
      <c r="AR26" s="501" t="s">
        <v>572</v>
      </c>
      <c r="AS26" s="511">
        <f t="shared" si="4"/>
        <v>14910</v>
      </c>
      <c r="AT26" s="511">
        <f t="shared" si="5"/>
        <v>18085</v>
      </c>
      <c r="AU26" s="525">
        <f t="shared" si="6"/>
        <v>5.1192781508796479</v>
      </c>
      <c r="AV26" s="525">
        <f t="shared" si="7"/>
        <v>5.3134291523192827</v>
      </c>
      <c r="AW26" s="514">
        <f t="shared" si="8"/>
        <v>5</v>
      </c>
      <c r="AX26" s="514">
        <f t="shared" si="9"/>
        <v>4</v>
      </c>
      <c r="AY26" s="499" t="str">
        <f t="shared" si="10"/>
        <v>Península de Setúbal</v>
      </c>
      <c r="BL26" s="686" t="str">
        <f>+BM26</f>
        <v>Península de Setúbal</v>
      </c>
      <c r="BM26" s="501" t="s">
        <v>572</v>
      </c>
      <c r="BN26" s="511">
        <f t="shared" si="11"/>
        <v>173313</v>
      </c>
      <c r="BO26" s="511">
        <f t="shared" si="12"/>
        <v>163331</v>
      </c>
      <c r="BP26" s="525">
        <f t="shared" si="13"/>
        <v>4.9665819669570848</v>
      </c>
      <c r="BQ26" s="525">
        <f t="shared" si="14"/>
        <v>4.9552293687089213</v>
      </c>
      <c r="BR26" s="514">
        <f t="shared" si="15"/>
        <v>4</v>
      </c>
      <c r="BS26" s="514">
        <f t="shared" si="16"/>
        <v>4</v>
      </c>
      <c r="BT26" s="499" t="str">
        <f t="shared" si="17"/>
        <v>Península de Setúbal</v>
      </c>
      <c r="CF26" s="686" t="str">
        <f>+CG26</f>
        <v>Península de Setúbal</v>
      </c>
      <c r="CG26" s="501" t="s">
        <v>572</v>
      </c>
      <c r="CH26" s="512">
        <f t="shared" si="18"/>
        <v>1188.27</v>
      </c>
      <c r="CI26" s="512">
        <f t="shared" si="19"/>
        <v>1433.11</v>
      </c>
      <c r="CJ26" s="525">
        <f t="shared" si="31"/>
        <v>97.409560035085718</v>
      </c>
      <c r="CK26" s="525">
        <f t="shared" si="32"/>
        <v>97.712489602225446</v>
      </c>
      <c r="CL26" s="514">
        <f t="shared" si="22"/>
        <v>3</v>
      </c>
      <c r="CM26" s="514">
        <f t="shared" si="23"/>
        <v>3</v>
      </c>
      <c r="CN26" s="512">
        <f t="shared" si="24"/>
        <v>-31.599999999999909</v>
      </c>
      <c r="CO26" s="512">
        <f t="shared" si="25"/>
        <v>-33.550000000000182</v>
      </c>
      <c r="CP26" s="499" t="str">
        <f t="shared" si="26"/>
        <v>Península de Setúbal</v>
      </c>
    </row>
    <row r="27" spans="1:94">
      <c r="D27" s="501"/>
      <c r="Z27" s="499" t="s">
        <v>312</v>
      </c>
      <c r="AA27" s="522" t="str">
        <f>TEXT(AI7,"##.###")</f>
        <v>5.517</v>
      </c>
      <c r="AQ27" s="774" t="s">
        <v>573</v>
      </c>
      <c r="AR27" s="501" t="s">
        <v>574</v>
      </c>
      <c r="AS27" s="688">
        <f t="shared" si="4"/>
        <v>2854</v>
      </c>
      <c r="AT27" s="688">
        <f t="shared" si="5"/>
        <v>3451</v>
      </c>
      <c r="AU27" s="525">
        <f t="shared" si="6"/>
        <v>0.97990743411203984</v>
      </c>
      <c r="AV27" s="525">
        <f t="shared" si="7"/>
        <v>1.0139145150485953</v>
      </c>
      <c r="AW27" s="514">
        <f t="shared" si="8"/>
        <v>22</v>
      </c>
      <c r="AX27" s="514">
        <f t="shared" si="9"/>
        <v>21</v>
      </c>
      <c r="AY27" s="499" t="str">
        <f t="shared" si="10"/>
        <v>Alentejo Litoral</v>
      </c>
      <c r="BL27" s="774" t="s">
        <v>573</v>
      </c>
      <c r="BM27" s="501" t="s">
        <v>574</v>
      </c>
      <c r="BN27" s="511">
        <f t="shared" si="11"/>
        <v>37881</v>
      </c>
      <c r="BO27" s="511">
        <f t="shared" si="12"/>
        <v>36327</v>
      </c>
      <c r="BP27" s="525">
        <f t="shared" si="13"/>
        <v>1.0855451783207337</v>
      </c>
      <c r="BQ27" s="525">
        <f t="shared" si="14"/>
        <v>1.102109319584702</v>
      </c>
      <c r="BR27" s="514">
        <f t="shared" si="15"/>
        <v>19</v>
      </c>
      <c r="BS27" s="514">
        <f t="shared" si="16"/>
        <v>19</v>
      </c>
      <c r="BT27" s="499" t="str">
        <f t="shared" si="17"/>
        <v>Alentejo Litoral</v>
      </c>
      <c r="CF27" s="774" t="s">
        <v>573</v>
      </c>
      <c r="CG27" s="501" t="s">
        <v>574</v>
      </c>
      <c r="CH27" s="512">
        <f t="shared" si="18"/>
        <v>1108.18</v>
      </c>
      <c r="CI27" s="512">
        <f t="shared" si="19"/>
        <v>1419.88</v>
      </c>
      <c r="CJ27" s="525">
        <f>+CH27/$CH$43*100</f>
        <v>105.23426965225156</v>
      </c>
      <c r="CK27" s="525">
        <f>+CI27/$CI$43*100</f>
        <v>107.06944266399221</v>
      </c>
      <c r="CL27" s="514">
        <f t="shared" si="22"/>
        <v>5</v>
      </c>
      <c r="CM27" s="514">
        <f t="shared" si="23"/>
        <v>4</v>
      </c>
      <c r="CN27" s="512">
        <f t="shared" si="24"/>
        <v>-111.68999999999983</v>
      </c>
      <c r="CO27" s="512">
        <f t="shared" si="25"/>
        <v>-46.779999999999973</v>
      </c>
      <c r="CP27" s="499" t="str">
        <f t="shared" si="26"/>
        <v>Alentejo Litoral</v>
      </c>
    </row>
    <row r="28" spans="1:94">
      <c r="D28" s="501"/>
      <c r="AB28" s="499" t="s">
        <v>442</v>
      </c>
      <c r="AQ28" s="774"/>
      <c r="AR28" s="501" t="s">
        <v>575</v>
      </c>
      <c r="AS28" s="511">
        <f t="shared" si="4"/>
        <v>3855.9999999999995</v>
      </c>
      <c r="AT28" s="511">
        <f t="shared" si="5"/>
        <v>4493</v>
      </c>
      <c r="AU28" s="525">
        <f t="shared" si="6"/>
        <v>1.3239394064246759</v>
      </c>
      <c r="AV28" s="525">
        <f t="shared" si="7"/>
        <v>1.3200573503660789</v>
      </c>
      <c r="AW28" s="514">
        <f t="shared" si="8"/>
        <v>19</v>
      </c>
      <c r="AX28" s="514">
        <f t="shared" si="9"/>
        <v>19</v>
      </c>
      <c r="AY28" s="499" t="str">
        <f t="shared" si="10"/>
        <v>Baixo Alentejo</v>
      </c>
      <c r="BL28" s="774"/>
      <c r="BM28" s="501" t="s">
        <v>575</v>
      </c>
      <c r="BN28" s="511">
        <f t="shared" si="11"/>
        <v>31710.000000000004</v>
      </c>
      <c r="BO28" s="511">
        <f t="shared" si="12"/>
        <v>29927.999999999993</v>
      </c>
      <c r="BP28" s="525">
        <f t="shared" si="13"/>
        <v>0.9087045644135705</v>
      </c>
      <c r="BQ28" s="525">
        <f t="shared" si="14"/>
        <v>0.90797279479535764</v>
      </c>
      <c r="BR28" s="514">
        <f t="shared" si="15"/>
        <v>20</v>
      </c>
      <c r="BS28" s="514">
        <f t="shared" si="16"/>
        <v>20</v>
      </c>
      <c r="BT28" s="499" t="str">
        <f t="shared" si="17"/>
        <v>Baixo Alentejo</v>
      </c>
      <c r="CF28" s="774"/>
      <c r="CG28" s="501" t="s">
        <v>575</v>
      </c>
      <c r="CH28" s="512">
        <f t="shared" si="18"/>
        <v>1044.58</v>
      </c>
      <c r="CI28" s="512">
        <f t="shared" si="19"/>
        <v>1401.29</v>
      </c>
      <c r="CJ28" s="525">
        <f t="shared" ref="CJ28:CJ30" si="33">+CH28/$CH$43*100</f>
        <v>99.194727745807455</v>
      </c>
      <c r="CK28" s="525">
        <f t="shared" ref="CK28:CK30" si="34">+CI28/$CI$43*100</f>
        <v>105.6676193133403</v>
      </c>
      <c r="CL28" s="514">
        <f t="shared" si="22"/>
        <v>10</v>
      </c>
      <c r="CM28" s="514">
        <f t="shared" si="23"/>
        <v>5</v>
      </c>
      <c r="CN28" s="512">
        <f t="shared" si="24"/>
        <v>-175.28999999999996</v>
      </c>
      <c r="CO28" s="512">
        <f t="shared" si="25"/>
        <v>-65.370000000000118</v>
      </c>
      <c r="CP28" s="499" t="str">
        <f t="shared" si="26"/>
        <v>Baixo Alentejo</v>
      </c>
    </row>
    <row r="29" spans="1:94">
      <c r="A29" s="500" t="s">
        <v>590</v>
      </c>
      <c r="D29" s="501"/>
      <c r="AQ29" s="774"/>
      <c r="AR29" s="501" t="s">
        <v>576</v>
      </c>
      <c r="AS29" s="511">
        <f t="shared" si="4"/>
        <v>2865</v>
      </c>
      <c r="AT29" s="511">
        <f t="shared" si="5"/>
        <v>3430.0000000000005</v>
      </c>
      <c r="AU29" s="525">
        <f t="shared" si="6"/>
        <v>0.98368423221128032</v>
      </c>
      <c r="AV29" s="525">
        <f t="shared" si="7"/>
        <v>1.0077446498454599</v>
      </c>
      <c r="AW29" s="514">
        <f t="shared" si="8"/>
        <v>21</v>
      </c>
      <c r="AX29" s="514">
        <f t="shared" si="9"/>
        <v>22</v>
      </c>
      <c r="AY29" s="499" t="str">
        <f t="shared" si="10"/>
        <v>Alto Alentejo</v>
      </c>
      <c r="BL29" s="774"/>
      <c r="BM29" s="501" t="s">
        <v>576</v>
      </c>
      <c r="BN29" s="511">
        <f t="shared" si="11"/>
        <v>24444.000000000004</v>
      </c>
      <c r="BO29" s="511">
        <f t="shared" si="12"/>
        <v>22968</v>
      </c>
      <c r="BP29" s="525">
        <f t="shared" si="13"/>
        <v>0.70048484303138814</v>
      </c>
      <c r="BQ29" s="525">
        <f t="shared" si="14"/>
        <v>0.6968163308894606</v>
      </c>
      <c r="BR29" s="514">
        <f t="shared" si="15"/>
        <v>21</v>
      </c>
      <c r="BS29" s="514">
        <f t="shared" si="16"/>
        <v>21</v>
      </c>
      <c r="BT29" s="499" t="str">
        <f t="shared" si="17"/>
        <v>Alto Alentejo</v>
      </c>
      <c r="CF29" s="774"/>
      <c r="CG29" s="501" t="s">
        <v>576</v>
      </c>
      <c r="CH29" s="512">
        <f t="shared" si="18"/>
        <v>990.36</v>
      </c>
      <c r="CI29" s="512">
        <f t="shared" si="19"/>
        <v>1197.92</v>
      </c>
      <c r="CJ29" s="525">
        <f t="shared" si="33"/>
        <v>94.045923309213151</v>
      </c>
      <c r="CK29" s="525">
        <f t="shared" si="34"/>
        <v>90.332018731195291</v>
      </c>
      <c r="CL29" s="514">
        <f t="shared" si="22"/>
        <v>19</v>
      </c>
      <c r="CM29" s="514">
        <f t="shared" si="23"/>
        <v>18</v>
      </c>
      <c r="CN29" s="512">
        <f t="shared" si="24"/>
        <v>-229.50999999999988</v>
      </c>
      <c r="CO29" s="512">
        <f t="shared" si="25"/>
        <v>-268.74</v>
      </c>
      <c r="CP29" s="499" t="str">
        <f t="shared" si="26"/>
        <v>Alto Alentejo</v>
      </c>
    </row>
    <row r="30" spans="1:94">
      <c r="A30" s="631" t="s">
        <v>589</v>
      </c>
      <c r="C30" s="500">
        <f>+'q4'!$B$4</f>
        <v>2013</v>
      </c>
      <c r="D30" s="500">
        <f>+'q4'!$C$4</f>
        <v>2014</v>
      </c>
      <c r="E30" s="500">
        <f>+'q4'!$D$4</f>
        <v>2015</v>
      </c>
      <c r="F30" s="500">
        <f>+'q4'!$E$4</f>
        <v>2016</v>
      </c>
      <c r="G30" s="500">
        <f>+'q4'!$F$4</f>
        <v>2017</v>
      </c>
      <c r="H30" s="500">
        <f>+'q4'!$G$4</f>
        <v>2018</v>
      </c>
      <c r="I30" s="500">
        <f>+'q4'!$H$4</f>
        <v>2019</v>
      </c>
      <c r="J30" s="500">
        <f>+'q4'!$I$4</f>
        <v>2020</v>
      </c>
      <c r="K30" s="500">
        <f>+'q4'!$J$4</f>
        <v>2021</v>
      </c>
      <c r="L30" s="500">
        <f>+'q4'!$K$4</f>
        <v>2022</v>
      </c>
      <c r="M30" s="500">
        <f>+'q4'!$L$4</f>
        <v>2023</v>
      </c>
      <c r="AQ30" s="774"/>
      <c r="AR30" s="501" t="s">
        <v>577</v>
      </c>
      <c r="AS30" s="687">
        <f t="shared" si="4"/>
        <v>5107.0000000000009</v>
      </c>
      <c r="AT30" s="687">
        <f t="shared" si="5"/>
        <v>6137</v>
      </c>
      <c r="AU30" s="525">
        <f t="shared" si="6"/>
        <v>1.753464353892848</v>
      </c>
      <c r="AV30" s="525">
        <f t="shared" si="7"/>
        <v>1.8030696548401126</v>
      </c>
      <c r="AW30" s="514">
        <f t="shared" si="8"/>
        <v>18</v>
      </c>
      <c r="AX30" s="514">
        <f t="shared" si="9"/>
        <v>18</v>
      </c>
      <c r="AY30" s="499" t="str">
        <f t="shared" si="10"/>
        <v>Alentejo Central</v>
      </c>
      <c r="BL30" s="774"/>
      <c r="BM30" s="501" t="s">
        <v>577</v>
      </c>
      <c r="BN30" s="511">
        <f t="shared" si="11"/>
        <v>45228</v>
      </c>
      <c r="BO30" s="511">
        <f t="shared" si="12"/>
        <v>42405.999999999993</v>
      </c>
      <c r="BP30" s="525">
        <f t="shared" si="13"/>
        <v>1.2960860939544927</v>
      </c>
      <c r="BQ30" s="525">
        <f t="shared" si="14"/>
        <v>1.2865375012059588</v>
      </c>
      <c r="BR30" s="514">
        <f t="shared" si="15"/>
        <v>17</v>
      </c>
      <c r="BS30" s="514">
        <f t="shared" si="16"/>
        <v>17</v>
      </c>
      <c r="BT30" s="499" t="str">
        <f t="shared" si="17"/>
        <v>Alentejo Central</v>
      </c>
      <c r="CF30" s="774"/>
      <c r="CG30" s="501" t="s">
        <v>577</v>
      </c>
      <c r="CH30" s="512">
        <f t="shared" si="18"/>
        <v>1049.8499999999999</v>
      </c>
      <c r="CI30" s="512">
        <f t="shared" si="19"/>
        <v>1271.71</v>
      </c>
      <c r="CJ30" s="525">
        <f t="shared" si="33"/>
        <v>99.695174064155893</v>
      </c>
      <c r="CK30" s="525">
        <f t="shared" si="34"/>
        <v>95.896329922405783</v>
      </c>
      <c r="CL30" s="514">
        <f t="shared" si="22"/>
        <v>9</v>
      </c>
      <c r="CM30" s="514">
        <f t="shared" si="23"/>
        <v>10</v>
      </c>
      <c r="CN30" s="512">
        <f t="shared" si="24"/>
        <v>-170.01999999999998</v>
      </c>
      <c r="CO30" s="512">
        <f t="shared" si="25"/>
        <v>-194.95000000000005</v>
      </c>
      <c r="CP30" s="499" t="str">
        <f t="shared" si="26"/>
        <v>Alentejo Central</v>
      </c>
    </row>
    <row r="31" spans="1:94">
      <c r="A31" s="500" t="s">
        <v>579</v>
      </c>
      <c r="B31" s="500" t="str">
        <f>+'q4'!$A$6</f>
        <v>Norte</v>
      </c>
      <c r="C31" s="511">
        <f>+'q4'!$B$6</f>
        <v>102545</v>
      </c>
      <c r="D31" s="511">
        <f>+'q4'!$C$6</f>
        <v>104739</v>
      </c>
      <c r="E31" s="511">
        <f>+'q4'!$D$6</f>
        <v>105959</v>
      </c>
      <c r="F31" s="511">
        <f>+'q4'!$E$6</f>
        <v>107496</v>
      </c>
      <c r="G31" s="511">
        <f>+'q4'!$F$6</f>
        <v>108796</v>
      </c>
      <c r="H31" s="511">
        <f>+'q4'!$G$6</f>
        <v>109936</v>
      </c>
      <c r="I31" s="511">
        <f>+'q4'!$H$6</f>
        <v>107137</v>
      </c>
      <c r="J31" s="511">
        <f>+'q4'!$I$6</f>
        <v>107805</v>
      </c>
      <c r="K31" s="511">
        <f>+'q4'!$J$6</f>
        <v>106036</v>
      </c>
      <c r="L31" s="511">
        <f>+'q4'!$K$6</f>
        <v>110941</v>
      </c>
      <c r="M31" s="511">
        <f>+'q4'!$L$6</f>
        <v>112985.99999999999</v>
      </c>
      <c r="AQ31" s="685" t="str">
        <f>+AR31</f>
        <v>Algarve</v>
      </c>
      <c r="AR31" s="501" t="s">
        <v>578</v>
      </c>
      <c r="AS31" s="511">
        <f t="shared" si="4"/>
        <v>18237.000000000004</v>
      </c>
      <c r="AT31" s="511">
        <f t="shared" si="5"/>
        <v>22034</v>
      </c>
      <c r="AU31" s="525">
        <f t="shared" si="6"/>
        <v>6.2615879032590307</v>
      </c>
      <c r="AV31" s="525">
        <f t="shared" si="7"/>
        <v>6.4736576136136623</v>
      </c>
      <c r="AW31" s="514">
        <f t="shared" si="8"/>
        <v>3</v>
      </c>
      <c r="AX31" s="514">
        <f t="shared" si="9"/>
        <v>3</v>
      </c>
      <c r="AY31" s="499" t="str">
        <f t="shared" si="10"/>
        <v>Algarve</v>
      </c>
      <c r="BL31" s="685" t="str">
        <f>+BM31</f>
        <v>Algarve</v>
      </c>
      <c r="BM31" s="501" t="s">
        <v>578</v>
      </c>
      <c r="BN31" s="511">
        <f t="shared" si="11"/>
        <v>178434</v>
      </c>
      <c r="BO31" s="511">
        <f t="shared" si="12"/>
        <v>166794.00000000003</v>
      </c>
      <c r="BP31" s="525">
        <f t="shared" si="13"/>
        <v>5.1133330257512144</v>
      </c>
      <c r="BQ31" s="525">
        <f t="shared" si="14"/>
        <v>5.0602918449310659</v>
      </c>
      <c r="BR31" s="514">
        <f t="shared" si="15"/>
        <v>3</v>
      </c>
      <c r="BS31" s="514">
        <f t="shared" si="16"/>
        <v>3</v>
      </c>
      <c r="BT31" s="499" t="str">
        <f t="shared" si="17"/>
        <v>Algarve</v>
      </c>
      <c r="CF31" s="685" t="str">
        <f>+CG31</f>
        <v>Algarve</v>
      </c>
      <c r="CG31" s="501" t="s">
        <v>578</v>
      </c>
      <c r="CH31" s="512">
        <f t="shared" si="18"/>
        <v>1031.25</v>
      </c>
      <c r="CI31" s="512">
        <f t="shared" si="19"/>
        <v>1238.68</v>
      </c>
      <c r="CJ31" s="525">
        <f t="shared" si="31"/>
        <v>84.537696639805887</v>
      </c>
      <c r="CK31" s="525">
        <f t="shared" si="32"/>
        <v>84.455838435629246</v>
      </c>
      <c r="CL31" s="514">
        <f t="shared" si="22"/>
        <v>14</v>
      </c>
      <c r="CM31" s="514">
        <f t="shared" si="23"/>
        <v>14</v>
      </c>
      <c r="CN31" s="512">
        <f t="shared" si="24"/>
        <v>-188.61999999999989</v>
      </c>
      <c r="CO31" s="512">
        <f t="shared" si="25"/>
        <v>-227.98000000000002</v>
      </c>
      <c r="CP31" s="499" t="str">
        <f t="shared" si="26"/>
        <v>Algarve</v>
      </c>
    </row>
    <row r="32" spans="1:94">
      <c r="A32" s="500"/>
      <c r="B32" s="500" t="str">
        <f>+'q4'!$A$15</f>
        <v>Centro</v>
      </c>
      <c r="C32" s="511">
        <f>+'q4'!$B$15</f>
        <v>45322</v>
      </c>
      <c r="D32" s="511">
        <f>+'q4'!$C$15</f>
        <v>45766</v>
      </c>
      <c r="E32" s="511">
        <f>+'q4'!$D$15</f>
        <v>46049</v>
      </c>
      <c r="F32" s="511">
        <f>+'q4'!$E$15</f>
        <v>46552</v>
      </c>
      <c r="G32" s="511">
        <f>+'q4'!$F$15</f>
        <v>46657</v>
      </c>
      <c r="H32" s="511">
        <f>+'q4'!$G$15</f>
        <v>46766</v>
      </c>
      <c r="I32" s="511">
        <f>+'q4'!$H$15</f>
        <v>45574</v>
      </c>
      <c r="J32" s="511">
        <f>+'q4'!$I$15</f>
        <v>45616</v>
      </c>
      <c r="K32" s="511">
        <f>+'q4'!$J$15</f>
        <v>44838</v>
      </c>
      <c r="L32" s="511">
        <f>+'q4'!$K$15</f>
        <v>46520</v>
      </c>
      <c r="M32" s="511">
        <f>+'q4'!$L$15</f>
        <v>47066.000000000007</v>
      </c>
      <c r="AR32" s="501" t="s">
        <v>14</v>
      </c>
      <c r="AS32" s="511">
        <f t="shared" si="4"/>
        <v>291252.00000000017</v>
      </c>
      <c r="AT32" s="511">
        <f t="shared" si="5"/>
        <v>340363.99999999994</v>
      </c>
      <c r="AU32" s="525">
        <f t="shared" si="6"/>
        <v>100</v>
      </c>
      <c r="AV32" s="525">
        <f t="shared" si="7"/>
        <v>100</v>
      </c>
      <c r="AW32" s="514"/>
      <c r="BM32" s="501" t="s">
        <v>14</v>
      </c>
      <c r="BN32" s="511">
        <f t="shared" si="11"/>
        <v>3489582.9999999995</v>
      </c>
      <c r="BO32" s="511">
        <f t="shared" si="12"/>
        <v>3296133.9999999981</v>
      </c>
      <c r="BP32" s="525">
        <f t="shared" si="13"/>
        <v>100</v>
      </c>
      <c r="BQ32" s="525">
        <f t="shared" si="14"/>
        <v>100</v>
      </c>
      <c r="BR32" s="514"/>
      <c r="CG32" s="501" t="s">
        <v>14</v>
      </c>
      <c r="CH32" s="512">
        <f t="shared" si="18"/>
        <v>1219.8699999999999</v>
      </c>
      <c r="CI32" s="512">
        <f t="shared" si="19"/>
        <v>1466.66</v>
      </c>
      <c r="CJ32" s="525">
        <f t="shared" si="31"/>
        <v>100</v>
      </c>
      <c r="CK32" s="525">
        <f t="shared" si="32"/>
        <v>100</v>
      </c>
      <c r="CL32" s="514"/>
      <c r="CN32" s="512"/>
    </row>
    <row r="33" spans="1:105">
      <c r="A33" s="500"/>
      <c r="B33" s="500" t="str">
        <f>+'q4'!$A$22</f>
        <v>Oeste e Vale do Tejo</v>
      </c>
      <c r="C33" s="511">
        <f>+'q4'!$B$22</f>
        <v>22669</v>
      </c>
      <c r="D33" s="511">
        <f>+'q4'!$C$22</f>
        <v>22795</v>
      </c>
      <c r="E33" s="511">
        <f>+'q4'!$D$22</f>
        <v>23005</v>
      </c>
      <c r="F33" s="511">
        <f>+'q4'!$E$22</f>
        <v>23120</v>
      </c>
      <c r="G33" s="511">
        <f>+'q4'!$F$22</f>
        <v>23388</v>
      </c>
      <c r="H33" s="511">
        <f>+'q4'!$G$22</f>
        <v>23374</v>
      </c>
      <c r="I33" s="511">
        <f>+'q4'!$H$22</f>
        <v>22884</v>
      </c>
      <c r="J33" s="511">
        <f>+'q4'!$I$22</f>
        <v>22898</v>
      </c>
      <c r="K33" s="511">
        <f>+'q4'!$J$22</f>
        <v>22539</v>
      </c>
      <c r="L33" s="511">
        <f>+'q4'!$K$22</f>
        <v>23397</v>
      </c>
      <c r="M33" s="511">
        <f>+'q4'!$L$22</f>
        <v>23798</v>
      </c>
    </row>
    <row r="34" spans="1:105">
      <c r="A34" s="500"/>
      <c r="B34" s="500" t="str">
        <f>+'q4'!$A$26</f>
        <v>Grande Lisboa</v>
      </c>
      <c r="C34" s="511">
        <f>+'q4'!$B$26</f>
        <v>53685</v>
      </c>
      <c r="D34" s="511">
        <f>+'q4'!$C$26</f>
        <v>54415</v>
      </c>
      <c r="E34" s="511">
        <f>+'q4'!$D$26</f>
        <v>55029</v>
      </c>
      <c r="F34" s="511">
        <f>+'q4'!$E$26</f>
        <v>55354</v>
      </c>
      <c r="G34" s="511">
        <f>+'q4'!$F$26</f>
        <v>56108</v>
      </c>
      <c r="H34" s="511">
        <f>+'q4'!$G$26</f>
        <v>57209</v>
      </c>
      <c r="I34" s="511">
        <f>+'q4'!$H$26</f>
        <v>55559</v>
      </c>
      <c r="J34" s="511">
        <f>+'q4'!$I$26</f>
        <v>56643</v>
      </c>
      <c r="K34" s="511">
        <f>+'q4'!$J$26</f>
        <v>54793</v>
      </c>
      <c r="L34" s="511">
        <f>+'q4'!$K$26</f>
        <v>57854</v>
      </c>
      <c r="M34" s="511">
        <f>+'q4'!$L$26</f>
        <v>59573</v>
      </c>
    </row>
    <row r="35" spans="1:105">
      <c r="A35" s="500"/>
      <c r="B35" s="500" t="str">
        <f>+'q4'!$A$27</f>
        <v>Península de Setúbal</v>
      </c>
      <c r="C35" s="511">
        <f>+'q4'!$B$27</f>
        <v>13094</v>
      </c>
      <c r="D35" s="511">
        <f>+'q4'!$C$27</f>
        <v>13124</v>
      </c>
      <c r="E35" s="511">
        <f>+'q4'!$D$27</f>
        <v>13250</v>
      </c>
      <c r="F35" s="511">
        <f>+'q4'!$E$27</f>
        <v>13484</v>
      </c>
      <c r="G35" s="511">
        <f>+'q4'!$F$27</f>
        <v>13666</v>
      </c>
      <c r="H35" s="511">
        <f>+'q4'!$G$27</f>
        <v>13850</v>
      </c>
      <c r="I35" s="511">
        <f>+'q4'!$H$27</f>
        <v>13653</v>
      </c>
      <c r="J35" s="511">
        <f>+'q4'!$I$27</f>
        <v>14047</v>
      </c>
      <c r="K35" s="511">
        <f>+'q4'!$J$27</f>
        <v>13853</v>
      </c>
      <c r="L35" s="511">
        <f>+'q4'!$K$27</f>
        <v>14699</v>
      </c>
      <c r="M35" s="511">
        <f>+'q4'!$L$27</f>
        <v>14910</v>
      </c>
    </row>
    <row r="36" spans="1:105">
      <c r="A36" s="500"/>
      <c r="B36" s="500" t="str">
        <f>+'q4'!$A$28</f>
        <v>Alentejo</v>
      </c>
      <c r="C36" s="511">
        <f>+'q4'!$B$28</f>
        <v>13533</v>
      </c>
      <c r="D36" s="511">
        <f>+'q4'!$C$28</f>
        <v>13857</v>
      </c>
      <c r="E36" s="511">
        <f>+'q4'!$D$28</f>
        <v>13937</v>
      </c>
      <c r="F36" s="511">
        <f>+'q4'!$E$28</f>
        <v>14026</v>
      </c>
      <c r="G36" s="511">
        <f>+'q4'!$F$28</f>
        <v>14095</v>
      </c>
      <c r="H36" s="511">
        <f>+'q4'!$G$28</f>
        <v>14020</v>
      </c>
      <c r="I36" s="511">
        <f>+'q4'!$H$28</f>
        <v>13753</v>
      </c>
      <c r="J36" s="511">
        <f>+'q4'!$I$28</f>
        <v>13857</v>
      </c>
      <c r="K36" s="511">
        <f>+'q4'!$J$28</f>
        <v>13418</v>
      </c>
      <c r="L36" s="511">
        <f>+'q4'!$K$28</f>
        <v>14383</v>
      </c>
      <c r="M36" s="511">
        <f>+'q4'!$L$28</f>
        <v>14681.999999999998</v>
      </c>
      <c r="R36" s="500" t="str">
        <f>INDEX($A$2:$A$8,$P$2)</f>
        <v>Grande Lisboa</v>
      </c>
      <c r="AR36" s="499" t="s">
        <v>579</v>
      </c>
      <c r="AY36" s="773" t="s">
        <v>226</v>
      </c>
      <c r="AZ36" s="773"/>
      <c r="BA36" s="773"/>
      <c r="BB36" s="773" t="s">
        <v>226</v>
      </c>
      <c r="BC36" s="773"/>
      <c r="BD36" s="773"/>
      <c r="BE36" s="773" t="s">
        <v>211</v>
      </c>
      <c r="BF36" s="773"/>
      <c r="BG36" s="773"/>
      <c r="BH36" s="773" t="s">
        <v>211</v>
      </c>
      <c r="BI36" s="773"/>
      <c r="BJ36" s="773"/>
      <c r="BK36" s="558"/>
      <c r="BM36" s="499" t="s">
        <v>579</v>
      </c>
      <c r="BT36" s="773" t="s">
        <v>212</v>
      </c>
      <c r="BU36" s="773"/>
      <c r="BV36" s="773"/>
      <c r="BW36" s="773" t="s">
        <v>212</v>
      </c>
      <c r="BX36" s="773"/>
      <c r="BY36" s="773"/>
      <c r="BZ36" s="773" t="s">
        <v>185</v>
      </c>
      <c r="CA36" s="773"/>
      <c r="CB36" s="773"/>
      <c r="CC36" s="773" t="s">
        <v>185</v>
      </c>
      <c r="CD36" s="773"/>
      <c r="CE36" s="773"/>
      <c r="CG36" s="499" t="s">
        <v>579</v>
      </c>
      <c r="CP36" s="773" t="s">
        <v>290</v>
      </c>
      <c r="CQ36" s="773"/>
      <c r="CR36" s="773"/>
      <c r="CS36" s="773" t="s">
        <v>290</v>
      </c>
      <c r="CT36" s="773"/>
      <c r="CU36" s="773"/>
      <c r="CV36" s="773" t="s">
        <v>291</v>
      </c>
      <c r="CW36" s="773"/>
      <c r="CX36" s="773"/>
      <c r="CY36" s="773" t="s">
        <v>291</v>
      </c>
      <c r="CZ36" s="773"/>
      <c r="DA36" s="773"/>
    </row>
    <row r="37" spans="1:105">
      <c r="A37" s="500"/>
      <c r="B37" s="500" t="str">
        <f>+'q4'!$A$33</f>
        <v>Algarve</v>
      </c>
      <c r="C37" s="511">
        <f>+'q4'!$B$33</f>
        <v>15012</v>
      </c>
      <c r="D37" s="511">
        <f>+'q4'!$C$33</f>
        <v>15485</v>
      </c>
      <c r="E37" s="511">
        <f>+'q4'!$D$33</f>
        <v>15831</v>
      </c>
      <c r="F37" s="511">
        <f>+'q4'!$E$33</f>
        <v>16300</v>
      </c>
      <c r="G37" s="511">
        <f>+'q4'!$F$33</f>
        <v>16481</v>
      </c>
      <c r="H37" s="511">
        <f>+'q4'!$G$33</f>
        <v>17081</v>
      </c>
      <c r="I37" s="511">
        <f>+'q4'!$H$33</f>
        <v>17191</v>
      </c>
      <c r="J37" s="511">
        <f>+'q4'!$I$33</f>
        <v>16775</v>
      </c>
      <c r="K37" s="511">
        <f>+'q4'!$J$33</f>
        <v>16329</v>
      </c>
      <c r="L37" s="511">
        <f>+'q4'!$K$33</f>
        <v>17066</v>
      </c>
      <c r="M37" s="511">
        <f>+'q4'!$L$33</f>
        <v>18237.000000000004</v>
      </c>
      <c r="S37" s="500">
        <f>+C30</f>
        <v>2013</v>
      </c>
      <c r="T37" s="500">
        <f t="shared" ref="T37:AC37" si="35">+D30</f>
        <v>2014</v>
      </c>
      <c r="U37" s="500">
        <f t="shared" si="35"/>
        <v>2015</v>
      </c>
      <c r="V37" s="500">
        <f t="shared" si="35"/>
        <v>2016</v>
      </c>
      <c r="W37" s="500">
        <f t="shared" si="35"/>
        <v>2017</v>
      </c>
      <c r="X37" s="500">
        <f t="shared" si="35"/>
        <v>2018</v>
      </c>
      <c r="Y37" s="500">
        <f t="shared" si="35"/>
        <v>2019</v>
      </c>
      <c r="Z37" s="500">
        <f t="shared" si="35"/>
        <v>2020</v>
      </c>
      <c r="AA37" s="500">
        <f t="shared" si="35"/>
        <v>2021</v>
      </c>
      <c r="AB37" s="500">
        <f t="shared" si="35"/>
        <v>2022</v>
      </c>
      <c r="AC37" s="500">
        <f t="shared" si="35"/>
        <v>2023</v>
      </c>
      <c r="AE37" s="464" t="str">
        <f>+"variação "&amp;AC37&amp;"/"&amp;AB37</f>
        <v>variação 2023/2022</v>
      </c>
      <c r="AF37" s="464" t="str">
        <f>+"variação "&amp;AC37&amp;"/"&amp;S37</f>
        <v>variação 2023/2013</v>
      </c>
      <c r="AS37" s="623" t="s">
        <v>226</v>
      </c>
      <c r="AT37" s="623" t="s">
        <v>211</v>
      </c>
      <c r="AU37" s="471" t="s">
        <v>348</v>
      </c>
      <c r="AV37" s="471" t="s">
        <v>349</v>
      </c>
      <c r="AW37" s="471" t="s">
        <v>346</v>
      </c>
      <c r="AX37" s="471" t="s">
        <v>347</v>
      </c>
      <c r="AY37" s="499" t="s">
        <v>607</v>
      </c>
      <c r="AZ37" s="499" t="s">
        <v>608</v>
      </c>
      <c r="BA37" s="499" t="s">
        <v>319</v>
      </c>
      <c r="BB37" s="499" t="s">
        <v>609</v>
      </c>
      <c r="BC37" s="499" t="s">
        <v>610</v>
      </c>
      <c r="BD37" s="499" t="s">
        <v>319</v>
      </c>
      <c r="BE37" s="499" t="s">
        <v>607</v>
      </c>
      <c r="BF37" s="499" t="s">
        <v>608</v>
      </c>
      <c r="BG37" s="499" t="s">
        <v>319</v>
      </c>
      <c r="BH37" s="499" t="s">
        <v>609</v>
      </c>
      <c r="BI37" s="499" t="s">
        <v>610</v>
      </c>
      <c r="BJ37" s="499" t="s">
        <v>319</v>
      </c>
      <c r="BN37" s="583" t="s">
        <v>212</v>
      </c>
      <c r="BO37" s="583" t="s">
        <v>185</v>
      </c>
      <c r="BP37" s="471" t="s">
        <v>353</v>
      </c>
      <c r="BQ37" s="471" t="s">
        <v>354</v>
      </c>
      <c r="BR37" s="471" t="s">
        <v>355</v>
      </c>
      <c r="BS37" s="471" t="s">
        <v>356</v>
      </c>
      <c r="BT37" s="499" t="s">
        <v>607</v>
      </c>
      <c r="BU37" s="499" t="s">
        <v>608</v>
      </c>
      <c r="BV37" s="499" t="s">
        <v>319</v>
      </c>
      <c r="BW37" s="499" t="s">
        <v>609</v>
      </c>
      <c r="BX37" s="499" t="s">
        <v>610</v>
      </c>
      <c r="BY37" s="499" t="s">
        <v>319</v>
      </c>
      <c r="BZ37" s="499" t="s">
        <v>607</v>
      </c>
      <c r="CA37" s="499" t="s">
        <v>608</v>
      </c>
      <c r="CB37" s="499" t="s">
        <v>319</v>
      </c>
      <c r="CC37" s="499" t="s">
        <v>609</v>
      </c>
      <c r="CD37" s="499" t="s">
        <v>610</v>
      </c>
      <c r="CE37" s="499" t="s">
        <v>319</v>
      </c>
      <c r="CH37" s="623" t="s">
        <v>296</v>
      </c>
      <c r="CI37" s="623" t="s">
        <v>297</v>
      </c>
      <c r="CJ37" s="683" t="s">
        <v>360</v>
      </c>
      <c r="CK37" s="683" t="s">
        <v>361</v>
      </c>
      <c r="CL37" s="683" t="s">
        <v>362</v>
      </c>
      <c r="CM37" s="683" t="s">
        <v>363</v>
      </c>
      <c r="CN37" s="684" t="s">
        <v>365</v>
      </c>
      <c r="CO37" s="684" t="s">
        <v>366</v>
      </c>
      <c r="CP37" s="499" t="s">
        <v>607</v>
      </c>
      <c r="CQ37" s="499" t="s">
        <v>608</v>
      </c>
      <c r="CR37" s="499" t="s">
        <v>319</v>
      </c>
      <c r="CS37" s="499" t="s">
        <v>609</v>
      </c>
      <c r="CT37" s="499" t="s">
        <v>610</v>
      </c>
      <c r="CU37" s="499" t="s">
        <v>319</v>
      </c>
      <c r="CV37" s="499" t="s">
        <v>607</v>
      </c>
      <c r="CW37" s="499" t="s">
        <v>608</v>
      </c>
      <c r="CX37" s="499" t="s">
        <v>319</v>
      </c>
      <c r="CY37" s="499" t="s">
        <v>609</v>
      </c>
      <c r="CZ37" s="499" t="s">
        <v>610</v>
      </c>
      <c r="DA37" s="499" t="s">
        <v>319</v>
      </c>
    </row>
    <row r="38" spans="1:105">
      <c r="B38" s="500" t="s">
        <v>14</v>
      </c>
      <c r="C38" s="511">
        <f>+'q4'!$B$5</f>
        <v>265860</v>
      </c>
      <c r="D38" s="511">
        <f>+'q4'!$C$5</f>
        <v>270181</v>
      </c>
      <c r="E38" s="511">
        <f>+'q4'!$D$5</f>
        <v>273060</v>
      </c>
      <c r="F38" s="511">
        <f>+'q4'!$E$5</f>
        <v>276332</v>
      </c>
      <c r="G38" s="511">
        <f>+'q4'!$F$5</f>
        <v>279191</v>
      </c>
      <c r="H38" s="511">
        <f>+'q4'!$G$5</f>
        <v>282236</v>
      </c>
      <c r="I38" s="511">
        <f>+'q4'!$H$5</f>
        <v>275751</v>
      </c>
      <c r="J38" s="511">
        <f>+'q4'!$I$5</f>
        <v>277641</v>
      </c>
      <c r="K38" s="511">
        <f>+'q4'!$J$5</f>
        <v>271806</v>
      </c>
      <c r="L38" s="511">
        <f>+'q4'!$K$5</f>
        <v>284860</v>
      </c>
      <c r="M38" s="511">
        <f>+'q4'!$L$5</f>
        <v>291252.00000000017</v>
      </c>
      <c r="R38" s="468" t="s">
        <v>212</v>
      </c>
      <c r="S38" s="511">
        <f>+VLOOKUP($R$36,$B$110:$M$117,COLUMN(C111)-1,0)</f>
        <v>692704</v>
      </c>
      <c r="T38" s="511">
        <f t="shared" ref="T38:AC38" si="36">+VLOOKUP($R$36,$B$110:$M$117,COLUMN(D111)-1,0)</f>
        <v>715126</v>
      </c>
      <c r="U38" s="511">
        <f t="shared" si="36"/>
        <v>730551</v>
      </c>
      <c r="V38" s="511">
        <f t="shared" si="36"/>
        <v>765222</v>
      </c>
      <c r="W38" s="511">
        <f t="shared" si="36"/>
        <v>790694</v>
      </c>
      <c r="X38" s="511">
        <f t="shared" si="36"/>
        <v>826919</v>
      </c>
      <c r="Y38" s="511">
        <f t="shared" si="36"/>
        <v>845336</v>
      </c>
      <c r="Z38" s="511">
        <f t="shared" si="36"/>
        <v>835460</v>
      </c>
      <c r="AA38" s="511">
        <f t="shared" si="36"/>
        <v>838586</v>
      </c>
      <c r="AB38" s="511">
        <f t="shared" si="36"/>
        <v>915180</v>
      </c>
      <c r="AC38" s="511">
        <f t="shared" si="36"/>
        <v>969558</v>
      </c>
      <c r="AD38" s="511" t="str">
        <f>TEXT(AC38,"##.###")</f>
        <v>969.558</v>
      </c>
      <c r="AE38" s="470">
        <f>+(AC38/AB38-1)</f>
        <v>5.9417819445354958E-2</v>
      </c>
      <c r="AF38" s="470">
        <f>+(AC38/S38-1)</f>
        <v>0.39967143253106663</v>
      </c>
      <c r="AG38" s="522">
        <f>+AC38-S38</f>
        <v>276854</v>
      </c>
      <c r="AH38" s="499" t="str">
        <f>IF(AG38&gt;0,", mais",", menos")</f>
        <v>, mais</v>
      </c>
      <c r="AI38" s="499">
        <f>IF(AG38&gt;0,AG38,AG38*-1)</f>
        <v>276854</v>
      </c>
      <c r="AR38" s="501" t="s">
        <v>551</v>
      </c>
      <c r="AS38" s="511">
        <f>INDEX($B$30:$M$37,MATCH($AR$38:$AR$44,$B$30:$B$37,0),MATCH($AR$6,$B$30:$M$30,0))</f>
        <v>112985.99999999999</v>
      </c>
      <c r="AT38" s="511">
        <f>INDEX($B$70:$M$77,MATCH($AR$38:$AR$44,$B$70:$B$77,0),MATCH($AR$6,$B$70:$M$70,0))</f>
        <v>129002.00000000001</v>
      </c>
      <c r="AU38" s="525">
        <f>+AS38/$AS$32*100</f>
        <v>38.793210003708097</v>
      </c>
      <c r="AV38" s="525">
        <f>+AT38/$AT$32*100</f>
        <v>37.901188139756272</v>
      </c>
      <c r="AW38" s="514">
        <f>RANK(AS38,$AS$38:$AS$44,0)</f>
        <v>1</v>
      </c>
      <c r="AX38" s="514">
        <f>RANK(AT38,$AT$38:$AT$44,0)</f>
        <v>1</v>
      </c>
      <c r="AY38" s="511">
        <f>MAX($AS$8:$AS$15)</f>
        <v>52107</v>
      </c>
      <c r="AZ38" s="499" t="str">
        <f>VLOOKUP(AY38,$AS$8:$AY$31,7,0)</f>
        <v>Área Metropolitana do Porto</v>
      </c>
      <c r="BA38" s="499">
        <f>AY38/$AS$38*100</f>
        <v>46.118103127821151</v>
      </c>
      <c r="BB38" s="511">
        <f>MIN($AS$8:$AS$15)</f>
        <v>2397</v>
      </c>
      <c r="BC38" s="499" t="str">
        <f>VLOOKUP(BB38,$AS$8:$AY$31,7,0)</f>
        <v>Alto Tâmega e Barroso</v>
      </c>
      <c r="BD38" s="499">
        <f>BB38/$AS$38*100</f>
        <v>2.1215017789814672</v>
      </c>
      <c r="BE38" s="511">
        <f>MAX($AT$8:$AT$15)</f>
        <v>60584.999999999985</v>
      </c>
      <c r="BF38" s="499" t="str">
        <f>VLOOKUP(BE38,$AT$8:$AY$31,6,0)</f>
        <v>Área Metropolitana do Porto</v>
      </c>
      <c r="BG38" s="499">
        <f>BE38/$AT$38*100</f>
        <v>46.964388149020934</v>
      </c>
      <c r="BH38" s="511">
        <f>MIN($AT$8:$AT$15)</f>
        <v>2746</v>
      </c>
      <c r="BI38" s="499" t="str">
        <f>VLOOKUP(BH38,$AT$8:$AY$31,6,0)</f>
        <v>Alto Tâmega e Barroso</v>
      </c>
      <c r="BJ38" s="499">
        <f>BH38/$AT$38*100</f>
        <v>2.1286491682299498</v>
      </c>
      <c r="BM38" s="501" t="s">
        <v>551</v>
      </c>
      <c r="BN38" s="511">
        <f>INDEX($B$110:$M$117,MATCH($BM$38:$BM$44,$B$110:$B$117,0),MATCH($BM$6,$B$110:$M$110,0))</f>
        <v>1260100.0000000002</v>
      </c>
      <c r="BO38" s="511">
        <f>INDEX($B$150:$M$157,MATCH($BM$38:$BM$44,$B$150:$B$157,0),MATCH($BM$6,$B$150:$M$150,0))</f>
        <v>1186032</v>
      </c>
      <c r="BP38" s="525">
        <f>+BN38/$BN$32*100</f>
        <v>36.110331807554097</v>
      </c>
      <c r="BQ38" s="525">
        <f>+BO38/$BO$32*100</f>
        <v>35.982517701040088</v>
      </c>
      <c r="BR38" s="514">
        <f>RANK(BN38,$BN$38:$BN$44,0)</f>
        <v>1</v>
      </c>
      <c r="BS38" s="514">
        <f>RANK(BO38,$BO$38:$BO$44,0)</f>
        <v>1</v>
      </c>
      <c r="BT38" s="511">
        <f>MAX($BN$8:$BN$15)</f>
        <v>658882.00000000012</v>
      </c>
      <c r="BU38" s="499" t="str">
        <f>VLOOKUP(BT38,$BN$8:$BT$31,7,0)</f>
        <v>Área Metropolitana do Porto</v>
      </c>
      <c r="BV38" s="499">
        <f>BT38/$BN$38*100</f>
        <v>52.288072375208316</v>
      </c>
      <c r="BW38" s="511">
        <f>MIN($BN$8:$BN$15)</f>
        <v>16238</v>
      </c>
      <c r="BX38" s="499" t="str">
        <f>VLOOKUP(BW38,$BN$8:$BT$31,7,0)</f>
        <v>Alto Tâmega e Barroso</v>
      </c>
      <c r="BY38" s="499">
        <f>BW38/$BN$38*100</f>
        <v>1.2886278866756604</v>
      </c>
      <c r="BZ38" s="511">
        <f>MAX($BO$8:$BO$15)</f>
        <v>622620</v>
      </c>
      <c r="CA38" s="499" t="str">
        <f>VLOOKUP(BZ38,$BO$8:$BT$31,6,0)</f>
        <v>Área Metropolitana do Porto</v>
      </c>
      <c r="CB38" s="499">
        <f>BZ38/$BO$38*100</f>
        <v>52.496054069367439</v>
      </c>
      <c r="CC38" s="511">
        <f>MIN($BO$8:$BO$15)</f>
        <v>14953</v>
      </c>
      <c r="CD38" s="499" t="str">
        <f>VLOOKUP(CC38,$BO$8:$BT$31,6,0)</f>
        <v>Alto Tâmega e Barroso</v>
      </c>
      <c r="CE38" s="499">
        <f>CC38/$BO$38*100</f>
        <v>1.2607585630067317</v>
      </c>
      <c r="CG38" s="501" t="s">
        <v>551</v>
      </c>
      <c r="CH38" s="512">
        <f>INDEX($B$190:$M$197,MATCH($CG$38:$CG$44,$B$190:$B$197,0),MATCH($CG$6,$B$190:$M$190,0))</f>
        <v>1137.22</v>
      </c>
      <c r="CI38" s="512">
        <f>INDEX($B$230:$M$237,MATCH($CG$38:$CG$44,$B$230:$B$237,0),MATCH($CG$6,$B$230:$M$230,0))</f>
        <v>1348.66</v>
      </c>
      <c r="CJ38" s="525">
        <f>+(CH38/$CH$32-1)*100</f>
        <v>-6.7753121234229718</v>
      </c>
      <c r="CK38" s="525">
        <f>+(CI38/$CI$32-1)*100</f>
        <v>-8.0454911158687086</v>
      </c>
      <c r="CL38" s="514">
        <f>RANK(CH38,$CH$38:$CH$44,0)</f>
        <v>3</v>
      </c>
      <c r="CM38" s="514">
        <f>RANK(CI38,$CI$38:$CI$44,0)</f>
        <v>3</v>
      </c>
      <c r="CN38" s="512">
        <f>+CH38-$CH$32</f>
        <v>-82.649999999999864</v>
      </c>
      <c r="CO38" s="512">
        <f>+CI38-$CI$32</f>
        <v>-118</v>
      </c>
      <c r="CP38" s="511">
        <f>MAX($CH$8:$CH$15)</f>
        <v>1242.23</v>
      </c>
      <c r="CQ38" s="499" t="str">
        <f>VLOOKUP(CP38,$CH$8:$CP$15,9,0)</f>
        <v>Área Metropolitana do Porto</v>
      </c>
      <c r="CR38" s="682">
        <f>(CP38/$CH$38-1)*100</f>
        <v>9.2339213168955769</v>
      </c>
      <c r="CS38" s="511">
        <f>MIN($CH$8:$CH$15)</f>
        <v>949.32</v>
      </c>
      <c r="CT38" s="499" t="str">
        <f>VLOOKUP(CS38,$CH$8:$CP$15,9,0)</f>
        <v>Tâmega e Sousa</v>
      </c>
      <c r="CU38" s="682">
        <f>(CS38/$CH$38-1)*100</f>
        <v>-16.522748456762983</v>
      </c>
      <c r="CV38" s="511">
        <f>MAX($CI$8:$CI$15)</f>
        <v>1480.08</v>
      </c>
      <c r="CW38" s="499" t="str">
        <f>VLOOKUP(CV38,$CI$8:$CP$15,8,0)</f>
        <v>Área Metropolitana do Porto</v>
      </c>
      <c r="CX38" s="682">
        <f>(CV38/$CI$38-1)*100</f>
        <v>9.7444871205492731</v>
      </c>
      <c r="CY38" s="511">
        <f>MIN($CI$8:$CI$15)</f>
        <v>1107.17</v>
      </c>
      <c r="CZ38" s="499" t="str">
        <f>VLOOKUP(CY38,$CI$8:$CP$15,8,0)</f>
        <v>Tâmega e Sousa</v>
      </c>
      <c r="DA38" s="682">
        <f>(CY38/$CI$38-1)*100</f>
        <v>-17.905921433126217</v>
      </c>
    </row>
    <row r="39" spans="1:105">
      <c r="B39" s="500"/>
      <c r="C39" s="511"/>
      <c r="D39" s="511"/>
      <c r="E39" s="511"/>
      <c r="F39" s="511"/>
      <c r="G39" s="511"/>
      <c r="H39" s="511"/>
      <c r="I39" s="511"/>
      <c r="J39" s="511"/>
      <c r="K39" s="511"/>
      <c r="L39" s="511"/>
      <c r="M39" s="511"/>
      <c r="R39" s="468" t="s">
        <v>185</v>
      </c>
      <c r="S39" s="511">
        <f>+VLOOKUP($R$36,$B$150:$M$157,COLUMN(C151)-1,0)</f>
        <v>656569.99999999988</v>
      </c>
      <c r="T39" s="511">
        <f t="shared" ref="T39:AC39" si="37">+VLOOKUP($R$36,$B$150:$M$157,COLUMN(D151)-1,0)</f>
        <v>677265</v>
      </c>
      <c r="U39" s="511">
        <f t="shared" si="37"/>
        <v>692513</v>
      </c>
      <c r="V39" s="511">
        <f t="shared" si="37"/>
        <v>728120</v>
      </c>
      <c r="W39" s="511">
        <f t="shared" si="37"/>
        <v>753266.00000000012</v>
      </c>
      <c r="X39" s="511">
        <f t="shared" si="37"/>
        <v>788380.00000000012</v>
      </c>
      <c r="Y39" s="511">
        <f t="shared" si="37"/>
        <v>807855</v>
      </c>
      <c r="Z39" s="511">
        <f t="shared" si="37"/>
        <v>797460</v>
      </c>
      <c r="AA39" s="511">
        <f t="shared" si="37"/>
        <v>801493</v>
      </c>
      <c r="AB39" s="511">
        <f t="shared" si="37"/>
        <v>875584</v>
      </c>
      <c r="AC39" s="511">
        <f t="shared" si="37"/>
        <v>928991</v>
      </c>
      <c r="AD39" s="511" t="str">
        <f>TEXT(AC39,"##.###")</f>
        <v>928.991</v>
      </c>
      <c r="AE39" s="470">
        <f>+(AC39/AB39-1)</f>
        <v>6.0995861048168898E-2</v>
      </c>
      <c r="AF39" s="470">
        <f>+(AC39/S39-1)</f>
        <v>0.41491539363662699</v>
      </c>
      <c r="AG39" s="522">
        <f>+AC39-S39</f>
        <v>272421.00000000012</v>
      </c>
      <c r="AH39" s="499" t="str">
        <f>IF(AG39&gt;0,", mais",", menos")</f>
        <v>, mais</v>
      </c>
      <c r="AI39" s="499">
        <f>IF(AG39&gt;0,AG39,AG39*-1)</f>
        <v>272421.00000000012</v>
      </c>
      <c r="AR39" s="501" t="s">
        <v>560</v>
      </c>
      <c r="AS39" s="511">
        <f t="shared" ref="AS39:AS44" si="38">INDEX($B$30:$M$37,MATCH($AR$38:$AR$44,$B$30:$B$37,0),MATCH($AR$6,$B$30:$M$30,0))</f>
        <v>47066.000000000007</v>
      </c>
      <c r="AT39" s="511">
        <f t="shared" ref="AT39:AT44" si="39">INDEX($B$70:$M$77,MATCH($AR$38:$AR$44,$B$70:$B$77,0),MATCH($AR$6,$B$70:$M$70,0))</f>
        <v>55620.000000000007</v>
      </c>
      <c r="AU39" s="525">
        <f t="shared" ref="AU39:AU44" si="40">+AS39/$AS$32*100</f>
        <v>16.15988903080493</v>
      </c>
      <c r="AV39" s="525">
        <f t="shared" ref="AV39:AV44" si="41">+AT39/$AT$32*100</f>
        <v>16.341328695161657</v>
      </c>
      <c r="AW39" s="514">
        <f t="shared" ref="AW39:AW44" si="42">RANK(AS39,$AS$38:$AS$44,0)</f>
        <v>3</v>
      </c>
      <c r="AX39" s="514">
        <f t="shared" ref="AX39:AX44" si="43">RANK(AT39,$AT$38:$AT$44,0)</f>
        <v>3</v>
      </c>
      <c r="AY39" s="511">
        <f>MAX($AS$16:$AS$21)</f>
        <v>11047.999999999998</v>
      </c>
      <c r="AZ39" s="499" t="str">
        <f>VLOOKUP(AY39,$AS$6:$AY$21,7,0)</f>
        <v>Região de Coimbra</v>
      </c>
      <c r="BA39" s="499">
        <f>AY39/$AS$39*100</f>
        <v>23.473420303403724</v>
      </c>
      <c r="BB39" s="511">
        <f>MIN($AS$16:$AS$21)</f>
        <v>2743</v>
      </c>
      <c r="BC39" s="499" t="str">
        <f>VLOOKUP(BB39,$AS$16:$AY$21,7,0)</f>
        <v>Beira Baixa</v>
      </c>
      <c r="BD39" s="499">
        <f>BB39/$AS$39*100</f>
        <v>5.8279862320996036</v>
      </c>
      <c r="BE39" s="511">
        <f>MAX($AT$16:$AT$21)</f>
        <v>13431.000000000004</v>
      </c>
      <c r="BF39" s="499" t="str">
        <f>VLOOKUP(BE39,$AT$16:$AY$21,6,0)</f>
        <v>Região de Coimbra</v>
      </c>
      <c r="BG39" s="499">
        <f>BE39/$AT$39*100</f>
        <v>24.147788565264296</v>
      </c>
      <c r="BH39" s="511">
        <f>MIN($AT$16:$AT$21)</f>
        <v>3270</v>
      </c>
      <c r="BI39" s="499" t="str">
        <f>VLOOKUP(BH39,$AT$16:$AY$21,6,0)</f>
        <v>Beira Baixa</v>
      </c>
      <c r="BJ39" s="499">
        <f>BH39/$AT$39*100</f>
        <v>5.8791801510248103</v>
      </c>
      <c r="BM39" s="501" t="s">
        <v>560</v>
      </c>
      <c r="BN39" s="511">
        <f t="shared" ref="BN39:BN44" si="44">INDEX($B$110:$M$117,MATCH($BM$38:$BM$44,$B$110:$B$117,0),MATCH($BM$6,$B$110:$M$110,0))</f>
        <v>524218.00000000012</v>
      </c>
      <c r="BO39" s="511">
        <f t="shared" ref="BO39:BO44" si="45">INDEX($B$150:$M$157,MATCH($BM$38:$BM$44,$B$150:$B$157,0),MATCH($BM$6,$B$150:$M$150,0))</f>
        <v>490775.99999999988</v>
      </c>
      <c r="BP39" s="525">
        <f t="shared" ref="BP39:BP44" si="46">+BN39/$BN$32*100</f>
        <v>15.022368002136648</v>
      </c>
      <c r="BQ39" s="525">
        <f t="shared" ref="BQ39:BQ44" si="47">+BO39/$BO$32*100</f>
        <v>14.889443208316171</v>
      </c>
      <c r="BR39" s="514">
        <f t="shared" ref="BR39:BR44" si="48">RANK(BN39,$BN$38:$BN$44,0)</f>
        <v>3</v>
      </c>
      <c r="BS39" s="514">
        <f t="shared" ref="BS39:BS44" si="49">RANK(BO39,$BO$38:$BO$44,0)</f>
        <v>3</v>
      </c>
      <c r="BT39" s="511">
        <f>MAX($BN$16:$BN$21)</f>
        <v>139483</v>
      </c>
      <c r="BU39" s="499" t="str">
        <f>VLOOKUP(BT39,$BN$6:$BT$21,7,0)</f>
        <v>Região de Aveiro</v>
      </c>
      <c r="BV39" s="499">
        <f>BT39/$BN$39*100</f>
        <v>26.607823462757857</v>
      </c>
      <c r="BW39" s="511">
        <f>MIN($BN$16:$BN$21)</f>
        <v>23604</v>
      </c>
      <c r="BX39" s="499" t="str">
        <f>VLOOKUP(BW39,$BN$16:$BT$21,7,0)</f>
        <v>Beira Baixa</v>
      </c>
      <c r="BY39" s="499">
        <f>BW39/$BN$39*100</f>
        <v>4.5027068891186479</v>
      </c>
      <c r="BZ39" s="511">
        <f>MAX($BO$16:$BO$21)</f>
        <v>131410.00000000003</v>
      </c>
      <c r="CA39" s="499" t="str">
        <f>VLOOKUP(BZ39,$BO$16:$BT$21,6,0)</f>
        <v>Região de Aveiro</v>
      </c>
      <c r="CB39" s="499">
        <f>BZ39/$BO$39*100</f>
        <v>26.775962964774163</v>
      </c>
      <c r="CC39" s="511">
        <f>MIN($BO$16:$BO$21)</f>
        <v>21994</v>
      </c>
      <c r="CD39" s="499" t="str">
        <f>VLOOKUP(CC39,$BO$16:$BT$21,6,0)</f>
        <v>Beira Baixa</v>
      </c>
      <c r="CE39" s="499">
        <f>CC39/$BO$39*100</f>
        <v>4.4814742367189933</v>
      </c>
      <c r="CG39" s="501" t="s">
        <v>560</v>
      </c>
      <c r="CH39" s="512">
        <f t="shared" ref="CH39:CH44" si="50">INDEX($B$190:$M$197,MATCH($CG$38:$CG$44,$B$190:$B$197,0),MATCH($CG$6,$B$190:$M$190,0))</f>
        <v>1075.43</v>
      </c>
      <c r="CI39" s="512">
        <f t="shared" ref="CI39:CI44" si="51">INDEX($B$230:$M$237,MATCH($CG$38:$CG$44,$B$230:$B$237,0),MATCH($CG$6,$B$230:$M$230,0))</f>
        <v>1305.72</v>
      </c>
      <c r="CJ39" s="525">
        <f t="shared" ref="CJ39:CJ44" si="52">+(CH39/$CH$32-1)*100</f>
        <v>-11.840605966209505</v>
      </c>
      <c r="CK39" s="525">
        <f t="shared" ref="CK39:CK44" si="53">+(CI39/$CI$32-1)*100</f>
        <v>-10.973231696507712</v>
      </c>
      <c r="CL39" s="514">
        <f t="shared" ref="CL39:CL44" si="54">RANK(CH39,$CH$38:$CH$44,0)</f>
        <v>4</v>
      </c>
      <c r="CM39" s="514">
        <f t="shared" ref="CM39:CM44" si="55">RANK(CI39,$CI$38:$CI$44,0)</f>
        <v>5</v>
      </c>
      <c r="CN39" s="512">
        <f t="shared" ref="CN39:CN44" si="56">+CH39-$CH$32</f>
        <v>-144.43999999999983</v>
      </c>
      <c r="CO39" s="512">
        <f t="shared" ref="CO39:CO44" si="57">+CI39-$CI$32</f>
        <v>-160.94000000000005</v>
      </c>
      <c r="CP39" s="511">
        <f>MAX($CH$16:$CH$21)</f>
        <v>1142.06</v>
      </c>
      <c r="CQ39" s="499" t="str">
        <f>VLOOKUP(CP39,$CH$16:$CP$21,9,0)</f>
        <v>Região de Aveiro</v>
      </c>
      <c r="CR39" s="682">
        <f>(CP39/$CH$39-1)*100</f>
        <v>6.1956612703755631</v>
      </c>
      <c r="CS39" s="511">
        <f>MIN($CH$16:$CH$21)</f>
        <v>979.61</v>
      </c>
      <c r="CT39" s="499" t="str">
        <f>VLOOKUP(CS39,$CH$16:$CP$21,9,0)</f>
        <v>Beiras e Serra da Estrela</v>
      </c>
      <c r="CU39" s="682">
        <f>(CS39/$CH$39-1)*100</f>
        <v>-8.9099244023320914</v>
      </c>
      <c r="CV39" s="511">
        <f>MAX($CI$16:$CI$21)</f>
        <v>1382.49</v>
      </c>
      <c r="CW39" s="499" t="str">
        <f>VLOOKUP(CV39,$CI$16:$CP$21,8,0)</f>
        <v>Região de Aveiro</v>
      </c>
      <c r="CX39" s="682">
        <f>(CV39/$CI$39-1)*100</f>
        <v>5.8795147504824952</v>
      </c>
      <c r="CY39" s="511">
        <f>MIN($CI$16:$CI$21)</f>
        <v>1180.54</v>
      </c>
      <c r="CZ39" s="499" t="str">
        <f>VLOOKUP(CY39,$CI$16:$CP$21,8,0)</f>
        <v>Beiras e Serra da Estrela</v>
      </c>
      <c r="DA39" s="682">
        <f>(CY39/$CI$39-1)*100</f>
        <v>-9.5870477590907726</v>
      </c>
    </row>
    <row r="40" spans="1:105">
      <c r="C40" s="500">
        <f>+C30</f>
        <v>2013</v>
      </c>
      <c r="D40" s="500">
        <f t="shared" ref="D40:M40" si="58">+D30</f>
        <v>2014</v>
      </c>
      <c r="E40" s="500">
        <f t="shared" si="58"/>
        <v>2015</v>
      </c>
      <c r="F40" s="500">
        <f t="shared" si="58"/>
        <v>2016</v>
      </c>
      <c r="G40" s="500">
        <f t="shared" si="58"/>
        <v>2017</v>
      </c>
      <c r="H40" s="500">
        <f t="shared" si="58"/>
        <v>2018</v>
      </c>
      <c r="I40" s="500">
        <f t="shared" si="58"/>
        <v>2019</v>
      </c>
      <c r="J40" s="500">
        <f t="shared" si="58"/>
        <v>2020</v>
      </c>
      <c r="K40" s="500">
        <f t="shared" si="58"/>
        <v>2021</v>
      </c>
      <c r="L40" s="500">
        <f t="shared" si="58"/>
        <v>2022</v>
      </c>
      <c r="M40" s="500">
        <f t="shared" si="58"/>
        <v>2023</v>
      </c>
      <c r="AR40" s="501" t="s">
        <v>567</v>
      </c>
      <c r="AS40" s="511">
        <f t="shared" si="38"/>
        <v>23798</v>
      </c>
      <c r="AT40" s="511">
        <f t="shared" si="39"/>
        <v>28008.000000000004</v>
      </c>
      <c r="AU40" s="525">
        <f t="shared" si="40"/>
        <v>8.1709310150659871</v>
      </c>
      <c r="AV40" s="525">
        <f t="shared" si="41"/>
        <v>8.2288373623532465</v>
      </c>
      <c r="AW40" s="514">
        <f t="shared" si="42"/>
        <v>4</v>
      </c>
      <c r="AX40" s="514">
        <f t="shared" si="43"/>
        <v>4</v>
      </c>
      <c r="AY40" s="511">
        <f>MAX($AS$22:$AS$24)</f>
        <v>11504</v>
      </c>
      <c r="AZ40" s="499" t="str">
        <f>VLOOKUP(AY40,$AS$22:$AY$24,7,0)</f>
        <v>Oeste</v>
      </c>
      <c r="BA40" s="499">
        <f>AY40/$AS$40*100</f>
        <v>48.340196655181103</v>
      </c>
      <c r="BB40" s="511">
        <f>MIN($AS$22:$AS$24)</f>
        <v>6010</v>
      </c>
      <c r="BC40" s="499" t="str">
        <f>VLOOKUP(BB40,$AS$22:$AY$24,7,0)</f>
        <v>Médio Tejo</v>
      </c>
      <c r="BD40" s="499">
        <f>BB40/$AS$40*100</f>
        <v>25.254223043953271</v>
      </c>
      <c r="BE40" s="511">
        <f>MAX($AT$22:$AT$24)</f>
        <v>13372</v>
      </c>
      <c r="BF40" s="499" t="str">
        <f>VLOOKUP(BE40,$AT$22:$AY$24,6,0)</f>
        <v>Oeste</v>
      </c>
      <c r="BG40" s="499">
        <f>BE40/$AT$40*100</f>
        <v>47.74350185661239</v>
      </c>
      <c r="BH40" s="511">
        <f>MIN($AT$22:$AT$24)</f>
        <v>7144</v>
      </c>
      <c r="BI40" s="499" t="str">
        <f>VLOOKUP(BH40,$AT$22:$AY$24,6,0)</f>
        <v>Médio Tejo</v>
      </c>
      <c r="BJ40" s="499">
        <f>BH40/$AT$40*100</f>
        <v>25.506998000571262</v>
      </c>
      <c r="BM40" s="501" t="s">
        <v>567</v>
      </c>
      <c r="BN40" s="511">
        <f t="shared" si="44"/>
        <v>244696.99999999994</v>
      </c>
      <c r="BO40" s="511">
        <f t="shared" si="45"/>
        <v>228581.00000000006</v>
      </c>
      <c r="BP40" s="525">
        <f t="shared" si="46"/>
        <v>7.0122132071367833</v>
      </c>
      <c r="BQ40" s="525">
        <f t="shared" si="47"/>
        <v>6.934821217826709</v>
      </c>
      <c r="BR40" s="514">
        <f t="shared" si="48"/>
        <v>4</v>
      </c>
      <c r="BS40" s="514">
        <f t="shared" si="49"/>
        <v>4</v>
      </c>
      <c r="BT40" s="511">
        <f>MAX($BN$22:$BN$24)</f>
        <v>111666</v>
      </c>
      <c r="BU40" s="499" t="str">
        <f>VLOOKUP(BT40,$BN$22:$BT$24,7,0)</f>
        <v>Oeste</v>
      </c>
      <c r="BV40" s="499">
        <f>BT40/$BN$40*100</f>
        <v>45.634396825461707</v>
      </c>
      <c r="BW40" s="511">
        <f>MIN($BN$22:$BN$24)</f>
        <v>59990</v>
      </c>
      <c r="BX40" s="499" t="str">
        <f>VLOOKUP(BW40,$BN$22:$BT$24,7,0)</f>
        <v>Médio Tejo</v>
      </c>
      <c r="BY40" s="499">
        <f>BW40/$BN$40*100</f>
        <v>24.516034115661416</v>
      </c>
      <c r="BZ40" s="511">
        <f>MAX($BO$22:$BO$24)</f>
        <v>103758</v>
      </c>
      <c r="CA40" s="499" t="str">
        <f>VLOOKUP(BZ40,$BO$22:$BT$24,6,0)</f>
        <v>Oeste</v>
      </c>
      <c r="CB40" s="499">
        <f>BZ40/$BO$40*100</f>
        <v>45.392224200611587</v>
      </c>
      <c r="CC40" s="511">
        <f>MIN($BO$22:$BO$24)</f>
        <v>55728</v>
      </c>
      <c r="CD40" s="499" t="str">
        <f>VLOOKUP(CC40,$BO$22:$BT$24,6,0)</f>
        <v>Médio Tejo</v>
      </c>
      <c r="CE40" s="499">
        <f>CC40/$BO$40*100</f>
        <v>24.379979088375666</v>
      </c>
      <c r="CG40" s="501" t="s">
        <v>567</v>
      </c>
      <c r="CH40" s="512">
        <f t="shared" si="50"/>
        <v>1035.0899999999999</v>
      </c>
      <c r="CI40" s="512">
        <f t="shared" si="51"/>
        <v>1249.77</v>
      </c>
      <c r="CJ40" s="525">
        <f t="shared" si="52"/>
        <v>-15.147515718888084</v>
      </c>
      <c r="CK40" s="525">
        <f t="shared" si="53"/>
        <v>-14.788021763735292</v>
      </c>
      <c r="CL40" s="514">
        <f t="shared" si="54"/>
        <v>6</v>
      </c>
      <c r="CM40" s="514">
        <f t="shared" si="55"/>
        <v>6</v>
      </c>
      <c r="CN40" s="512">
        <f t="shared" si="56"/>
        <v>-184.77999999999997</v>
      </c>
      <c r="CO40" s="512">
        <f t="shared" si="57"/>
        <v>-216.8900000000001</v>
      </c>
      <c r="CP40" s="511">
        <f>MAX($CH$22:$CH$24)</f>
        <v>1036.5899999999999</v>
      </c>
      <c r="CQ40" s="499" t="str">
        <f>VLOOKUP(CP40,$CH$22:$CP$24,9,0)</f>
        <v>Lezíria do Tejo</v>
      </c>
      <c r="CR40" s="682">
        <f>(CP40/$CH$40-1)*100</f>
        <v>0.14491493493320462</v>
      </c>
      <c r="CS40" s="511">
        <f>MIN($CH$22:$CH$24)</f>
        <v>1033.98</v>
      </c>
      <c r="CT40" s="499" t="str">
        <f>VLOOKUP(CS40,$CH$22:$CP$24,9,0)</f>
        <v>Oeste</v>
      </c>
      <c r="CU40" s="682">
        <f>(CS40/$CH$40-1)*100</f>
        <v>-0.10723705185055055</v>
      </c>
      <c r="CV40" s="511">
        <f>MAX($CI$22:$CI$24)</f>
        <v>1260.73</v>
      </c>
      <c r="CW40" s="499" t="str">
        <f>VLOOKUP(CV40,$CI$22:$CP$24,8,0)</f>
        <v>Lezíria do Tejo</v>
      </c>
      <c r="CX40" s="682">
        <f>(CV40/$CI$40-1)*100</f>
        <v>0.87696136089041588</v>
      </c>
      <c r="CY40" s="511">
        <f>MIN($CI$22:$CI$24)</f>
        <v>1237.75</v>
      </c>
      <c r="CZ40" s="499" t="str">
        <f>VLOOKUP(CY40,$CI$22:$CP$24,8,0)</f>
        <v>Oeste</v>
      </c>
      <c r="DA40" s="682">
        <f>(CY40/$CI$40-1)*100</f>
        <v>-0.96177696696192472</v>
      </c>
    </row>
    <row r="41" spans="1:105">
      <c r="A41" s="500" t="s">
        <v>580</v>
      </c>
      <c r="B41" s="500" t="str">
        <f>+'q4'!$A$7</f>
        <v>Alto Minho</v>
      </c>
      <c r="C41" s="511">
        <f>+'q4'!$B$7</f>
        <v>7051</v>
      </c>
      <c r="D41" s="511">
        <f>+'q4'!$C$7</f>
        <v>7129</v>
      </c>
      <c r="E41" s="511">
        <f>+'q4'!$D$7</f>
        <v>7173</v>
      </c>
      <c r="F41" s="511">
        <f>+'q4'!$E$7</f>
        <v>7291</v>
      </c>
      <c r="G41" s="511">
        <f>+'q4'!$F$7</f>
        <v>7270</v>
      </c>
      <c r="H41" s="511">
        <f>+'q4'!$G$7</f>
        <v>7341</v>
      </c>
      <c r="I41" s="511">
        <f>+'q4'!$H$7</f>
        <v>7045</v>
      </c>
      <c r="J41" s="511">
        <f>+'q4'!$I$7</f>
        <v>7037</v>
      </c>
      <c r="K41" s="511">
        <f>+'q4'!$J$7</f>
        <v>6974</v>
      </c>
      <c r="L41" s="511">
        <f>+'q4'!$K$7</f>
        <v>7227</v>
      </c>
      <c r="M41" s="511">
        <f>+'q4'!$L$7</f>
        <v>7381</v>
      </c>
      <c r="AF41" s="525">
        <f>+(AC38/S38-1)*100</f>
        <v>39.967143253106663</v>
      </c>
      <c r="AR41" s="501" t="s">
        <v>571</v>
      </c>
      <c r="AS41" s="511">
        <f t="shared" si="38"/>
        <v>59573</v>
      </c>
      <c r="AT41" s="511">
        <f t="shared" si="39"/>
        <v>70103.999999999985</v>
      </c>
      <c r="AU41" s="525">
        <f t="shared" si="40"/>
        <v>20.454108469641398</v>
      </c>
      <c r="AV41" s="525">
        <f t="shared" si="41"/>
        <v>20.596772866695652</v>
      </c>
      <c r="AW41" s="514">
        <f t="shared" si="42"/>
        <v>2</v>
      </c>
      <c r="AX41" s="514">
        <f t="shared" si="43"/>
        <v>2</v>
      </c>
      <c r="AY41" s="511">
        <f>MAX($AS$25)</f>
        <v>59573</v>
      </c>
      <c r="AZ41" s="499" t="str">
        <f>VLOOKUP(AY41,$AS$25:$AY$25,7,0)</f>
        <v>Grande Lisboa</v>
      </c>
      <c r="BA41" s="499">
        <f>AY41/$AS$41*100</f>
        <v>100</v>
      </c>
      <c r="BB41" s="511">
        <f>MIN($AS$25:$AS$25)</f>
        <v>59573</v>
      </c>
      <c r="BC41" s="499" t="str">
        <f>VLOOKUP(BB41,$AS$25:$AY$25,7,0)</f>
        <v>Grande Lisboa</v>
      </c>
      <c r="BD41" s="499">
        <f>BB41/$AS$41*100</f>
        <v>100</v>
      </c>
      <c r="BE41" s="511">
        <f>MAX($AT$25:$AT$25)</f>
        <v>70103.999999999985</v>
      </c>
      <c r="BF41" s="499" t="str">
        <f>VLOOKUP(BE41,$AT$25:$AY$25,6,0)</f>
        <v>Grande Lisboa</v>
      </c>
      <c r="BG41" s="499">
        <f>BE41/$AT$41*100</f>
        <v>100</v>
      </c>
      <c r="BH41" s="511">
        <f>MIN($AT$25)</f>
        <v>70103.999999999985</v>
      </c>
      <c r="BI41" s="499" t="str">
        <f>VLOOKUP(BH41,$AT$25:$AY$25,6,0)</f>
        <v>Grande Lisboa</v>
      </c>
      <c r="BJ41" s="499">
        <f>BH41/$AT$41*100</f>
        <v>100</v>
      </c>
      <c r="BM41" s="501" t="s">
        <v>571</v>
      </c>
      <c r="BN41" s="511">
        <f t="shared" si="44"/>
        <v>969558</v>
      </c>
      <c r="BO41" s="511">
        <f t="shared" si="45"/>
        <v>928991</v>
      </c>
      <c r="BP41" s="525">
        <f t="shared" si="46"/>
        <v>27.784351310744011</v>
      </c>
      <c r="BQ41" s="525">
        <f t="shared" si="47"/>
        <v>28.184260712701626</v>
      </c>
      <c r="BR41" s="514">
        <f t="shared" si="48"/>
        <v>2</v>
      </c>
      <c r="BS41" s="514">
        <f t="shared" si="49"/>
        <v>2</v>
      </c>
      <c r="BT41" s="511">
        <f>MAX($BN$25)</f>
        <v>969558</v>
      </c>
      <c r="BU41" s="499" t="str">
        <f>VLOOKUP(BT41,$BN$25:$BT$25,7,0)</f>
        <v>Grande Lisboa</v>
      </c>
      <c r="BV41" s="499">
        <f>BT41/$BN$41*100</f>
        <v>100</v>
      </c>
      <c r="BW41" s="511">
        <f>MIN($BN$25:$BN$25)</f>
        <v>969558</v>
      </c>
      <c r="BX41" s="499" t="str">
        <f>VLOOKUP(BW41,$BN$25:$BT$25,7,0)</f>
        <v>Grande Lisboa</v>
      </c>
      <c r="BY41" s="499">
        <f>BW41/$BN$41*100</f>
        <v>100</v>
      </c>
      <c r="BZ41" s="511">
        <f>MAX($BO$25:$BO$25)</f>
        <v>928991</v>
      </c>
      <c r="CA41" s="499" t="str">
        <f>VLOOKUP(BZ41,$BO$25:$BT$25,6,0)</f>
        <v>Grande Lisboa</v>
      </c>
      <c r="CB41" s="499">
        <f>BZ41/$BO$41*100</f>
        <v>100</v>
      </c>
      <c r="CC41" s="511">
        <f>MIN($BO$25)</f>
        <v>928991</v>
      </c>
      <c r="CD41" s="499" t="str">
        <f>VLOOKUP(CC41,$BO$25:$BT$25,6,0)</f>
        <v>Grande Lisboa</v>
      </c>
      <c r="CE41" s="499">
        <f>CC41/$BO$41*100</f>
        <v>100</v>
      </c>
      <c r="CG41" s="501" t="s">
        <v>571</v>
      </c>
      <c r="CH41" s="512">
        <f t="shared" si="50"/>
        <v>1505.99</v>
      </c>
      <c r="CI41" s="512">
        <f t="shared" si="51"/>
        <v>1817.17</v>
      </c>
      <c r="CJ41" s="525">
        <f t="shared" si="52"/>
        <v>23.454958315230321</v>
      </c>
      <c r="CK41" s="525">
        <f t="shared" si="53"/>
        <v>23.898517720535082</v>
      </c>
      <c r="CL41" s="514">
        <f t="shared" si="54"/>
        <v>1</v>
      </c>
      <c r="CM41" s="514">
        <f t="shared" si="55"/>
        <v>1</v>
      </c>
      <c r="CN41" s="512">
        <f t="shared" si="56"/>
        <v>286.12000000000012</v>
      </c>
      <c r="CO41" s="512">
        <f t="shared" si="57"/>
        <v>350.51</v>
      </c>
      <c r="CP41" s="511">
        <f>MAX($CH$25)</f>
        <v>1505.99</v>
      </c>
      <c r="CQ41" s="499" t="str">
        <f>VLOOKUP(CP41,$CH$25:$CP$25,9,0)</f>
        <v>Grande Lisboa</v>
      </c>
      <c r="CR41" s="682">
        <f>(CP41/$CH$41-1)*100</f>
        <v>0</v>
      </c>
      <c r="CS41" s="511">
        <f>MIN($CH$25)</f>
        <v>1505.99</v>
      </c>
      <c r="CT41" s="499" t="str">
        <f>VLOOKUP(CS41,$CH$25:$CP$25,9,0)</f>
        <v>Grande Lisboa</v>
      </c>
      <c r="CU41" s="682">
        <f>(CS41/$CH$41-1)*100</f>
        <v>0</v>
      </c>
      <c r="CV41" s="511">
        <f>MAX($CI$25)</f>
        <v>1817.17</v>
      </c>
      <c r="CW41" s="499" t="str">
        <f>VLOOKUP(CV41,$CI$25:$CP$25,8,0)</f>
        <v>Grande Lisboa</v>
      </c>
      <c r="CX41" s="682">
        <f>(CV41/$CI$41-1)*100</f>
        <v>0</v>
      </c>
      <c r="CY41" s="511">
        <f>MIN($CI$25)</f>
        <v>1817.17</v>
      </c>
      <c r="CZ41" s="499" t="str">
        <f>VLOOKUP(CY41,$CI$25:$CP$25,8,0)</f>
        <v>Grande Lisboa</v>
      </c>
      <c r="DA41" s="682">
        <f>(CY41/$CI$41-1)*100</f>
        <v>0</v>
      </c>
    </row>
    <row r="42" spans="1:105">
      <c r="A42" s="500"/>
      <c r="B42" s="500" t="str">
        <f>+'q4'!$A$8</f>
        <v>Cávado</v>
      </c>
      <c r="C42" s="511">
        <f>+'q4'!$B$8</f>
        <v>12746</v>
      </c>
      <c r="D42" s="511">
        <f>+'q4'!$C$8</f>
        <v>13169</v>
      </c>
      <c r="E42" s="511">
        <f>+'q4'!$D$8</f>
        <v>13373</v>
      </c>
      <c r="F42" s="511">
        <f>+'q4'!$E$8</f>
        <v>13613</v>
      </c>
      <c r="G42" s="511">
        <f>+'q4'!$F$8</f>
        <v>13840</v>
      </c>
      <c r="H42" s="511">
        <f>+'q4'!$G$8</f>
        <v>13932</v>
      </c>
      <c r="I42" s="511">
        <f>+'q4'!$H$8</f>
        <v>13662</v>
      </c>
      <c r="J42" s="511">
        <f>+'q4'!$I$8</f>
        <v>13781</v>
      </c>
      <c r="K42" s="511">
        <f>+'q4'!$J$8</f>
        <v>13588</v>
      </c>
      <c r="L42" s="511">
        <f>+'q4'!$K$8</f>
        <v>14557</v>
      </c>
      <c r="M42" s="511">
        <f>+'q4'!$L$8</f>
        <v>15022.000000000002</v>
      </c>
      <c r="Z42" s="521" t="s">
        <v>597</v>
      </c>
      <c r="AF42" s="525">
        <f>+(AC39/S39-1)*100</f>
        <v>41.491539363662696</v>
      </c>
      <c r="AR42" s="501" t="s">
        <v>572</v>
      </c>
      <c r="AS42" s="511">
        <f t="shared" si="38"/>
        <v>14910</v>
      </c>
      <c r="AT42" s="511">
        <f t="shared" si="39"/>
        <v>18085</v>
      </c>
      <c r="AU42" s="525">
        <f t="shared" si="40"/>
        <v>5.1192781508796479</v>
      </c>
      <c r="AV42" s="525">
        <f t="shared" si="41"/>
        <v>5.3134291523192827</v>
      </c>
      <c r="AW42" s="514">
        <f t="shared" si="42"/>
        <v>6</v>
      </c>
      <c r="AX42" s="514">
        <f t="shared" si="43"/>
        <v>6</v>
      </c>
      <c r="AY42" s="511">
        <f>MAX($AS$26)</f>
        <v>14910</v>
      </c>
      <c r="AZ42" s="499" t="str">
        <f>VLOOKUP(AY42,$AS$26:$AY$26,7,0)</f>
        <v>Península de Setúbal</v>
      </c>
      <c r="BA42" s="499">
        <f>AY42/$AS$42*100</f>
        <v>100</v>
      </c>
      <c r="BB42" s="511">
        <f>MIN($AS$26)</f>
        <v>14910</v>
      </c>
      <c r="BC42" s="499" t="str">
        <f>VLOOKUP(BB42,$AS$26:$AY$26,7,0)</f>
        <v>Península de Setúbal</v>
      </c>
      <c r="BD42" s="499">
        <f>BB42/$AS$42*100</f>
        <v>100</v>
      </c>
      <c r="BE42" s="511">
        <f>MAX($AT$26)</f>
        <v>18085</v>
      </c>
      <c r="BF42" s="499" t="str">
        <f>VLOOKUP(BE42,$AT$26:$AY$26,6,0)</f>
        <v>Península de Setúbal</v>
      </c>
      <c r="BG42" s="499">
        <f>BE42/$AT$42*100</f>
        <v>100</v>
      </c>
      <c r="BH42" s="511">
        <f>MIN($AT$26)</f>
        <v>18085</v>
      </c>
      <c r="BI42" s="499" t="str">
        <f>VLOOKUP(BH42,$AT$26:$AY$26,6,0)</f>
        <v>Península de Setúbal</v>
      </c>
      <c r="BJ42" s="499">
        <f>BH42/$AT$42*100</f>
        <v>100</v>
      </c>
      <c r="BM42" s="501" t="s">
        <v>572</v>
      </c>
      <c r="BN42" s="511">
        <f t="shared" si="44"/>
        <v>173313</v>
      </c>
      <c r="BO42" s="511">
        <f t="shared" si="45"/>
        <v>163331</v>
      </c>
      <c r="BP42" s="525">
        <f t="shared" si="46"/>
        <v>4.9665819669570848</v>
      </c>
      <c r="BQ42" s="525">
        <f t="shared" si="47"/>
        <v>4.9552293687089213</v>
      </c>
      <c r="BR42" s="514">
        <f t="shared" si="48"/>
        <v>6</v>
      </c>
      <c r="BS42" s="514">
        <f t="shared" si="49"/>
        <v>6</v>
      </c>
      <c r="BT42" s="511">
        <f>MAX($BN$26)</f>
        <v>173313</v>
      </c>
      <c r="BU42" s="499" t="str">
        <f>VLOOKUP(BT42,$BN$26:$BT$26,7,0)</f>
        <v>Península de Setúbal</v>
      </c>
      <c r="BV42" s="499">
        <f>BT42/$BN$42*100</f>
        <v>100</v>
      </c>
      <c r="BW42" s="511">
        <f>MIN($BN$26)</f>
        <v>173313</v>
      </c>
      <c r="BX42" s="499" t="str">
        <f>VLOOKUP(BW42,$BN$26:$BT$26,7,0)</f>
        <v>Península de Setúbal</v>
      </c>
      <c r="BY42" s="499">
        <f>BW42/$BN$42*100</f>
        <v>100</v>
      </c>
      <c r="BZ42" s="511">
        <f>MAX($BO$26)</f>
        <v>163331</v>
      </c>
      <c r="CA42" s="499" t="str">
        <f>VLOOKUP(BZ42,$BO$26:$BT$26,6,0)</f>
        <v>Península de Setúbal</v>
      </c>
      <c r="CB42" s="499">
        <f>BZ42/$BO$42*100</f>
        <v>100</v>
      </c>
      <c r="CC42" s="511">
        <f>MIN($BO$26)</f>
        <v>163331</v>
      </c>
      <c r="CD42" s="499" t="str">
        <f>VLOOKUP(CC42,$BO$26:$BT$26,6,0)</f>
        <v>Península de Setúbal</v>
      </c>
      <c r="CE42" s="499">
        <f>CC42/$BO$42*100</f>
        <v>100</v>
      </c>
      <c r="CG42" s="501" t="s">
        <v>572</v>
      </c>
      <c r="CH42" s="512">
        <f t="shared" si="50"/>
        <v>1188.27</v>
      </c>
      <c r="CI42" s="512">
        <f t="shared" si="51"/>
        <v>1433.11</v>
      </c>
      <c r="CJ42" s="525">
        <f t="shared" si="52"/>
        <v>-2.5904399649142817</v>
      </c>
      <c r="CK42" s="525">
        <f t="shared" si="53"/>
        <v>-2.2875103977745503</v>
      </c>
      <c r="CL42" s="514">
        <f t="shared" si="54"/>
        <v>2</v>
      </c>
      <c r="CM42" s="514">
        <f t="shared" si="55"/>
        <v>2</v>
      </c>
      <c r="CN42" s="512">
        <f t="shared" si="56"/>
        <v>-31.599999999999909</v>
      </c>
      <c r="CO42" s="512">
        <f t="shared" si="57"/>
        <v>-33.550000000000182</v>
      </c>
      <c r="CP42" s="511">
        <f>MAX($CH$26)</f>
        <v>1188.27</v>
      </c>
      <c r="CQ42" s="499" t="str">
        <f>VLOOKUP(CP42,$CH$26:$CP$26,9,0)</f>
        <v>Península de Setúbal</v>
      </c>
      <c r="CR42" s="682">
        <f>(CP42/$CH$42-1)*100</f>
        <v>0</v>
      </c>
      <c r="CS42" s="511">
        <f>MIN($CH$26)</f>
        <v>1188.27</v>
      </c>
      <c r="CT42" s="499" t="str">
        <f>VLOOKUP(CS42,$CH$26:$CP$26,9,0)</f>
        <v>Península de Setúbal</v>
      </c>
      <c r="CU42" s="682">
        <f>(CS42/$CH$42-1)*100</f>
        <v>0</v>
      </c>
      <c r="CV42" s="511">
        <f>MAX($CI$26)</f>
        <v>1433.11</v>
      </c>
      <c r="CW42" s="499" t="str">
        <f>VLOOKUP(CV42,$CI$26:$CP$26,8,0)</f>
        <v>Península de Setúbal</v>
      </c>
      <c r="CX42" s="682">
        <f>(CV42/$CI$42-1)*100</f>
        <v>0</v>
      </c>
      <c r="CY42" s="511">
        <f>MIN($CI$26)</f>
        <v>1433.11</v>
      </c>
      <c r="CZ42" s="499" t="str">
        <f>VLOOKUP(CY42,$CI$26:$CP$26,8,0)</f>
        <v>Península de Setúbal</v>
      </c>
      <c r="DA42" s="682">
        <f>(CY42/$CI$42-1)*100</f>
        <v>0</v>
      </c>
    </row>
    <row r="43" spans="1:105">
      <c r="A43" s="500"/>
      <c r="B43" s="500" t="str">
        <f>+'q4'!$A$9</f>
        <v>Ave</v>
      </c>
      <c r="C43" s="511">
        <f>+'q4'!$B$9</f>
        <v>12356</v>
      </c>
      <c r="D43" s="511">
        <f>+'q4'!$C$9</f>
        <v>12761</v>
      </c>
      <c r="E43" s="511">
        <f>+'q4'!$D$9</f>
        <v>12914</v>
      </c>
      <c r="F43" s="511">
        <f>+'q4'!$E$9</f>
        <v>13247</v>
      </c>
      <c r="G43" s="511">
        <f>+'q4'!$F$9</f>
        <v>13507</v>
      </c>
      <c r="H43" s="511">
        <f>+'q4'!$G$9</f>
        <v>13505</v>
      </c>
      <c r="I43" s="511">
        <f>+'q4'!$H$9</f>
        <v>13001</v>
      </c>
      <c r="J43" s="511">
        <f>+'q4'!$I$9</f>
        <v>13164</v>
      </c>
      <c r="K43" s="511">
        <f>+'q4'!$J$9</f>
        <v>12897</v>
      </c>
      <c r="L43" s="511">
        <f>+'q4'!$K$9</f>
        <v>13716</v>
      </c>
      <c r="M43" s="511">
        <f>+'q4'!$L$9</f>
        <v>13849.999999999998</v>
      </c>
      <c r="AR43" s="501" t="s">
        <v>573</v>
      </c>
      <c r="AS43" s="511">
        <f t="shared" si="38"/>
        <v>14681.999999999998</v>
      </c>
      <c r="AT43" s="511">
        <f t="shared" si="39"/>
        <v>17511.000000000004</v>
      </c>
      <c r="AU43" s="525">
        <f t="shared" si="40"/>
        <v>5.0409954266408441</v>
      </c>
      <c r="AV43" s="525">
        <f t="shared" si="41"/>
        <v>5.1447861701002475</v>
      </c>
      <c r="AW43" s="514">
        <f t="shared" si="42"/>
        <v>7</v>
      </c>
      <c r="AX43" s="514">
        <f t="shared" si="43"/>
        <v>7</v>
      </c>
      <c r="AY43" s="511">
        <f>MAX($AS$27:$AS$30)</f>
        <v>5107.0000000000009</v>
      </c>
      <c r="AZ43" s="499" t="str">
        <f>VLOOKUP(AY43,$AS$27:$AY$30,7,0)</f>
        <v>Alentejo Central</v>
      </c>
      <c r="BA43" s="499">
        <f>AY43/$AS$43*100</f>
        <v>34.784089361122469</v>
      </c>
      <c r="BB43" s="511">
        <f>MIN($AS$27:$AS$30)</f>
        <v>2854</v>
      </c>
      <c r="BC43" s="499" t="str">
        <f>VLOOKUP(BB43,$AS$27:$AY$30,7,0)</f>
        <v>Alentejo Litoral</v>
      </c>
      <c r="BD43" s="499">
        <f>BB43/$AS$43*100</f>
        <v>19.438768560141671</v>
      </c>
      <c r="BE43" s="511">
        <f>MAX($AT$27:$AT$30)</f>
        <v>6137</v>
      </c>
      <c r="BF43" s="499" t="str">
        <f>VLOOKUP(BE43,$AT$27:$AY$30,6,0)</f>
        <v>Alentejo Central</v>
      </c>
      <c r="BG43" s="499">
        <f>BE43/$AT$43*100</f>
        <v>35.046542173490941</v>
      </c>
      <c r="BH43" s="511">
        <f>MIN($AT$27:$AT$30)</f>
        <v>3430.0000000000005</v>
      </c>
      <c r="BI43" s="499" t="str">
        <f>VLOOKUP(BH43,$AT$27:$AY$30,6,0)</f>
        <v>Alto Alentejo</v>
      </c>
      <c r="BJ43" s="499">
        <f>BH43/$AT$43*100</f>
        <v>19.587687739135397</v>
      </c>
      <c r="BM43" s="501" t="s">
        <v>573</v>
      </c>
      <c r="BN43" s="511">
        <f t="shared" si="44"/>
        <v>139263</v>
      </c>
      <c r="BO43" s="511">
        <f t="shared" si="45"/>
        <v>131628.99999999994</v>
      </c>
      <c r="BP43" s="525">
        <f t="shared" si="46"/>
        <v>3.9908206797201848</v>
      </c>
      <c r="BQ43" s="525">
        <f t="shared" si="47"/>
        <v>3.9934359464754774</v>
      </c>
      <c r="BR43" s="514">
        <f t="shared" si="48"/>
        <v>7</v>
      </c>
      <c r="BS43" s="514">
        <f t="shared" si="49"/>
        <v>7</v>
      </c>
      <c r="BT43" s="511">
        <f>MAX($BN$27:$BN$30)</f>
        <v>45228</v>
      </c>
      <c r="BU43" s="499" t="str">
        <f>VLOOKUP(BT43,$BN$27:$BT$30,7,0)</f>
        <v>Alentejo Central</v>
      </c>
      <c r="BV43" s="499">
        <f>BT43/$BN$43*100</f>
        <v>32.476680812563281</v>
      </c>
      <c r="BW43" s="511">
        <f>MIN($BN$27:$BN$30)</f>
        <v>24444.000000000004</v>
      </c>
      <c r="BX43" s="499" t="str">
        <f>VLOOKUP(BW43,$BN$27:$BT$30,7,0)</f>
        <v>Alto Alentejo</v>
      </c>
      <c r="BY43" s="499">
        <f>BW43/$BN$43*100</f>
        <v>17.552400853062196</v>
      </c>
      <c r="BZ43" s="511">
        <f>MAX($BO$27:$BO$30)</f>
        <v>42405.999999999993</v>
      </c>
      <c r="CA43" s="499" t="str">
        <f>VLOOKUP(BZ43,$BO$27:$BT$30,6,0)</f>
        <v>Alentejo Central</v>
      </c>
      <c r="CB43" s="499">
        <f>BZ43/$BO$43*100</f>
        <v>32.216304917609349</v>
      </c>
      <c r="CC43" s="511">
        <f>MIN($BO$27:$BO$30)</f>
        <v>22968</v>
      </c>
      <c r="CD43" s="499" t="str">
        <f>VLOOKUP(CC43,$BO$27:$BT$30,6,0)</f>
        <v>Alto Alentejo</v>
      </c>
      <c r="CE43" s="499">
        <f>CC43/$BO$43*100</f>
        <v>17.449042384277028</v>
      </c>
      <c r="CG43" s="501" t="s">
        <v>573</v>
      </c>
      <c r="CH43" s="512">
        <f t="shared" si="50"/>
        <v>1053.06</v>
      </c>
      <c r="CI43" s="512">
        <f t="shared" si="51"/>
        <v>1326.13</v>
      </c>
      <c r="CJ43" s="525">
        <f t="shared" si="52"/>
        <v>-13.674407928713716</v>
      </c>
      <c r="CK43" s="525">
        <f t="shared" si="53"/>
        <v>-9.5816344619748186</v>
      </c>
      <c r="CL43" s="514">
        <f t="shared" si="54"/>
        <v>5</v>
      </c>
      <c r="CM43" s="514">
        <f t="shared" si="55"/>
        <v>4</v>
      </c>
      <c r="CN43" s="512">
        <f t="shared" si="56"/>
        <v>-166.80999999999995</v>
      </c>
      <c r="CO43" s="512">
        <f t="shared" si="57"/>
        <v>-140.52999999999997</v>
      </c>
      <c r="CP43" s="511">
        <f>MAX($CH$27:$CH$30)</f>
        <v>1108.18</v>
      </c>
      <c r="CQ43" s="499" t="str">
        <f>VLOOKUP(CP43,$CH$27:$CP$30,9,0)</f>
        <v>Alentejo Litoral</v>
      </c>
      <c r="CR43" s="682">
        <f>(CP43/$CH$43-1)*100</f>
        <v>5.2342696522515553</v>
      </c>
      <c r="CS43" s="511">
        <f>MIN($CH$27:$CH$30)</f>
        <v>990.36</v>
      </c>
      <c r="CT43" s="499" t="str">
        <f>VLOOKUP(CS43,$CH$27:$CP$30,9,0)</f>
        <v>Alto Alentejo</v>
      </c>
      <c r="CU43" s="682">
        <f>(CS43/$CH$43-1)*100</f>
        <v>-5.954076690786847</v>
      </c>
      <c r="CV43" s="511">
        <f>MAX($CI$27:$CI$30)</f>
        <v>1419.88</v>
      </c>
      <c r="CW43" s="499" t="str">
        <f>VLOOKUP(CV43,$CI$27:$CP$30,8,0)</f>
        <v>Alentejo Litoral</v>
      </c>
      <c r="CX43" s="682">
        <f>(CV43/$CI$42-1)*100</f>
        <v>-0.92316709812922948</v>
      </c>
      <c r="CY43" s="511">
        <f>MIN($CI$27:$CI$30)</f>
        <v>1197.92</v>
      </c>
      <c r="CZ43" s="499" t="str">
        <f>VLOOKUP(CY43,$CI$27:$CP$30,8,0)</f>
        <v>Alto Alentejo</v>
      </c>
      <c r="DA43" s="682">
        <f>(CY43/$CI$43-1)*100</f>
        <v>-9.6679812688047146</v>
      </c>
    </row>
    <row r="44" spans="1:105">
      <c r="A44" s="500"/>
      <c r="B44" s="500" t="str">
        <f>+'q4'!$A$10</f>
        <v>Área Metropolitana do Porto</v>
      </c>
      <c r="C44" s="511">
        <f>+'q4'!$B$10</f>
        <v>48330</v>
      </c>
      <c r="D44" s="511">
        <f>+'q4'!$C$10</f>
        <v>49118</v>
      </c>
      <c r="E44" s="511">
        <f>+'q4'!$D$10</f>
        <v>49590</v>
      </c>
      <c r="F44" s="511">
        <f>+'q4'!$E$10</f>
        <v>50179</v>
      </c>
      <c r="G44" s="511">
        <f>+'q4'!$F$10</f>
        <v>50743</v>
      </c>
      <c r="H44" s="511">
        <f>+'q4'!$G$10</f>
        <v>51437</v>
      </c>
      <c r="I44" s="511">
        <f>+'q4'!$H$10</f>
        <v>50377</v>
      </c>
      <c r="J44" s="511">
        <f>+'q4'!$I$10</f>
        <v>50550</v>
      </c>
      <c r="K44" s="511">
        <f>+'q4'!$J$10</f>
        <v>49104</v>
      </c>
      <c r="L44" s="511">
        <f>+'q4'!$K$10</f>
        <v>51243</v>
      </c>
      <c r="M44" s="511">
        <f>+'q4'!$L$10</f>
        <v>52107</v>
      </c>
      <c r="Z44" s="582">
        <f>+AC37</f>
        <v>2023</v>
      </c>
      <c r="AA44" s="499" t="s">
        <v>443</v>
      </c>
      <c r="AB44" s="499" t="s">
        <v>599</v>
      </c>
      <c r="AR44" s="501" t="s">
        <v>578</v>
      </c>
      <c r="AS44" s="511">
        <f t="shared" si="38"/>
        <v>18237.000000000004</v>
      </c>
      <c r="AT44" s="511">
        <f t="shared" si="39"/>
        <v>22034</v>
      </c>
      <c r="AU44" s="525">
        <f t="shared" si="40"/>
        <v>6.2615879032590307</v>
      </c>
      <c r="AV44" s="525">
        <f t="shared" si="41"/>
        <v>6.4736576136136623</v>
      </c>
      <c r="AW44" s="514">
        <f t="shared" si="42"/>
        <v>5</v>
      </c>
      <c r="AX44" s="514">
        <f t="shared" si="43"/>
        <v>5</v>
      </c>
      <c r="AY44" s="511">
        <f>MAX($AS$31)</f>
        <v>18237.000000000004</v>
      </c>
      <c r="AZ44" s="499" t="str">
        <f>VLOOKUP(AY44,$AS$31:$AY$31,7,0)</f>
        <v>Algarve</v>
      </c>
      <c r="BA44" s="499">
        <f>AY44/$AS$44*100</f>
        <v>100</v>
      </c>
      <c r="BB44" s="511">
        <f>MIN($AS$31)</f>
        <v>18237.000000000004</v>
      </c>
      <c r="BC44" s="499" t="str">
        <f>VLOOKUP(BB44,$AS$31:$AY$31,7,0)</f>
        <v>Algarve</v>
      </c>
      <c r="BD44" s="499">
        <f>BB44/$AS$44*100</f>
        <v>100</v>
      </c>
      <c r="BE44" s="511">
        <f>MAX($AT$31)</f>
        <v>22034</v>
      </c>
      <c r="BF44" s="499" t="str">
        <f>VLOOKUP(BE44,$AT$31:$AY$31,6,0)</f>
        <v>Algarve</v>
      </c>
      <c r="BG44" s="499">
        <f>BE44/$AT$44*100</f>
        <v>100</v>
      </c>
      <c r="BH44" s="511">
        <f>MIN($AT$31)</f>
        <v>22034</v>
      </c>
      <c r="BI44" s="499" t="str">
        <f>VLOOKUP(BH44,$AT$31:$AY$31,6,0)</f>
        <v>Algarve</v>
      </c>
      <c r="BJ44" s="499">
        <f>BH44/$AT$44*100</f>
        <v>100</v>
      </c>
      <c r="BM44" s="501" t="s">
        <v>578</v>
      </c>
      <c r="BN44" s="511">
        <f t="shared" si="44"/>
        <v>178434</v>
      </c>
      <c r="BO44" s="511">
        <f t="shared" si="45"/>
        <v>166794.00000000003</v>
      </c>
      <c r="BP44" s="525">
        <f t="shared" si="46"/>
        <v>5.1133330257512144</v>
      </c>
      <c r="BQ44" s="525">
        <f t="shared" si="47"/>
        <v>5.0602918449310659</v>
      </c>
      <c r="BR44" s="514">
        <f t="shared" si="48"/>
        <v>5</v>
      </c>
      <c r="BS44" s="514">
        <f t="shared" si="49"/>
        <v>5</v>
      </c>
      <c r="BT44" s="511">
        <f>MAX($BN$31)</f>
        <v>178434</v>
      </c>
      <c r="BU44" s="499" t="str">
        <f>VLOOKUP(BT44,$BN$31:$BT$31,7,0)</f>
        <v>Algarve</v>
      </c>
      <c r="BV44" s="499">
        <f>BT44/$BN$44*100</f>
        <v>100</v>
      </c>
      <c r="BW44" s="511">
        <f>MIN($BN$31)</f>
        <v>178434</v>
      </c>
      <c r="BX44" s="499" t="str">
        <f>VLOOKUP(BW44,$BN$31:$BT$31,7,0)</f>
        <v>Algarve</v>
      </c>
      <c r="BY44" s="499">
        <f>BW44/$BN$44*100</f>
        <v>100</v>
      </c>
      <c r="BZ44" s="511">
        <f>MAX($BO$31)</f>
        <v>166794.00000000003</v>
      </c>
      <c r="CA44" s="499" t="str">
        <f>VLOOKUP(BZ44,$BO$31:$BT$31,6,0)</f>
        <v>Algarve</v>
      </c>
      <c r="CB44" s="499">
        <f>BZ44/$BO$44*100</f>
        <v>100</v>
      </c>
      <c r="CC44" s="511">
        <f>MIN($BO$31)</f>
        <v>166794.00000000003</v>
      </c>
      <c r="CD44" s="499" t="str">
        <f>VLOOKUP(CC44,$BO$31:$BT$31,6,0)</f>
        <v>Algarve</v>
      </c>
      <c r="CE44" s="499">
        <f>CC44/$BO$44*100</f>
        <v>100</v>
      </c>
      <c r="CG44" s="501" t="s">
        <v>578</v>
      </c>
      <c r="CH44" s="512">
        <f t="shared" si="50"/>
        <v>1031.25</v>
      </c>
      <c r="CI44" s="512">
        <f t="shared" si="51"/>
        <v>1238.68</v>
      </c>
      <c r="CJ44" s="525">
        <f t="shared" si="52"/>
        <v>-15.462303360194108</v>
      </c>
      <c r="CK44" s="525">
        <f t="shared" si="53"/>
        <v>-15.54416156437075</v>
      </c>
      <c r="CL44" s="514">
        <f t="shared" si="54"/>
        <v>7</v>
      </c>
      <c r="CM44" s="514">
        <f t="shared" si="55"/>
        <v>7</v>
      </c>
      <c r="CN44" s="512">
        <f t="shared" si="56"/>
        <v>-188.61999999999989</v>
      </c>
      <c r="CO44" s="512">
        <f t="shared" si="57"/>
        <v>-227.98000000000002</v>
      </c>
      <c r="CP44" s="511">
        <f>MAX($CH$31)</f>
        <v>1031.25</v>
      </c>
      <c r="CQ44" s="499" t="str">
        <f>VLOOKUP(CP44,$CH$31:$CP$31,9,0)</f>
        <v>Algarve</v>
      </c>
      <c r="CR44" s="682">
        <f>(CP44/$CH$44-1)*100</f>
        <v>0</v>
      </c>
      <c r="CS44" s="511">
        <f>MIN($CH$31)</f>
        <v>1031.25</v>
      </c>
      <c r="CT44" s="499" t="str">
        <f>VLOOKUP(CS44,$CH$31:$CP$31,9,0)</f>
        <v>Algarve</v>
      </c>
      <c r="CU44" s="682">
        <f>(CS44/$CH$44-1)*100</f>
        <v>0</v>
      </c>
      <c r="CV44" s="511">
        <f>MAX($CI$31)</f>
        <v>1238.68</v>
      </c>
      <c r="CW44" s="499" t="str">
        <f>VLOOKUP(CV44,$CI$31:$CP$31,8,0)</f>
        <v>Algarve</v>
      </c>
      <c r="CX44" s="682">
        <f>(CV44/$CI$44-1)*100</f>
        <v>0</v>
      </c>
      <c r="CY44" s="511">
        <f>MIN($CI$31)</f>
        <v>1238.68</v>
      </c>
      <c r="CZ44" s="499" t="str">
        <f>VLOOKUP(CY44,$CI$31:$CP$31,8,0)</f>
        <v>Algarve</v>
      </c>
      <c r="DA44" s="682">
        <f>(CY44/$CI$44-1)*100</f>
        <v>0</v>
      </c>
    </row>
    <row r="45" spans="1:105">
      <c r="A45" s="500"/>
      <c r="B45" s="500" t="str">
        <f>+'q4'!$A$11</f>
        <v>Alto Tâmega e Barroso</v>
      </c>
      <c r="C45" s="511">
        <f>+'q4'!$B$11</f>
        <v>2093</v>
      </c>
      <c r="D45" s="511">
        <f>+'q4'!$C$11</f>
        <v>2147</v>
      </c>
      <c r="E45" s="511">
        <f>+'q4'!$D$11</f>
        <v>2205</v>
      </c>
      <c r="F45" s="511">
        <f>+'q4'!$E$11</f>
        <v>2256</v>
      </c>
      <c r="G45" s="511">
        <f>+'q4'!$F$11</f>
        <v>2272</v>
      </c>
      <c r="H45" s="511">
        <f>+'q4'!$G$11</f>
        <v>2316</v>
      </c>
      <c r="I45" s="511">
        <f>+'q4'!$H$11</f>
        <v>2252</v>
      </c>
      <c r="J45" s="511">
        <f>+'q4'!$I$11</f>
        <v>2299</v>
      </c>
      <c r="K45" s="511">
        <f>+'q4'!$J$11</f>
        <v>2298</v>
      </c>
      <c r="L45" s="511">
        <f>+'q4'!$K$11</f>
        <v>2409</v>
      </c>
      <c r="M45" s="511">
        <f>+'q4'!$L$11</f>
        <v>2397</v>
      </c>
      <c r="Z45" s="499" t="s">
        <v>321</v>
      </c>
      <c r="AA45" s="499" t="str">
        <f>+R36</f>
        <v>Grande Lisboa</v>
      </c>
      <c r="AD45" s="772" t="str">
        <f>CONCATENATE(Z44,AA44,CHAR(10),AB44,AA45,Z46,AA47,Z48,AA49,Z50,AA51," ",AA52,AB53,AA54,Z55,AA56,Z57,AA58," ",AA59,AB60)</f>
        <v>2023:
As empresas da região Grande Lisboa tinham ao seu serviço 969.558 pessoas (variação de 40% face a 2013, ou seja, mais 276.854) e tinham 928.991 TCO (variação de 41,5% face a 2013, ou seja, mais 272.421).</v>
      </c>
      <c r="AE45" s="772"/>
      <c r="AF45" s="772"/>
      <c r="AG45" s="772"/>
    </row>
    <row r="46" spans="1:105">
      <c r="A46" s="500"/>
      <c r="B46" s="500" t="str">
        <f>+'q4'!$A$12</f>
        <v>Tâmega e Sousa</v>
      </c>
      <c r="C46" s="511">
        <f>+'q4'!$B$12</f>
        <v>11652</v>
      </c>
      <c r="D46" s="511">
        <f>+'q4'!$C$12</f>
        <v>12069</v>
      </c>
      <c r="E46" s="511">
        <f>+'q4'!$D$12</f>
        <v>12343</v>
      </c>
      <c r="F46" s="511">
        <f>+'q4'!$E$12</f>
        <v>12490</v>
      </c>
      <c r="G46" s="511">
        <f>+'q4'!$F$12</f>
        <v>12646</v>
      </c>
      <c r="H46" s="511">
        <f>+'q4'!$G$12</f>
        <v>12900</v>
      </c>
      <c r="I46" s="511">
        <f>+'q4'!$H$12</f>
        <v>12658</v>
      </c>
      <c r="J46" s="511">
        <f>+'q4'!$I$12</f>
        <v>12707</v>
      </c>
      <c r="K46" s="511">
        <f>+'q4'!$J$12</f>
        <v>12875</v>
      </c>
      <c r="L46" s="511">
        <f>+'q4'!$K$12</f>
        <v>13294</v>
      </c>
      <c r="M46" s="511">
        <f>+'q4'!$L$12</f>
        <v>13558</v>
      </c>
      <c r="Z46" s="499" t="s">
        <v>331</v>
      </c>
      <c r="AD46" s="772"/>
      <c r="AE46" s="772"/>
      <c r="AF46" s="772"/>
      <c r="AG46" s="772"/>
      <c r="CR46" s="525"/>
    </row>
    <row r="47" spans="1:105">
      <c r="A47" s="500"/>
      <c r="B47" s="500" t="str">
        <f>+'q4'!$A$13</f>
        <v>Douro</v>
      </c>
      <c r="C47" s="511">
        <f>+'q4'!$B$13</f>
        <v>5147</v>
      </c>
      <c r="D47" s="511">
        <f>+'q4'!$C$13</f>
        <v>5153</v>
      </c>
      <c r="E47" s="511">
        <f>+'q4'!$D$13</f>
        <v>5162</v>
      </c>
      <c r="F47" s="511">
        <f>+'q4'!$E$13</f>
        <v>5182</v>
      </c>
      <c r="G47" s="511">
        <f>+'q4'!$F$13</f>
        <v>5243</v>
      </c>
      <c r="H47" s="511">
        <f>+'q4'!$G$13</f>
        <v>5223</v>
      </c>
      <c r="I47" s="511">
        <f>+'q4'!$H$13</f>
        <v>5096</v>
      </c>
      <c r="J47" s="511">
        <f>+'q4'!$I$13</f>
        <v>5195</v>
      </c>
      <c r="K47" s="511">
        <f>+'q4'!$J$13</f>
        <v>5144</v>
      </c>
      <c r="L47" s="511">
        <f>+'q4'!$K$13</f>
        <v>5301</v>
      </c>
      <c r="M47" s="511">
        <f>+'q4'!$L$13</f>
        <v>5412.9999999999991</v>
      </c>
      <c r="Z47" s="499" t="s">
        <v>322</v>
      </c>
      <c r="AA47" s="522" t="str">
        <f>+AD38</f>
        <v>969.558</v>
      </c>
      <c r="AD47" s="772"/>
      <c r="AE47" s="772"/>
      <c r="AF47" s="772"/>
      <c r="AG47" s="772"/>
      <c r="CR47" s="525"/>
    </row>
    <row r="48" spans="1:105">
      <c r="A48" s="500"/>
      <c r="B48" s="500" t="str">
        <f>+'q4'!$A$14</f>
        <v>Terras de Trás-os-Montes</v>
      </c>
      <c r="C48" s="511">
        <f>+'q4'!$B$14</f>
        <v>3170</v>
      </c>
      <c r="D48" s="511">
        <f>+'q4'!$C$14</f>
        <v>3193</v>
      </c>
      <c r="E48" s="511">
        <f>+'q4'!$D$14</f>
        <v>3199</v>
      </c>
      <c r="F48" s="511">
        <f>+'q4'!$E$14</f>
        <v>3238</v>
      </c>
      <c r="G48" s="511">
        <f>+'q4'!$F$14</f>
        <v>3275</v>
      </c>
      <c r="H48" s="511">
        <f>+'q4'!$G$14</f>
        <v>3282</v>
      </c>
      <c r="I48" s="511">
        <f>+'q4'!$H$14</f>
        <v>3046</v>
      </c>
      <c r="J48" s="511">
        <f>+'q4'!$I$14</f>
        <v>3072</v>
      </c>
      <c r="K48" s="511">
        <f>+'q4'!$J$14</f>
        <v>3156</v>
      </c>
      <c r="L48" s="511">
        <f>+'q4'!$K$14</f>
        <v>3194</v>
      </c>
      <c r="M48" s="511">
        <f>+'q4'!$L$14</f>
        <v>3258</v>
      </c>
      <c r="Z48" s="499" t="s">
        <v>860</v>
      </c>
      <c r="AD48" s="772"/>
      <c r="AE48" s="772"/>
      <c r="AF48" s="772"/>
      <c r="AG48" s="772"/>
      <c r="CR48" s="525"/>
    </row>
    <row r="49" spans="1:96">
      <c r="A49" s="500"/>
      <c r="B49" s="500" t="str">
        <f>+'q4'!$A$16</f>
        <v>Região de Aveiro</v>
      </c>
      <c r="C49" s="511">
        <f>+'q4'!$B$16</f>
        <v>9095</v>
      </c>
      <c r="D49" s="511">
        <f>+'q4'!$C$16</f>
        <v>9205</v>
      </c>
      <c r="E49" s="511">
        <f>+'q4'!$D$16</f>
        <v>9320</v>
      </c>
      <c r="F49" s="511">
        <f>+'q4'!$E$16</f>
        <v>9561</v>
      </c>
      <c r="G49" s="511">
        <f>+'q4'!$F$16</f>
        <v>9662</v>
      </c>
      <c r="H49" s="511">
        <f>+'q4'!$G$16</f>
        <v>9814</v>
      </c>
      <c r="I49" s="511">
        <f>+'q4'!$H$16</f>
        <v>9682</v>
      </c>
      <c r="J49" s="511">
        <f>+'q4'!$I$16</f>
        <v>9658</v>
      </c>
      <c r="K49" s="511">
        <f>+'q4'!$J$16</f>
        <v>9380</v>
      </c>
      <c r="L49" s="511">
        <f>+'q4'!$K$16</f>
        <v>9676</v>
      </c>
      <c r="M49" s="511">
        <f>+'q4'!$L$16</f>
        <v>9766</v>
      </c>
      <c r="Z49" s="499" t="s">
        <v>324</v>
      </c>
      <c r="AA49" s="525">
        <f>ROUND(AF41,1)</f>
        <v>40</v>
      </c>
      <c r="AD49" s="772"/>
      <c r="AE49" s="772"/>
      <c r="AF49" s="772"/>
      <c r="AG49" s="772"/>
      <c r="CR49" s="525"/>
    </row>
    <row r="50" spans="1:96">
      <c r="A50" s="500"/>
      <c r="B50" s="500" t="str">
        <f>+'q4'!$A$17</f>
        <v>Região de Coimbra</v>
      </c>
      <c r="C50" s="511">
        <f>+'q4'!$B$17</f>
        <v>10767</v>
      </c>
      <c r="D50" s="511">
        <f>+'q4'!$C$17</f>
        <v>10830</v>
      </c>
      <c r="E50" s="511">
        <f>+'q4'!$D$17</f>
        <v>10841</v>
      </c>
      <c r="F50" s="511">
        <f>+'q4'!$E$17</f>
        <v>10913</v>
      </c>
      <c r="G50" s="511">
        <f>+'q4'!$F$17</f>
        <v>10920</v>
      </c>
      <c r="H50" s="511">
        <f>+'q4'!$G$17</f>
        <v>10935</v>
      </c>
      <c r="I50" s="511">
        <f>+'q4'!$H$17</f>
        <v>10620</v>
      </c>
      <c r="J50" s="511">
        <f>+'q4'!$I$17</f>
        <v>10718</v>
      </c>
      <c r="K50" s="511">
        <f>+'q4'!$J$17</f>
        <v>10509</v>
      </c>
      <c r="L50" s="511">
        <f>+'q4'!$K$17</f>
        <v>11014</v>
      </c>
      <c r="M50" s="511">
        <f>+'q4'!$L$17</f>
        <v>11047.999999999998</v>
      </c>
      <c r="Z50" s="499" t="s">
        <v>854</v>
      </c>
      <c r="AD50" s="772"/>
      <c r="AE50" s="772"/>
      <c r="AF50" s="772"/>
      <c r="AG50" s="772"/>
      <c r="CR50" s="525"/>
    </row>
    <row r="51" spans="1:96">
      <c r="A51" s="500"/>
      <c r="B51" s="500" t="str">
        <f>+'q4'!$A$18</f>
        <v>Região de Leiria</v>
      </c>
      <c r="C51" s="511">
        <f>+'q4'!$B$18</f>
        <v>10195</v>
      </c>
      <c r="D51" s="511">
        <f>+'q4'!$C$18</f>
        <v>10176</v>
      </c>
      <c r="E51" s="511">
        <f>+'q4'!$D$18</f>
        <v>10214</v>
      </c>
      <c r="F51" s="511">
        <f>+'q4'!$E$18</f>
        <v>10313</v>
      </c>
      <c r="G51" s="511">
        <f>+'q4'!$F$18</f>
        <v>10330</v>
      </c>
      <c r="H51" s="511">
        <f>+'q4'!$G$18</f>
        <v>10275</v>
      </c>
      <c r="I51" s="511">
        <f>+'q4'!$H$18</f>
        <v>9997</v>
      </c>
      <c r="J51" s="511">
        <f>+'q4'!$I$18</f>
        <v>9987</v>
      </c>
      <c r="K51" s="511">
        <f>+'q4'!$J$18</f>
        <v>9844</v>
      </c>
      <c r="L51" s="511">
        <f>+'q4'!$K$18</f>
        <v>10184</v>
      </c>
      <c r="M51" s="511">
        <f>+'q4'!$L$18</f>
        <v>10426</v>
      </c>
      <c r="Z51" s="499" t="s">
        <v>325</v>
      </c>
      <c r="AA51" s="499" t="str">
        <f>+AH38</f>
        <v>, mais</v>
      </c>
      <c r="CR51" s="525"/>
    </row>
    <row r="52" spans="1:96">
      <c r="A52" s="500"/>
      <c r="B52" s="500" t="str">
        <f>+'q4'!$A$19</f>
        <v>Viseu Dão Lafões</v>
      </c>
      <c r="C52" s="511">
        <f>+'q4'!$B$19</f>
        <v>6734</v>
      </c>
      <c r="D52" s="511">
        <f>+'q4'!$C$19</f>
        <v>6859</v>
      </c>
      <c r="E52" s="511">
        <f>+'q4'!$D$19</f>
        <v>6980</v>
      </c>
      <c r="F52" s="511">
        <f>+'q4'!$E$19</f>
        <v>7045</v>
      </c>
      <c r="G52" s="511">
        <f>+'q4'!$F$19</f>
        <v>7065</v>
      </c>
      <c r="H52" s="511">
        <f>+'q4'!$G$19</f>
        <v>7093</v>
      </c>
      <c r="I52" s="511">
        <f>+'q4'!$H$19</f>
        <v>6962</v>
      </c>
      <c r="J52" s="511">
        <f>+'q4'!$I$19</f>
        <v>6975</v>
      </c>
      <c r="K52" s="511">
        <f>+'q4'!$J$19</f>
        <v>6950</v>
      </c>
      <c r="L52" s="511">
        <f>+'q4'!$K$19</f>
        <v>7226</v>
      </c>
      <c r="M52" s="511">
        <f>+'q4'!$L$19</f>
        <v>7366</v>
      </c>
      <c r="Z52" s="499" t="s">
        <v>326</v>
      </c>
      <c r="AA52" s="522" t="str">
        <f>TEXT(AI38,"##.###")</f>
        <v>276.854</v>
      </c>
      <c r="CR52" s="525"/>
    </row>
    <row r="53" spans="1:96">
      <c r="A53" s="500"/>
      <c r="B53" s="500" t="str">
        <f>+'q4'!$A$20</f>
        <v>Beira Baixa</v>
      </c>
      <c r="C53" s="511">
        <f>+'q4'!$B$20</f>
        <v>2644</v>
      </c>
      <c r="D53" s="511">
        <f>+'q4'!$C$20</f>
        <v>2688</v>
      </c>
      <c r="E53" s="511">
        <f>+'q4'!$D$20</f>
        <v>2715</v>
      </c>
      <c r="F53" s="511">
        <f>+'q4'!$E$20</f>
        <v>2717</v>
      </c>
      <c r="G53" s="511">
        <f>+'q4'!$F$20</f>
        <v>2654</v>
      </c>
      <c r="H53" s="511">
        <f>+'q4'!$G$20</f>
        <v>2682</v>
      </c>
      <c r="I53" s="511">
        <f>+'q4'!$H$20</f>
        <v>2637</v>
      </c>
      <c r="J53" s="511">
        <f>+'q4'!$I$20</f>
        <v>2619</v>
      </c>
      <c r="K53" s="511">
        <f>+'q4'!$J$20</f>
        <v>2630</v>
      </c>
      <c r="L53" s="511">
        <f>+'q4'!$K$20</f>
        <v>2733</v>
      </c>
      <c r="M53" s="511">
        <f>+'q4'!$L$20</f>
        <v>2743</v>
      </c>
      <c r="AB53" s="499" t="s">
        <v>757</v>
      </c>
    </row>
    <row r="54" spans="1:96">
      <c r="A54" s="500"/>
      <c r="B54" s="500" t="str">
        <f>+'q4'!$A$21</f>
        <v>Beiras e Serra da Estrela</v>
      </c>
      <c r="C54" s="511">
        <f>+'q4'!$B$21</f>
        <v>5887</v>
      </c>
      <c r="D54" s="511">
        <f>+'q4'!$C$21</f>
        <v>6008</v>
      </c>
      <c r="E54" s="511">
        <f>+'q4'!$D$21</f>
        <v>5979</v>
      </c>
      <c r="F54" s="511">
        <f>+'q4'!$E$21</f>
        <v>6003</v>
      </c>
      <c r="G54" s="511">
        <f>+'q4'!$F$21</f>
        <v>6026</v>
      </c>
      <c r="H54" s="511">
        <f>+'q4'!$G$21</f>
        <v>5967</v>
      </c>
      <c r="I54" s="511">
        <f>+'q4'!$H$21</f>
        <v>5676</v>
      </c>
      <c r="J54" s="511">
        <f>+'q4'!$I$21</f>
        <v>5659</v>
      </c>
      <c r="K54" s="511">
        <f>+'q4'!$J$21</f>
        <v>5525</v>
      </c>
      <c r="L54" s="511">
        <f>+'q4'!$K$21</f>
        <v>5687</v>
      </c>
      <c r="M54" s="511">
        <f>+'q4'!$L$21</f>
        <v>5716.9999999999991</v>
      </c>
      <c r="Z54" s="499" t="s">
        <v>327</v>
      </c>
      <c r="AA54" s="522" t="str">
        <f>+AD39</f>
        <v>928.991</v>
      </c>
    </row>
    <row r="55" spans="1:96">
      <c r="A55" s="500"/>
      <c r="B55" s="500" t="str">
        <f>+'q4'!$A$23</f>
        <v>Oeste</v>
      </c>
      <c r="C55" s="511">
        <f>+'q4'!$B$23</f>
        <v>10311</v>
      </c>
      <c r="D55" s="511">
        <f>+'q4'!$C$23</f>
        <v>10433</v>
      </c>
      <c r="E55" s="511">
        <f>+'q4'!$D$23</f>
        <v>10563</v>
      </c>
      <c r="F55" s="511">
        <f>+'q4'!$E$23</f>
        <v>10676</v>
      </c>
      <c r="G55" s="511">
        <f>+'q4'!$F$23</f>
        <v>10940</v>
      </c>
      <c r="H55" s="511">
        <f>+'q4'!$G$23</f>
        <v>11025</v>
      </c>
      <c r="I55" s="511">
        <f>+'q4'!$H$23</f>
        <v>10864</v>
      </c>
      <c r="J55" s="511">
        <f>+'q4'!$I$23</f>
        <v>10952</v>
      </c>
      <c r="K55" s="511">
        <f>+'q4'!$J$23</f>
        <v>10812</v>
      </c>
      <c r="L55" s="511">
        <f>+'q4'!$K$23</f>
        <v>11295</v>
      </c>
      <c r="M55" s="511">
        <f>+'q4'!$L$23</f>
        <v>11504</v>
      </c>
      <c r="Z55" s="499" t="s">
        <v>861</v>
      </c>
    </row>
    <row r="56" spans="1:96">
      <c r="A56" s="500"/>
      <c r="B56" s="500" t="str">
        <f>+'q4'!$A$24</f>
        <v>Médio Tejo</v>
      </c>
      <c r="C56" s="511">
        <f>+'q4'!$B$24</f>
        <v>6080</v>
      </c>
      <c r="D56" s="511">
        <f>+'q4'!$C$24</f>
        <v>6017</v>
      </c>
      <c r="E56" s="511">
        <f>+'q4'!$D$24</f>
        <v>6079</v>
      </c>
      <c r="F56" s="511">
        <f>+'q4'!$E$24</f>
        <v>6040</v>
      </c>
      <c r="G56" s="511">
        <f>+'q4'!$F$24</f>
        <v>6030</v>
      </c>
      <c r="H56" s="511">
        <f>+'q4'!$G$24</f>
        <v>5964</v>
      </c>
      <c r="I56" s="511">
        <f>+'q4'!$H$24</f>
        <v>5812</v>
      </c>
      <c r="J56" s="511">
        <f>+'q4'!$I$24</f>
        <v>5778</v>
      </c>
      <c r="K56" s="511">
        <f>+'q4'!$J$24</f>
        <v>5770</v>
      </c>
      <c r="L56" s="511">
        <f>+'q4'!$K$24</f>
        <v>5900</v>
      </c>
      <c r="M56" s="511">
        <f>+'q4'!$L$24</f>
        <v>6010</v>
      </c>
      <c r="Z56" s="499" t="s">
        <v>328</v>
      </c>
      <c r="AA56" s="525">
        <f>ROUND(AF42,1)</f>
        <v>41.5</v>
      </c>
    </row>
    <row r="57" spans="1:96">
      <c r="A57" s="500"/>
      <c r="B57" s="500" t="str">
        <f>+'q4'!$A$25</f>
        <v>Lezíria do Tejo</v>
      </c>
      <c r="C57" s="511">
        <f>+'q4'!$B$25</f>
        <v>6278</v>
      </c>
      <c r="D57" s="511">
        <f>+'q4'!$C$25</f>
        <v>6345</v>
      </c>
      <c r="E57" s="511">
        <f>+'q4'!$D$25</f>
        <v>6363</v>
      </c>
      <c r="F57" s="511">
        <f>+'q4'!$E$25</f>
        <v>6404</v>
      </c>
      <c r="G57" s="511">
        <f>+'q4'!$F$25</f>
        <v>6418</v>
      </c>
      <c r="H57" s="511">
        <f>+'q4'!$G$25</f>
        <v>6385</v>
      </c>
      <c r="I57" s="511">
        <f>+'q4'!$H$25</f>
        <v>6208</v>
      </c>
      <c r="J57" s="511">
        <f>+'q4'!$I$25</f>
        <v>6168</v>
      </c>
      <c r="K57" s="511">
        <f>+'q4'!$J$25</f>
        <v>5957</v>
      </c>
      <c r="L57" s="511">
        <f>+'q4'!$K$25</f>
        <v>6202</v>
      </c>
      <c r="M57" s="511">
        <f>+'q4'!$L$25</f>
        <v>6284</v>
      </c>
      <c r="Z57" s="499" t="s">
        <v>854</v>
      </c>
    </row>
    <row r="58" spans="1:96">
      <c r="A58" s="500"/>
      <c r="B58" s="500" t="str">
        <f>+'q4'!$A$26</f>
        <v>Grande Lisboa</v>
      </c>
      <c r="C58" s="511">
        <f>+'q4'!$B$26</f>
        <v>53685</v>
      </c>
      <c r="D58" s="511">
        <f>+'q4'!$C$26</f>
        <v>54415</v>
      </c>
      <c r="E58" s="511">
        <f>+'q4'!$D$26</f>
        <v>55029</v>
      </c>
      <c r="F58" s="511">
        <f>+'q4'!$E$26</f>
        <v>55354</v>
      </c>
      <c r="G58" s="511">
        <f>+'q4'!$F$26</f>
        <v>56108</v>
      </c>
      <c r="H58" s="511">
        <f>+'q4'!$G$26</f>
        <v>57209</v>
      </c>
      <c r="I58" s="511">
        <f>+'q4'!$H$26</f>
        <v>55559</v>
      </c>
      <c r="J58" s="511">
        <f>+'q4'!$I$26</f>
        <v>56643</v>
      </c>
      <c r="K58" s="511">
        <f>+'q4'!$J$26</f>
        <v>54793</v>
      </c>
      <c r="L58" s="511">
        <f>+'q4'!$K$26</f>
        <v>57854</v>
      </c>
      <c r="M58" s="511">
        <f>+'q4'!$L$26</f>
        <v>59573</v>
      </c>
      <c r="Z58" s="499" t="s">
        <v>329</v>
      </c>
      <c r="AA58" s="499" t="str">
        <f>+AH39</f>
        <v>, mais</v>
      </c>
    </row>
    <row r="59" spans="1:96">
      <c r="A59" s="500"/>
      <c r="B59" s="500" t="str">
        <f>+'q4'!$A$27</f>
        <v>Península de Setúbal</v>
      </c>
      <c r="C59" s="511">
        <f>+'q4'!$B$27</f>
        <v>13094</v>
      </c>
      <c r="D59" s="511">
        <f>+'q4'!$C$27</f>
        <v>13124</v>
      </c>
      <c r="E59" s="511">
        <f>+'q4'!$D$27</f>
        <v>13250</v>
      </c>
      <c r="F59" s="511">
        <f>+'q4'!$E$27</f>
        <v>13484</v>
      </c>
      <c r="G59" s="511">
        <f>+'q4'!$F$27</f>
        <v>13666</v>
      </c>
      <c r="H59" s="511">
        <f>+'q4'!$G$27</f>
        <v>13850</v>
      </c>
      <c r="I59" s="511">
        <f>+'q4'!$H$27</f>
        <v>13653</v>
      </c>
      <c r="J59" s="511">
        <f>+'q4'!$I$27</f>
        <v>14047</v>
      </c>
      <c r="K59" s="511">
        <f>+'q4'!$J$27</f>
        <v>13853</v>
      </c>
      <c r="L59" s="511">
        <f>+'q4'!$K$27</f>
        <v>14699</v>
      </c>
      <c r="M59" s="511">
        <f>+'q4'!$L$27</f>
        <v>14910</v>
      </c>
      <c r="Z59" s="499" t="s">
        <v>330</v>
      </c>
      <c r="AA59" s="522" t="str">
        <f>TEXT(AI39,"##.###")</f>
        <v>272.421</v>
      </c>
    </row>
    <row r="60" spans="1:96">
      <c r="A60" s="500"/>
      <c r="B60" s="500" t="str">
        <f>+'q4'!$A$29</f>
        <v>Alentejo Litoral</v>
      </c>
      <c r="C60" s="511">
        <f>+'q4'!$B$29</f>
        <v>2468</v>
      </c>
      <c r="D60" s="511">
        <f>+'q4'!$C$29</f>
        <v>2495</v>
      </c>
      <c r="E60" s="511">
        <f>+'q4'!$D$29</f>
        <v>2491</v>
      </c>
      <c r="F60" s="511">
        <f>+'q4'!$E$29</f>
        <v>2550</v>
      </c>
      <c r="G60" s="511">
        <f>+'q4'!$F$29</f>
        <v>2586</v>
      </c>
      <c r="H60" s="511">
        <f>+'q4'!$G$29</f>
        <v>2592</v>
      </c>
      <c r="I60" s="511">
        <f>+'q4'!$H$29</f>
        <v>2596</v>
      </c>
      <c r="J60" s="511">
        <f>+'q4'!$I$29</f>
        <v>2681</v>
      </c>
      <c r="K60" s="511">
        <f>+'q4'!$J$29</f>
        <v>2645</v>
      </c>
      <c r="L60" s="511">
        <f>+'q4'!$K$29</f>
        <v>2804</v>
      </c>
      <c r="M60" s="511">
        <f>+'q4'!$L$29</f>
        <v>2854</v>
      </c>
      <c r="AB60" s="499" t="s">
        <v>442</v>
      </c>
    </row>
    <row r="61" spans="1:96">
      <c r="A61" s="500"/>
      <c r="B61" s="500" t="str">
        <f>+'q4'!$A$30</f>
        <v>Baixo Alentejo</v>
      </c>
      <c r="C61" s="511">
        <f>+'q4'!$B$30</f>
        <v>3325</v>
      </c>
      <c r="D61" s="511">
        <f>+'q4'!$C$30</f>
        <v>3419</v>
      </c>
      <c r="E61" s="511">
        <f>+'q4'!$D$30</f>
        <v>3475</v>
      </c>
      <c r="F61" s="511">
        <f>+'q4'!$E$30</f>
        <v>3509</v>
      </c>
      <c r="G61" s="511">
        <f>+'q4'!$F$30</f>
        <v>3574</v>
      </c>
      <c r="H61" s="511">
        <f>+'q4'!$G$30</f>
        <v>3584</v>
      </c>
      <c r="I61" s="511">
        <f>+'q4'!$H$30</f>
        <v>3505</v>
      </c>
      <c r="J61" s="511">
        <f>+'q4'!$I$30</f>
        <v>3502</v>
      </c>
      <c r="K61" s="511">
        <f>+'q4'!$J$30</f>
        <v>3499</v>
      </c>
      <c r="L61" s="511">
        <f>+'q4'!$K$30</f>
        <v>3654</v>
      </c>
      <c r="M61" s="511">
        <f>+'q4'!$L$30</f>
        <v>3855.9999999999995</v>
      </c>
    </row>
    <row r="62" spans="1:96">
      <c r="A62" s="500"/>
      <c r="B62" s="500" t="str">
        <f>+'q4'!$A$31</f>
        <v>Alto Alentejo</v>
      </c>
      <c r="C62" s="511">
        <f>+'q4'!$B$31</f>
        <v>2880</v>
      </c>
      <c r="D62" s="511">
        <f>+'q4'!$C$31</f>
        <v>2917</v>
      </c>
      <c r="E62" s="511">
        <f>+'q4'!$D$31</f>
        <v>2906</v>
      </c>
      <c r="F62" s="511">
        <f>+'q4'!$E$31</f>
        <v>2929</v>
      </c>
      <c r="G62" s="511">
        <f>+'q4'!$F$31</f>
        <v>2901</v>
      </c>
      <c r="H62" s="511">
        <f>+'q4'!$G$31</f>
        <v>2878</v>
      </c>
      <c r="I62" s="511">
        <f>+'q4'!$H$31</f>
        <v>2783</v>
      </c>
      <c r="J62" s="511">
        <f>+'q4'!$I$31</f>
        <v>2770</v>
      </c>
      <c r="K62" s="511">
        <f>+'q4'!$J$31</f>
        <v>2634</v>
      </c>
      <c r="L62" s="511">
        <f>+'q4'!$K$31</f>
        <v>2877</v>
      </c>
      <c r="M62" s="511">
        <f>+'q4'!$L$31</f>
        <v>2865</v>
      </c>
    </row>
    <row r="63" spans="1:96">
      <c r="A63" s="500"/>
      <c r="B63" s="500" t="str">
        <f>+'q4'!$A$32</f>
        <v>Alentejo Central</v>
      </c>
      <c r="C63" s="511">
        <f>+'q4'!$B$32</f>
        <v>4860</v>
      </c>
      <c r="D63" s="511">
        <f>+'q4'!$C$32</f>
        <v>5026</v>
      </c>
      <c r="E63" s="511">
        <f>+'q4'!$D$32</f>
        <v>5065</v>
      </c>
      <c r="F63" s="511">
        <f>+'q4'!$E$32</f>
        <v>5038</v>
      </c>
      <c r="G63" s="511">
        <f>+'q4'!$F$32</f>
        <v>5034</v>
      </c>
      <c r="H63" s="511">
        <f>+'q4'!$G$32</f>
        <v>4966</v>
      </c>
      <c r="I63" s="511">
        <f>+'q4'!$H$32</f>
        <v>4869</v>
      </c>
      <c r="J63" s="511">
        <f>+'q4'!$I$32</f>
        <v>4904</v>
      </c>
      <c r="K63" s="511">
        <f>+'q4'!$J$32</f>
        <v>4640</v>
      </c>
      <c r="L63" s="511">
        <f>+'q4'!$K$32</f>
        <v>5048</v>
      </c>
      <c r="M63" s="511">
        <f>+'q4'!$L$32</f>
        <v>5107.0000000000009</v>
      </c>
    </row>
    <row r="64" spans="1:96">
      <c r="A64" s="500"/>
      <c r="B64" s="500" t="str">
        <f>+'q4'!$A$33</f>
        <v>Algarve</v>
      </c>
      <c r="C64" s="511">
        <f>+'q4'!$B$33</f>
        <v>15012</v>
      </c>
      <c r="D64" s="511">
        <f>+'q4'!$C$33</f>
        <v>15485</v>
      </c>
      <c r="E64" s="511">
        <f>+'q4'!$D$33</f>
        <v>15831</v>
      </c>
      <c r="F64" s="511">
        <f>+'q4'!$E$33</f>
        <v>16300</v>
      </c>
      <c r="G64" s="511">
        <f>+'q4'!$F$33</f>
        <v>16481</v>
      </c>
      <c r="H64" s="511">
        <f>+'q4'!$G$33</f>
        <v>17081</v>
      </c>
      <c r="I64" s="511">
        <f>+'q4'!$H$33</f>
        <v>17191</v>
      </c>
      <c r="J64" s="511">
        <f>+'q4'!$I$33</f>
        <v>16775</v>
      </c>
      <c r="K64" s="511">
        <f>+'q4'!$J$33</f>
        <v>16329</v>
      </c>
      <c r="L64" s="511">
        <f>+'q4'!$K$33</f>
        <v>17066</v>
      </c>
      <c r="M64" s="511">
        <f>+'q4'!$L$33</f>
        <v>18237.000000000004</v>
      </c>
    </row>
    <row r="65" spans="1:89">
      <c r="B65" s="500" t="s">
        <v>14</v>
      </c>
      <c r="C65" s="511">
        <f>+'q4'!$B$5</f>
        <v>265860</v>
      </c>
      <c r="D65" s="511">
        <f>+'q4'!$C$5</f>
        <v>270181</v>
      </c>
      <c r="E65" s="511">
        <f>+'q4'!$D$5</f>
        <v>273060</v>
      </c>
      <c r="F65" s="511">
        <f>+'q4'!$E$5</f>
        <v>276332</v>
      </c>
      <c r="G65" s="511">
        <f>+'q4'!$F$5</f>
        <v>279191</v>
      </c>
      <c r="H65" s="511">
        <f>+'q4'!$G$5</f>
        <v>282236</v>
      </c>
      <c r="I65" s="511">
        <f>+'q4'!$H$5</f>
        <v>275751</v>
      </c>
      <c r="J65" s="511">
        <f>+'q4'!$I$5</f>
        <v>277641</v>
      </c>
      <c r="K65" s="511">
        <f>+'q4'!$J$5</f>
        <v>271806</v>
      </c>
      <c r="L65" s="511">
        <f>+'q4'!$K$5</f>
        <v>284860</v>
      </c>
      <c r="M65" s="511">
        <f>+'q4'!$L$5</f>
        <v>291252.00000000017</v>
      </c>
    </row>
    <row r="69" spans="1:89">
      <c r="A69" s="500" t="s">
        <v>591</v>
      </c>
      <c r="D69" s="501"/>
    </row>
    <row r="70" spans="1:89">
      <c r="A70" s="631" t="s">
        <v>211</v>
      </c>
      <c r="C70" s="500">
        <f>+'q8'!$B$4</f>
        <v>2013</v>
      </c>
      <c r="D70" s="500">
        <f>+'q8'!$C$4</f>
        <v>2014</v>
      </c>
      <c r="E70" s="500">
        <f>+'q8'!$D$4</f>
        <v>2015</v>
      </c>
      <c r="F70" s="500">
        <f>+'q8'!$E$4</f>
        <v>2016</v>
      </c>
      <c r="G70" s="500">
        <f>+'q8'!$F$4</f>
        <v>2017</v>
      </c>
      <c r="H70" s="500">
        <f>+'q8'!$G$4</f>
        <v>2018</v>
      </c>
      <c r="I70" s="500">
        <f>+'q8'!$H$4</f>
        <v>2019</v>
      </c>
      <c r="J70" s="500">
        <f>+'q8'!$I$4</f>
        <v>2020</v>
      </c>
      <c r="K70" s="500">
        <f>+'q8'!$J$4</f>
        <v>2021</v>
      </c>
      <c r="L70" s="500">
        <f>+'q8'!$K$4</f>
        <v>2022</v>
      </c>
      <c r="M70" s="500">
        <f>+'q8'!$L$4</f>
        <v>2023</v>
      </c>
      <c r="R70" s="500" t="str">
        <f>INDEX($A$2:$A$8,$P$2)</f>
        <v>Grande Lisboa</v>
      </c>
    </row>
    <row r="71" spans="1:89">
      <c r="A71" s="500" t="s">
        <v>579</v>
      </c>
      <c r="B71" s="500" t="str">
        <f>+'q8'!$A$6</f>
        <v>Norte</v>
      </c>
      <c r="C71" s="511">
        <f>+'q8'!$B$6</f>
        <v>118120</v>
      </c>
      <c r="D71" s="511">
        <f>+'q8'!$C$6</f>
        <v>120246</v>
      </c>
      <c r="E71" s="511">
        <f>+'q8'!$D$6</f>
        <v>121392</v>
      </c>
      <c r="F71" s="511">
        <f>+'q8'!$E$6</f>
        <v>123068</v>
      </c>
      <c r="G71" s="511">
        <f>+'q8'!$F$6</f>
        <v>124207</v>
      </c>
      <c r="H71" s="511">
        <f>+'q8'!$G$6</f>
        <v>125524</v>
      </c>
      <c r="I71" s="511">
        <f>+'q8'!$H$6</f>
        <v>122296</v>
      </c>
      <c r="J71" s="511">
        <f>+'q8'!$I$6</f>
        <v>123094</v>
      </c>
      <c r="K71" s="511">
        <f>+'q8'!$J$6</f>
        <v>121078</v>
      </c>
      <c r="L71" s="511">
        <f>+'q8'!$K$6</f>
        <v>126463</v>
      </c>
      <c r="M71" s="511">
        <f>+'q8'!$L$6</f>
        <v>129002.00000000001</v>
      </c>
      <c r="S71" s="500">
        <f>+C30</f>
        <v>2013</v>
      </c>
      <c r="T71" s="500">
        <f t="shared" ref="T71:AC71" si="59">+D30</f>
        <v>2014</v>
      </c>
      <c r="U71" s="500">
        <f t="shared" si="59"/>
        <v>2015</v>
      </c>
      <c r="V71" s="500">
        <f t="shared" si="59"/>
        <v>2016</v>
      </c>
      <c r="W71" s="500">
        <f t="shared" si="59"/>
        <v>2017</v>
      </c>
      <c r="X71" s="500">
        <f t="shared" si="59"/>
        <v>2018</v>
      </c>
      <c r="Y71" s="500">
        <f t="shared" si="59"/>
        <v>2019</v>
      </c>
      <c r="Z71" s="500">
        <f t="shared" si="59"/>
        <v>2020</v>
      </c>
      <c r="AA71" s="500">
        <f t="shared" si="59"/>
        <v>2021</v>
      </c>
      <c r="AB71" s="500">
        <f t="shared" si="59"/>
        <v>2022</v>
      </c>
      <c r="AC71" s="500">
        <f t="shared" si="59"/>
        <v>2023</v>
      </c>
      <c r="AE71" s="464" t="str">
        <f>+"variação "&amp;AC71&amp;"/"&amp;AB71</f>
        <v>variação 2023/2022</v>
      </c>
      <c r="AF71" s="464" t="str">
        <f>+"variação "&amp;AC71&amp;"/"&amp;S71</f>
        <v>variação 2023/2013</v>
      </c>
    </row>
    <row r="72" spans="1:89">
      <c r="A72" s="500"/>
      <c r="B72" s="500" t="str">
        <f>+'q8'!$A$15</f>
        <v>Centro</v>
      </c>
      <c r="C72" s="511">
        <f>+'q8'!$B$15</f>
        <v>53918</v>
      </c>
      <c r="D72" s="511">
        <f>+'q8'!$C$15</f>
        <v>54102</v>
      </c>
      <c r="E72" s="511">
        <f>+'q8'!$D$15</f>
        <v>54333</v>
      </c>
      <c r="F72" s="511">
        <f>+'q8'!$E$15</f>
        <v>54880</v>
      </c>
      <c r="G72" s="511">
        <f>+'q8'!$F$15</f>
        <v>54959</v>
      </c>
      <c r="H72" s="511">
        <f>+'q8'!$G$15</f>
        <v>55026</v>
      </c>
      <c r="I72" s="511">
        <f>+'q8'!$H$15</f>
        <v>53653</v>
      </c>
      <c r="J72" s="511">
        <f>+'q8'!$I$15</f>
        <v>53834</v>
      </c>
      <c r="K72" s="511">
        <f>+'q8'!$J$15</f>
        <v>52972</v>
      </c>
      <c r="L72" s="511">
        <f>+'q8'!$K$15</f>
        <v>54851</v>
      </c>
      <c r="M72" s="511">
        <f>+'q8'!$L$15</f>
        <v>55620.000000000007</v>
      </c>
      <c r="R72" s="468" t="s">
        <v>296</v>
      </c>
      <c r="S72" s="682">
        <f>+VLOOKUP($R$70,$B$190:$M$197,COLUMN(C191)-1,0)</f>
        <v>1184.3399999999999</v>
      </c>
      <c r="T72" s="682">
        <f t="shared" ref="T72:AC72" si="60">+VLOOKUP($R$70,$B$190:$M$197,COLUMN(D191)-1,0)</f>
        <v>1174.23</v>
      </c>
      <c r="U72" s="682">
        <f t="shared" si="60"/>
        <v>1175.57</v>
      </c>
      <c r="V72" s="682">
        <f t="shared" si="60"/>
        <v>1179.78</v>
      </c>
      <c r="W72" s="682">
        <f t="shared" si="60"/>
        <v>1197.4000000000001</v>
      </c>
      <c r="X72" s="682">
        <f t="shared" si="60"/>
        <v>1219.74</v>
      </c>
      <c r="Y72" s="682">
        <f t="shared" si="60"/>
        <v>1255.78</v>
      </c>
      <c r="Z72" s="682">
        <f t="shared" si="60"/>
        <v>1293.07</v>
      </c>
      <c r="AA72" s="682">
        <f t="shared" si="60"/>
        <v>1339.8</v>
      </c>
      <c r="AB72" s="682">
        <f t="shared" si="60"/>
        <v>1418.39</v>
      </c>
      <c r="AC72" s="682">
        <f t="shared" si="60"/>
        <v>1505.99</v>
      </c>
      <c r="AD72" s="511" t="str">
        <f>TEXT(AC72,"##.###")</f>
        <v>1.506</v>
      </c>
      <c r="AE72" s="470">
        <f>+(AC72/AB72-1)</f>
        <v>6.1760164693772435E-2</v>
      </c>
      <c r="AF72" s="470">
        <f>+(AC72/S72-1)</f>
        <v>0.27158586216795855</v>
      </c>
      <c r="AG72" s="522">
        <f>+AC72-S72</f>
        <v>321.65000000000009</v>
      </c>
      <c r="AH72" s="499" t="str">
        <f>IF(AG72&gt;0,", +",", -")</f>
        <v>, +</v>
      </c>
      <c r="AI72" s="499">
        <f>IF(AG72&gt;0,AG72,AG72*-1)</f>
        <v>321.65000000000009</v>
      </c>
    </row>
    <row r="73" spans="1:89">
      <c r="A73" s="500"/>
      <c r="B73" s="500" t="str">
        <f>+'q8'!$A$22</f>
        <v>Oeste e Vale do Tejo</v>
      </c>
      <c r="C73" s="511">
        <f>+'q8'!$B$22</f>
        <v>26909</v>
      </c>
      <c r="D73" s="511">
        <f>+'q8'!$C$22</f>
        <v>26958</v>
      </c>
      <c r="E73" s="511">
        <f>+'q8'!$D$22</f>
        <v>27160</v>
      </c>
      <c r="F73" s="511">
        <f>+'q8'!$E$22</f>
        <v>27317</v>
      </c>
      <c r="G73" s="511">
        <f>+'q8'!$F$22</f>
        <v>27550</v>
      </c>
      <c r="H73" s="511">
        <f>+'q8'!$G$22</f>
        <v>27533</v>
      </c>
      <c r="I73" s="511">
        <f>+'q8'!$H$22</f>
        <v>26916</v>
      </c>
      <c r="J73" s="511">
        <f>+'q8'!$I$22</f>
        <v>26902</v>
      </c>
      <c r="K73" s="511">
        <f>+'q8'!$J$22</f>
        <v>26497</v>
      </c>
      <c r="L73" s="511">
        <f>+'q8'!$K$22</f>
        <v>27499</v>
      </c>
      <c r="M73" s="511">
        <f>+'q8'!$L$22</f>
        <v>28008.000000000004</v>
      </c>
      <c r="R73" s="468" t="s">
        <v>297</v>
      </c>
      <c r="S73" s="682">
        <f>+VLOOKUP($R$70,$B$230:$M$237,COLUMN(C231)-1,0)</f>
        <v>1427.96</v>
      </c>
      <c r="T73" s="682">
        <f t="shared" ref="T73:AC73" si="61">+VLOOKUP($R$70,$B$230:$M$237,COLUMN(D231)-1,0)</f>
        <v>1421.25</v>
      </c>
      <c r="U73" s="682">
        <f t="shared" si="61"/>
        <v>1420.24</v>
      </c>
      <c r="V73" s="682">
        <f t="shared" si="61"/>
        <v>1424.28</v>
      </c>
      <c r="W73" s="682">
        <f t="shared" si="61"/>
        <v>1447.51</v>
      </c>
      <c r="X73" s="682">
        <f t="shared" si="61"/>
        <v>1480.76</v>
      </c>
      <c r="Y73" s="682">
        <f t="shared" si="61"/>
        <v>1518.6</v>
      </c>
      <c r="Z73" s="682">
        <f t="shared" si="61"/>
        <v>1558.34</v>
      </c>
      <c r="AA73" s="682">
        <f t="shared" si="61"/>
        <v>1609.14</v>
      </c>
      <c r="AB73" s="682">
        <f t="shared" si="61"/>
        <v>1705.14</v>
      </c>
      <c r="AC73" s="682">
        <f t="shared" si="61"/>
        <v>1817.17</v>
      </c>
      <c r="AD73" s="511" t="str">
        <f>TEXT(AC73,"##.###")</f>
        <v>1.817</v>
      </c>
      <c r="AE73" s="470">
        <f>+(AC73/AB73-1)</f>
        <v>6.5701350035774153E-2</v>
      </c>
      <c r="AF73" s="470">
        <f>+(AC73/S73-1)</f>
        <v>0.27256365724530096</v>
      </c>
      <c r="AG73" s="522">
        <f>+AC73-S73</f>
        <v>389.21000000000004</v>
      </c>
      <c r="AH73" s="499" t="str">
        <f>IF(AG73&gt;0,", +",", -")</f>
        <v>, +</v>
      </c>
      <c r="AI73" s="499">
        <f>IF(AG73&gt;0,AG73,AG73*-1)</f>
        <v>389.21000000000004</v>
      </c>
    </row>
    <row r="74" spans="1:89">
      <c r="A74" s="500"/>
      <c r="B74" s="500" t="str">
        <f>+'q8'!$A$26</f>
        <v>Grande Lisboa</v>
      </c>
      <c r="C74" s="511">
        <f>+'q8'!$B$26</f>
        <v>64587</v>
      </c>
      <c r="D74" s="511">
        <f>+'q8'!$C$26</f>
        <v>65289</v>
      </c>
      <c r="E74" s="511">
        <f>+'q8'!$D$26</f>
        <v>65847</v>
      </c>
      <c r="F74" s="511">
        <f>+'q8'!$E$26</f>
        <v>66220</v>
      </c>
      <c r="G74" s="511">
        <f>+'q8'!$F$26</f>
        <v>66764</v>
      </c>
      <c r="H74" s="511">
        <f>+'q8'!$G$26</f>
        <v>67989</v>
      </c>
      <c r="I74" s="511">
        <f>+'q8'!$H$26</f>
        <v>66115</v>
      </c>
      <c r="J74" s="511">
        <f>+'q8'!$I$26</f>
        <v>67101</v>
      </c>
      <c r="K74" s="511">
        <f>+'q8'!$J$26</f>
        <v>64927</v>
      </c>
      <c r="L74" s="511">
        <f>+'q8'!$K$26</f>
        <v>68270</v>
      </c>
      <c r="M74" s="511">
        <f>+'q8'!$L$26</f>
        <v>70103.999999999985</v>
      </c>
      <c r="AQ74" s="521" t="s">
        <v>601</v>
      </c>
      <c r="BM74" s="521" t="s">
        <v>601</v>
      </c>
      <c r="CG74" s="521" t="s">
        <v>601</v>
      </c>
    </row>
    <row r="75" spans="1:89">
      <c r="A75" s="500"/>
      <c r="B75" s="500" t="str">
        <f>+'q8'!$A$27</f>
        <v>Península de Setúbal</v>
      </c>
      <c r="C75" s="511">
        <f>+'q8'!$B$27</f>
        <v>16429</v>
      </c>
      <c r="D75" s="511">
        <f>+'q8'!$C$27</f>
        <v>16417</v>
      </c>
      <c r="E75" s="511">
        <f>+'q8'!$D$27</f>
        <v>16509</v>
      </c>
      <c r="F75" s="511">
        <f>+'q8'!$E$27</f>
        <v>16639</v>
      </c>
      <c r="G75" s="511">
        <f>+'q8'!$F$27</f>
        <v>16803</v>
      </c>
      <c r="H75" s="511">
        <f>+'q8'!$G$27</f>
        <v>16960</v>
      </c>
      <c r="I75" s="511">
        <f>+'q8'!$H$27</f>
        <v>16656</v>
      </c>
      <c r="J75" s="511">
        <f>+'q8'!$I$27</f>
        <v>17101</v>
      </c>
      <c r="K75" s="511">
        <f>+'q8'!$J$27</f>
        <v>16860</v>
      </c>
      <c r="L75" s="511">
        <f>+'q8'!$K$27</f>
        <v>17786</v>
      </c>
      <c r="M75" s="511">
        <f>+'q8'!$L$27</f>
        <v>18085</v>
      </c>
      <c r="AF75" s="525">
        <f>+(AC72/S72-1)*100</f>
        <v>27.158586216795854</v>
      </c>
      <c r="AQ75" s="499" t="s">
        <v>604</v>
      </c>
      <c r="BM75" s="499" t="s">
        <v>621</v>
      </c>
      <c r="CG75" s="499" t="s">
        <v>623</v>
      </c>
    </row>
    <row r="76" spans="1:89">
      <c r="A76" s="500"/>
      <c r="B76" s="500" t="str">
        <f>+'q8'!$A$28</f>
        <v>Alentejo</v>
      </c>
      <c r="C76" s="511">
        <f>+'q8'!$B$28</f>
        <v>16513</v>
      </c>
      <c r="D76" s="511">
        <f>+'q8'!$C$28</f>
        <v>16818</v>
      </c>
      <c r="E76" s="511">
        <f>+'q8'!$D$28</f>
        <v>16844</v>
      </c>
      <c r="F76" s="511">
        <f>+'q8'!$E$28</f>
        <v>16907</v>
      </c>
      <c r="G76" s="511">
        <f>+'q8'!$F$28</f>
        <v>16939</v>
      </c>
      <c r="H76" s="511">
        <f>+'q8'!$G$28</f>
        <v>16868</v>
      </c>
      <c r="I76" s="511">
        <f>+'q8'!$H$28</f>
        <v>16454</v>
      </c>
      <c r="J76" s="511">
        <f>+'q8'!$I$28</f>
        <v>16561</v>
      </c>
      <c r="K76" s="511">
        <f>+'q8'!$J$28</f>
        <v>16084</v>
      </c>
      <c r="L76" s="511">
        <f>+'q8'!$K$28</f>
        <v>17115</v>
      </c>
      <c r="M76" s="511">
        <f>+'q8'!$L$28</f>
        <v>17511.000000000004</v>
      </c>
      <c r="Z76" s="521" t="s">
        <v>597</v>
      </c>
      <c r="AF76" s="525">
        <f>+(AC73/S73-1)*100</f>
        <v>27.256365724530095</v>
      </c>
      <c r="AQ76" s="499" t="s">
        <v>602</v>
      </c>
      <c r="AR76" s="499">
        <f>+$AR$6</f>
        <v>2023</v>
      </c>
      <c r="BM76" s="499" t="s">
        <v>622</v>
      </c>
      <c r="BN76" s="499">
        <f>+$BM$6</f>
        <v>2023</v>
      </c>
      <c r="CG76" s="499" t="s">
        <v>624</v>
      </c>
      <c r="CH76" s="499">
        <f>+$CG$6</f>
        <v>2023</v>
      </c>
    </row>
    <row r="77" spans="1:89">
      <c r="A77" s="500"/>
      <c r="B77" s="500" t="str">
        <f>+'q8'!$A$33</f>
        <v>Algarve</v>
      </c>
      <c r="C77" s="511">
        <f>+'q8'!$B$33</f>
        <v>18636</v>
      </c>
      <c r="D77" s="511">
        <f>+'q8'!$C$33</f>
        <v>19056</v>
      </c>
      <c r="E77" s="511">
        <f>+'q8'!$D$33</f>
        <v>19415</v>
      </c>
      <c r="F77" s="511">
        <f>+'q8'!$E$33</f>
        <v>19902</v>
      </c>
      <c r="G77" s="511">
        <f>+'q8'!$F$33</f>
        <v>20073</v>
      </c>
      <c r="H77" s="511">
        <f>+'q8'!$G$33</f>
        <v>20768</v>
      </c>
      <c r="I77" s="511">
        <f>+'q8'!$H$33</f>
        <v>20888</v>
      </c>
      <c r="J77" s="511">
        <f>+'q8'!$I$33</f>
        <v>20366</v>
      </c>
      <c r="K77" s="511">
        <f>+'q8'!$J$33</f>
        <v>19836</v>
      </c>
      <c r="L77" s="511">
        <f>+'q8'!$K$33</f>
        <v>20699</v>
      </c>
      <c r="M77" s="511">
        <f>+'q8'!$L$33</f>
        <v>22034</v>
      </c>
      <c r="AQ77" s="499" t="s">
        <v>613</v>
      </c>
      <c r="AR77" s="499" t="str">
        <f>+$R$4</f>
        <v>Grande Lisboa</v>
      </c>
      <c r="AS77" s="499" t="s">
        <v>614</v>
      </c>
      <c r="BM77" s="499" t="s">
        <v>613</v>
      </c>
      <c r="BN77" s="499" t="str">
        <f>+$R$4</f>
        <v>Grande Lisboa</v>
      </c>
      <c r="BO77" s="499" t="s">
        <v>614</v>
      </c>
      <c r="CG77" s="499" t="s">
        <v>613</v>
      </c>
      <c r="CH77" s="499" t="str">
        <f>+$R$4</f>
        <v>Grande Lisboa</v>
      </c>
      <c r="CI77" s="499" t="s">
        <v>614</v>
      </c>
    </row>
    <row r="78" spans="1:89">
      <c r="B78" s="500" t="s">
        <v>14</v>
      </c>
      <c r="C78" s="511">
        <f>+'q8'!$B$5</f>
        <v>315112</v>
      </c>
      <c r="D78" s="511">
        <f>+'q8'!$C$5</f>
        <v>318886</v>
      </c>
      <c r="E78" s="511">
        <f>+'q8'!$D$5</f>
        <v>321500</v>
      </c>
      <c r="F78" s="511">
        <f>+'q8'!$E$5</f>
        <v>324933</v>
      </c>
      <c r="G78" s="511">
        <f>+'q8'!$F$5</f>
        <v>327295</v>
      </c>
      <c r="H78" s="511">
        <f>+'q8'!$G$5</f>
        <v>330668</v>
      </c>
      <c r="I78" s="511">
        <f>+'q8'!$H$5</f>
        <v>322978</v>
      </c>
      <c r="J78" s="511">
        <f>+'q8'!$I$5</f>
        <v>324959</v>
      </c>
      <c r="K78" s="511">
        <f>+'q8'!$J$5</f>
        <v>318254</v>
      </c>
      <c r="L78" s="511">
        <f>+'q8'!$K$5</f>
        <v>332683</v>
      </c>
      <c r="M78" s="511">
        <f>+'q8'!$L$5</f>
        <v>340363.99999999994</v>
      </c>
      <c r="Z78" s="499">
        <f>+AC71</f>
        <v>2023</v>
      </c>
      <c r="AA78" s="499" t="s">
        <v>443</v>
      </c>
      <c r="AB78" s="499" t="s">
        <v>600</v>
      </c>
      <c r="AQ78" s="499">
        <f>INDEX($AR$38:$AX$44,MATCH($AR$77,$AR$38:$AR$44,0),2)</f>
        <v>59573</v>
      </c>
      <c r="AR78" s="499" t="str">
        <f>TEXT(AQ78,"##.###")</f>
        <v>59.573</v>
      </c>
      <c r="AS78" s="499" t="s">
        <v>511</v>
      </c>
      <c r="BM78" s="499">
        <f>INDEX($BM$38:$BS$44,MATCH($BN$77,$BM$38:$BM$44,0),2)</f>
        <v>969558</v>
      </c>
      <c r="BN78" s="499" t="str">
        <f>TEXT(BM78,"##.###")</f>
        <v>969.558</v>
      </c>
      <c r="BO78" s="499" t="s">
        <v>511</v>
      </c>
      <c r="CG78" s="499">
        <f>INDEX($CG$38:$CM$44,MATCH($CH$77,$CG$38:$CG$44,0),2)</f>
        <v>1505.99</v>
      </c>
      <c r="CH78" s="499" t="str">
        <f>TEXT(CG78,"##.###")</f>
        <v>1.506</v>
      </c>
      <c r="CI78" s="499" t="s">
        <v>334</v>
      </c>
    </row>
    <row r="79" spans="1:89" ht="12.75" customHeight="1">
      <c r="B79" s="500"/>
      <c r="C79" s="511"/>
      <c r="D79" s="511"/>
      <c r="E79" s="511"/>
      <c r="F79" s="511"/>
      <c r="G79" s="511"/>
      <c r="H79" s="511"/>
      <c r="I79" s="511"/>
      <c r="J79" s="511"/>
      <c r="K79" s="511"/>
      <c r="L79" s="511"/>
      <c r="M79" s="511"/>
      <c r="Z79" s="499" t="s">
        <v>333</v>
      </c>
      <c r="AA79" s="499" t="str">
        <f>+R70</f>
        <v>Grande Lisboa</v>
      </c>
      <c r="AD79" s="770" t="str">
        <f>CONCATENATE(Z78,AA78,CHAR(10),AB78,AA79,Z80,AA81,Z82,AA83,Z84,AA85," ",AA86,Z87,AB87,AA88,Z89,AA90,Z91,AA92," ",AA93,Z94,AB94)</f>
        <v>2023:
Na regiãoGrande Lisboa a remuneração média mensal base era de 1.506 euros (variação de 27,2% face a 2013, ou seja, + 321,7 euros) e de 1.817 euros a remuneração média mensal ganho (variação de 27,3% face a 2013, ou seja , + 389,2 euros).</v>
      </c>
      <c r="AE79" s="770"/>
      <c r="AF79" s="770"/>
      <c r="AG79" s="770"/>
      <c r="AH79" s="770"/>
      <c r="AQ79" s="499">
        <f>INDEX($AR$38:$AX$44,MATCH($AR$77,$AR$38:$AR$44,0),4)</f>
        <v>20.454108469641398</v>
      </c>
      <c r="AR79" s="499" t="str">
        <f>TEXT(AQ79,"##.###,0")</f>
        <v>20,5</v>
      </c>
      <c r="AT79" s="689"/>
      <c r="AU79" s="689"/>
      <c r="AV79" s="689"/>
      <c r="AW79" s="689"/>
      <c r="AX79" s="689"/>
      <c r="BM79" s="499">
        <f>INDEX($BM$38:$BS$44,MATCH($BN$77,$BM$38:$BM$44,0),4)</f>
        <v>27.784351310744011</v>
      </c>
      <c r="BN79" s="499" t="str">
        <f>TEXT(BM79,"##.###,0")</f>
        <v>27,8</v>
      </c>
      <c r="BP79" s="689"/>
      <c r="BQ79" s="689"/>
      <c r="BR79" s="689"/>
      <c r="BS79" s="689"/>
      <c r="BT79" s="689"/>
      <c r="CG79" s="499">
        <f>INDEX($CG$38:$CM$44,MATCH($CH$77,$CG$38:$CG$44,0),4)</f>
        <v>23.454958315230321</v>
      </c>
      <c r="CH79" s="499" t="str">
        <f>TEXT(CG79,"##.###,0")</f>
        <v>23,5</v>
      </c>
      <c r="CJ79" s="689"/>
      <c r="CK79" s="689"/>
    </row>
    <row r="80" spans="1:89">
      <c r="C80" s="500">
        <f>+C70</f>
        <v>2013</v>
      </c>
      <c r="D80" s="500">
        <f t="shared" ref="D80:M80" si="62">+D70</f>
        <v>2014</v>
      </c>
      <c r="E80" s="500">
        <f t="shared" si="62"/>
        <v>2015</v>
      </c>
      <c r="F80" s="500">
        <f t="shared" si="62"/>
        <v>2016</v>
      </c>
      <c r="G80" s="500">
        <f t="shared" si="62"/>
        <v>2017</v>
      </c>
      <c r="H80" s="500">
        <f t="shared" si="62"/>
        <v>2018</v>
      </c>
      <c r="I80" s="500">
        <f t="shared" si="62"/>
        <v>2019</v>
      </c>
      <c r="J80" s="500">
        <f t="shared" si="62"/>
        <v>2020</v>
      </c>
      <c r="K80" s="500">
        <f t="shared" si="62"/>
        <v>2021</v>
      </c>
      <c r="L80" s="500">
        <f t="shared" si="62"/>
        <v>2022</v>
      </c>
      <c r="M80" s="500">
        <f t="shared" si="62"/>
        <v>2023</v>
      </c>
      <c r="Z80" s="499" t="s">
        <v>338</v>
      </c>
      <c r="AD80" s="770"/>
      <c r="AE80" s="770"/>
      <c r="AF80" s="770"/>
      <c r="AG80" s="770"/>
      <c r="AH80" s="770"/>
      <c r="AQ80" s="499" t="s">
        <v>618</v>
      </c>
      <c r="AT80" s="689"/>
      <c r="AU80" s="689"/>
      <c r="AV80" s="689"/>
      <c r="AW80" s="689"/>
      <c r="AX80" s="689"/>
      <c r="BM80" s="499" t="s">
        <v>618</v>
      </c>
      <c r="BP80" s="689"/>
      <c r="BQ80" s="689"/>
      <c r="BR80" s="689"/>
      <c r="BS80" s="689"/>
      <c r="BT80" s="689"/>
      <c r="CG80" s="499" t="s">
        <v>625</v>
      </c>
      <c r="CJ80" s="689"/>
      <c r="CK80" s="689"/>
    </row>
    <row r="81" spans="1:97">
      <c r="A81" s="500" t="s">
        <v>580</v>
      </c>
      <c r="B81" s="500" t="str">
        <f>+'q8'!$A$7</f>
        <v>Alto Minho</v>
      </c>
      <c r="C81" s="511">
        <f>+'q8'!$B$7</f>
        <v>8133</v>
      </c>
      <c r="D81" s="511">
        <f>+'q8'!$C$7</f>
        <v>8188</v>
      </c>
      <c r="E81" s="511">
        <f>+'q8'!$D$7</f>
        <v>8233</v>
      </c>
      <c r="F81" s="511">
        <f>+'q8'!$E$7</f>
        <v>8364</v>
      </c>
      <c r="G81" s="511">
        <f>+'q8'!$F$7</f>
        <v>8315</v>
      </c>
      <c r="H81" s="511">
        <f>+'q8'!$G$7</f>
        <v>8400</v>
      </c>
      <c r="I81" s="511">
        <f>+'q8'!$H$7</f>
        <v>8045</v>
      </c>
      <c r="J81" s="511">
        <f>+'q8'!$I$7</f>
        <v>8065</v>
      </c>
      <c r="K81" s="511">
        <f>+'q8'!$J$7</f>
        <v>7974</v>
      </c>
      <c r="L81" s="511">
        <f>+'q8'!$K$7</f>
        <v>8261</v>
      </c>
      <c r="M81" s="511">
        <f>+'q8'!$L$7</f>
        <v>8480</v>
      </c>
      <c r="Z81" s="499" t="s">
        <v>332</v>
      </c>
      <c r="AA81" s="527" t="str">
        <f>+AD72</f>
        <v>1.506</v>
      </c>
      <c r="AD81" s="770"/>
      <c r="AE81" s="770"/>
      <c r="AF81" s="770"/>
      <c r="AG81" s="770"/>
      <c r="AH81" s="770"/>
      <c r="AQ81" s="499">
        <f>INDEX($AR$38:$AX$44,MATCH($AR$77,$AR$38:$AR$44,0),6)</f>
        <v>2</v>
      </c>
      <c r="AT81" s="689"/>
      <c r="AU81" s="689"/>
      <c r="AV81" s="691" t="s">
        <v>619</v>
      </c>
      <c r="AW81" s="689"/>
      <c r="AX81" s="689"/>
      <c r="BM81" s="499">
        <f>INDEX($BM$38:$BS$44,MATCH($BN$77,$BM$38:$BM$44,0),6)</f>
        <v>2</v>
      </c>
      <c r="BP81" s="689"/>
      <c r="BQ81" s="689"/>
      <c r="BR81" s="691" t="s">
        <v>619</v>
      </c>
      <c r="BS81" s="689"/>
      <c r="BT81" s="689"/>
      <c r="CG81" s="499">
        <f>INDEX($CG$38:$CM$44,MATCH($CH$77,$CG$38:$CG$44,0),6)</f>
        <v>1</v>
      </c>
      <c r="CJ81" s="689"/>
      <c r="CK81" s="689"/>
      <c r="CL81" s="691" t="s">
        <v>619</v>
      </c>
      <c r="CM81" s="689"/>
      <c r="CN81" s="689"/>
    </row>
    <row r="82" spans="1:97" ht="42.75" customHeight="1">
      <c r="A82" s="500"/>
      <c r="B82" s="500" t="str">
        <f>+'q8'!$A$8</f>
        <v>Cávado</v>
      </c>
      <c r="C82" s="511">
        <f>+'q8'!$B$8</f>
        <v>14520</v>
      </c>
      <c r="D82" s="511">
        <f>+'q8'!$C$8</f>
        <v>14930</v>
      </c>
      <c r="E82" s="511">
        <f>+'q8'!$D$8</f>
        <v>15116</v>
      </c>
      <c r="F82" s="511">
        <f>+'q8'!$E$8</f>
        <v>15401</v>
      </c>
      <c r="G82" s="511">
        <f>+'q8'!$F$8</f>
        <v>15634</v>
      </c>
      <c r="H82" s="511">
        <f>+'q8'!$G$8</f>
        <v>15756</v>
      </c>
      <c r="I82" s="511">
        <f>+'q8'!$H$8</f>
        <v>15412</v>
      </c>
      <c r="J82" s="511">
        <f>+'q8'!$I$8</f>
        <v>15514</v>
      </c>
      <c r="K82" s="511">
        <f>+'q8'!$J$8</f>
        <v>15289</v>
      </c>
      <c r="L82" s="511">
        <f>+'q8'!$K$8</f>
        <v>16345</v>
      </c>
      <c r="M82" s="511">
        <f>+'q8'!$L$8</f>
        <v>16873</v>
      </c>
      <c r="Z82" s="499" t="s">
        <v>862</v>
      </c>
      <c r="AD82" s="770"/>
      <c r="AE82" s="770"/>
      <c r="AF82" s="770"/>
      <c r="AG82" s="770"/>
      <c r="AH82" s="770"/>
      <c r="AQ82" s="499" t="s">
        <v>605</v>
      </c>
      <c r="AT82" s="689"/>
      <c r="AU82" s="689"/>
      <c r="AV82" s="771" t="str">
        <f>CONCATENATE(AQ75,CHAR(10),AQ77,AR77,AS77,AR78,AS78,AR79,AQ80,AQ81,AQ82,CHAR(10),AQ83,AS83,AQ84,AR84,AR85,AS85,AR86,AS86,AT86,AU86,AQ87,AR87,AQ88,AR88,AR89,AS89,AR90,AS90,AT90,AU90)</f>
        <v>EMPRESAS
NUTS II Grande Lisboa: 59.573 (20,5% do Continente; 2ª região de 7)
Sub-regiões NUTS III: Máx. da NUTS II - Grande Lisboa - 59.573 (100,0% do Grande Lisboa); Min. da NUTS II - Grande Lisboa - 59.573 (100,0% do Grande Lisboa).</v>
      </c>
      <c r="AW82" s="771"/>
      <c r="AX82" s="771"/>
      <c r="AY82" s="771"/>
      <c r="AZ82" s="771"/>
      <c r="BM82" s="499" t="s">
        <v>605</v>
      </c>
      <c r="BP82" s="689"/>
      <c r="BQ82" s="689"/>
      <c r="BR82" s="771" t="str">
        <f>CONCATENATE(BM75,CHAR(10),BM77,BN77,BO77,BN78,BO78,BN79,BM80,BM81,BM82,CHAR(10),BM83,BO83,BM84,BN84,BN85,BO85,BN86,BO86,BP86,BQ86,BM87,BN87,BM88,BN88,BN89,BO89,BN90,BO90,BP90,BQ90)</f>
        <v>PESSOAS AO SERVIÇO
NUTS II Grande Lisboa: 969.558 (27,8% do Continente; 2ª região de 7)
Sub-regiões NUTS III: Máx. da NUTS II - Grande Lisboa - 969.558 (100,0% do Grande Lisboa); Min. da NUTS II - Grande Lisboa - 969.558 (100,0% do Grande Lisboa).</v>
      </c>
      <c r="BS82" s="771"/>
      <c r="BT82" s="771"/>
      <c r="BU82" s="771"/>
      <c r="BV82" s="771"/>
      <c r="CG82" s="499" t="s">
        <v>605</v>
      </c>
      <c r="CJ82" s="689"/>
      <c r="CK82" s="689"/>
      <c r="CL82" s="771" t="str">
        <f>CONCATENATE(CG75,CHAR(10),CG77,CH77,CI77,CH78,CI78,CH79,CG80,CG81,CG82,CHAR(10),CG83,CI83,CG84,CH84,CH85,CI85,CH86,CI86,CJ86,CK86,CG87,CH87,CG88,CH88,CH89,CI89,CH90,CI90,CJ90,CK90)</f>
        <v>REMUNERAÇÃO BASE
NUTS II Grande Lisboa: 1.506 euros (23,5% que no Continente; 1ª região de 7)
Sub-regiões NUTS III: Máx. da NUTS II - Grande Lisboa - 1.506 euros (+,0% da NUTS II); Min. da NUTS II - Grande Lisboa - 1.506 euros (,0% da NUTS II).</v>
      </c>
      <c r="CM82" s="771"/>
      <c r="CN82" s="771"/>
      <c r="CO82" s="771"/>
      <c r="CP82" s="771"/>
    </row>
    <row r="83" spans="1:97">
      <c r="A83" s="500"/>
      <c r="B83" s="500" t="str">
        <f>+'q8'!$A$9</f>
        <v>Ave</v>
      </c>
      <c r="C83" s="511">
        <f>+'q8'!$B$9</f>
        <v>13948</v>
      </c>
      <c r="D83" s="511">
        <f>+'q8'!$C$9</f>
        <v>14360</v>
      </c>
      <c r="E83" s="511">
        <f>+'q8'!$D$9</f>
        <v>14483</v>
      </c>
      <c r="F83" s="511">
        <f>+'q8'!$E$9</f>
        <v>14818</v>
      </c>
      <c r="G83" s="511">
        <f>+'q8'!$F$9</f>
        <v>15050</v>
      </c>
      <c r="H83" s="511">
        <f>+'q8'!$G$9</f>
        <v>15078</v>
      </c>
      <c r="I83" s="511">
        <f>+'q8'!$H$9</f>
        <v>14513</v>
      </c>
      <c r="J83" s="511">
        <f>+'q8'!$I$9</f>
        <v>14697</v>
      </c>
      <c r="K83" s="511">
        <f>+'q8'!$J$9</f>
        <v>14380</v>
      </c>
      <c r="L83" s="511">
        <f>+'q8'!$K$9</f>
        <v>15257</v>
      </c>
      <c r="M83" s="511">
        <f>+'q8'!$L$9</f>
        <v>15408.999999999998</v>
      </c>
      <c r="Z83" s="499" t="s">
        <v>335</v>
      </c>
      <c r="AA83" s="525">
        <f>ROUND(AF75,1)</f>
        <v>27.2</v>
      </c>
      <c r="AD83" s="770"/>
      <c r="AE83" s="770"/>
      <c r="AF83" s="770"/>
      <c r="AG83" s="770"/>
      <c r="AH83" s="770"/>
      <c r="AQ83" s="499" t="s">
        <v>606</v>
      </c>
      <c r="AT83" s="689"/>
      <c r="AU83" s="689"/>
      <c r="AV83" s="771"/>
      <c r="AW83" s="771"/>
      <c r="AX83" s="771"/>
      <c r="AY83" s="771"/>
      <c r="AZ83" s="771"/>
      <c r="BM83" s="499" t="s">
        <v>606</v>
      </c>
      <c r="BP83" s="689"/>
      <c r="BQ83" s="689"/>
      <c r="BR83" s="771"/>
      <c r="BS83" s="771"/>
      <c r="BT83" s="771"/>
      <c r="BU83" s="771"/>
      <c r="BV83" s="771"/>
      <c r="CG83" s="499" t="s">
        <v>606</v>
      </c>
      <c r="CJ83" s="689"/>
      <c r="CK83" s="689"/>
      <c r="CL83" s="771"/>
      <c r="CM83" s="771"/>
      <c r="CN83" s="771"/>
      <c r="CO83" s="771"/>
      <c r="CP83" s="771"/>
    </row>
    <row r="84" spans="1:97">
      <c r="A84" s="500"/>
      <c r="B84" s="500" t="str">
        <f>+'q8'!$A$10</f>
        <v>Área Metropolitana do Porto</v>
      </c>
      <c r="C84" s="511">
        <f>+'q8'!$B$10</f>
        <v>56488</v>
      </c>
      <c r="D84" s="511">
        <f>+'q8'!$C$10</f>
        <v>57194</v>
      </c>
      <c r="E84" s="511">
        <f>+'q8'!$D$10</f>
        <v>57692</v>
      </c>
      <c r="F84" s="511">
        <f>+'q8'!$E$10</f>
        <v>58291</v>
      </c>
      <c r="G84" s="511">
        <f>+'q8'!$F$10</f>
        <v>58794</v>
      </c>
      <c r="H84" s="511">
        <f>+'q8'!$G$10</f>
        <v>59602</v>
      </c>
      <c r="I84" s="511">
        <f>+'q8'!$H$10</f>
        <v>58375</v>
      </c>
      <c r="J84" s="511">
        <f>+'q8'!$I$10</f>
        <v>58630</v>
      </c>
      <c r="K84" s="511">
        <f>+'q8'!$J$10</f>
        <v>57051</v>
      </c>
      <c r="L84" s="511">
        <f>+'q8'!$K$10</f>
        <v>59479</v>
      </c>
      <c r="M84" s="511">
        <f>+'q8'!$L$10</f>
        <v>60584.999999999985</v>
      </c>
      <c r="Z84" s="499" t="s">
        <v>854</v>
      </c>
      <c r="AD84" s="770"/>
      <c r="AE84" s="770"/>
      <c r="AF84" s="770"/>
      <c r="AG84" s="770"/>
      <c r="AH84" s="770"/>
      <c r="AQ84" s="499" t="str">
        <f>IF($AR$77="Norte",$AZ$38,IF($AR$77="Centro",$AZ$39,IF($AR$77="Oeste e Vale do Tejo",$AZ$40,IF($AR$77="Grande Lisboa",$AZ$41,IF($AR$77="Península de Setúbal",$AZ$42,IF($AR$77="Alentejo",$AZ$43,IF($AR$77="Algarve",$AZ$44," ")))))))</f>
        <v>Grande Lisboa</v>
      </c>
      <c r="AR84" s="499" t="s">
        <v>616</v>
      </c>
      <c r="AT84" s="689"/>
      <c r="AU84" s="689"/>
      <c r="AV84" s="771"/>
      <c r="AW84" s="771"/>
      <c r="AX84" s="771"/>
      <c r="AY84" s="771"/>
      <c r="AZ84" s="771"/>
      <c r="BM84" s="499" t="str">
        <f>IF($BN$77="Norte",$BU$38,IF($BN$77="Centro",$BU$39,IF($BN$77="Oeste e Vale do Tejo",$BU$40,IF($BN$77="Grande Lisboa",$BU$41,IF($BN$77="Península de Setúbal",$BU$42,IF($BN$77="Alentejo",$BU$43,IF($BN$77="Algarve",$BU$44," ")))))))</f>
        <v>Grande Lisboa</v>
      </c>
      <c r="BN84" s="499" t="s">
        <v>616</v>
      </c>
      <c r="BP84" s="689"/>
      <c r="BQ84" s="689"/>
      <c r="BR84" s="771"/>
      <c r="BS84" s="771"/>
      <c r="BT84" s="771"/>
      <c r="BU84" s="771"/>
      <c r="BV84" s="771"/>
      <c r="CG84" s="499" t="str">
        <f>IF($CH$77="Norte",$CQ$38,IF($CH$77="Centro",$CQ$39,IF($CH$77="Oeste e Vale do Tejo",$CQ$40,IF($CH$77="Grande Lisboa",$CQ$41,IF($CH$77="Península de Setúbal",$CQ$42,IF($CH$77="Alentejo",$CQ$43,IF($CH$77="Algarve",$CQ$44," ")))))))</f>
        <v>Grande Lisboa</v>
      </c>
      <c r="CH84" s="499" t="s">
        <v>616</v>
      </c>
      <c r="CJ84" s="689"/>
      <c r="CK84" s="689"/>
      <c r="CL84" s="771"/>
      <c r="CM84" s="771"/>
      <c r="CN84" s="771"/>
      <c r="CO84" s="771"/>
      <c r="CP84" s="771"/>
    </row>
    <row r="85" spans="1:97">
      <c r="A85" s="500"/>
      <c r="B85" s="500" t="str">
        <f>+'q8'!$A$11</f>
        <v>Alto Tâmega e Barroso</v>
      </c>
      <c r="C85" s="511">
        <f>+'q8'!$B$11</f>
        <v>2450</v>
      </c>
      <c r="D85" s="511">
        <f>+'q8'!$C$11</f>
        <v>2505</v>
      </c>
      <c r="E85" s="511">
        <f>+'q8'!$D$11</f>
        <v>2562</v>
      </c>
      <c r="F85" s="511">
        <f>+'q8'!$E$11</f>
        <v>2620</v>
      </c>
      <c r="G85" s="511">
        <f>+'q8'!$F$11</f>
        <v>2636</v>
      </c>
      <c r="H85" s="511">
        <f>+'q8'!$G$11</f>
        <v>2669</v>
      </c>
      <c r="I85" s="511">
        <f>+'q8'!$H$11</f>
        <v>2590</v>
      </c>
      <c r="J85" s="511">
        <f>+'q8'!$I$11</f>
        <v>2642</v>
      </c>
      <c r="K85" s="511">
        <f>+'q8'!$J$11</f>
        <v>2629</v>
      </c>
      <c r="L85" s="511">
        <f>+'q8'!$K$11</f>
        <v>2739</v>
      </c>
      <c r="M85" s="511">
        <f>+'q8'!$L$11</f>
        <v>2746</v>
      </c>
      <c r="Z85" s="499" t="s">
        <v>336</v>
      </c>
      <c r="AA85" s="499" t="str">
        <f>+AH72</f>
        <v>, +</v>
      </c>
      <c r="AQ85" s="499">
        <f>IF($AR$77="Norte",$AY$38,IF($AR$77="Centro",$AY$39,IF($AR$77="Oeste e Vale do Tejo",$AY$40,IF($AR$77="Grande Lisboa",$AY$41,IF($AR$77="Península de Setúbal",$AY$42,IF($AR$77="Alentejo",$AY$43,IF($AR$77="Algarve",$AY$44," ")))))))</f>
        <v>59573</v>
      </c>
      <c r="AR85" s="499" t="str">
        <f>TEXT(AQ85,"##.###")</f>
        <v>59.573</v>
      </c>
      <c r="AS85" s="499" t="s">
        <v>511</v>
      </c>
      <c r="AT85" s="689"/>
      <c r="AU85" s="689"/>
      <c r="AV85" s="771"/>
      <c r="AW85" s="771"/>
      <c r="AX85" s="771"/>
      <c r="AY85" s="771"/>
      <c r="AZ85" s="771"/>
      <c r="BM85" s="499">
        <f>IF($BN$77="Norte",$BT$38,IF($BN$77="Centro",$BT$39,IF($BN$77="Oeste e Vale do Tejo",$BT$40,IF($BN$77="Grande Lisboa",$BT$41,IF($BN$77="Península de Setúbal",$BT$42,IF($BN$77="Alentejo",$BT$43,IF($BN$77="Algarve",$BT$44," ")))))))</f>
        <v>969558</v>
      </c>
      <c r="BN85" s="499" t="str">
        <f>TEXT(BM85,"##.###")</f>
        <v>969.558</v>
      </c>
      <c r="BO85" s="499" t="s">
        <v>511</v>
      </c>
      <c r="BP85" s="689"/>
      <c r="BQ85" s="689"/>
      <c r="BR85" s="771"/>
      <c r="BS85" s="771"/>
      <c r="BT85" s="771"/>
      <c r="BU85" s="771"/>
      <c r="BV85" s="771"/>
      <c r="CG85" s="499">
        <f>IF($CH$77="Norte",$CP$38,IF($CH$77="Centro",$CP$39,IF($CH$77="Oeste e Vale do Tejo",$CP$40,IF($CH$77="Grande Lisboa",$CP$41,IF($CH$77="Península de Setúbal",$CP$42,IF($CH$77="Alentejo",$CP$43,IF($CH$77="Algarve",$CP$44," ")))))))</f>
        <v>1505.99</v>
      </c>
      <c r="CH85" s="499" t="str">
        <f>TEXT(CG85,"##.###")</f>
        <v>1.506</v>
      </c>
      <c r="CI85" s="499" t="s">
        <v>334</v>
      </c>
      <c r="CJ85" s="689"/>
      <c r="CK85" s="689"/>
      <c r="CL85" s="771"/>
      <c r="CM85" s="771"/>
      <c r="CN85" s="771"/>
      <c r="CO85" s="771"/>
      <c r="CP85" s="771"/>
    </row>
    <row r="86" spans="1:97">
      <c r="A86" s="500"/>
      <c r="B86" s="500" t="str">
        <f>+'q8'!$A$12</f>
        <v>Tâmega e Sousa</v>
      </c>
      <c r="C86" s="511">
        <f>+'q8'!$B$12</f>
        <v>12781</v>
      </c>
      <c r="D86" s="511">
        <f>+'q8'!$C$12</f>
        <v>13219</v>
      </c>
      <c r="E86" s="511">
        <f>+'q8'!$D$12</f>
        <v>13492</v>
      </c>
      <c r="F86" s="511">
        <f>+'q8'!$E$12</f>
        <v>13669</v>
      </c>
      <c r="G86" s="511">
        <f>+'q8'!$F$12</f>
        <v>13820</v>
      </c>
      <c r="H86" s="511">
        <f>+'q8'!$G$12</f>
        <v>14097</v>
      </c>
      <c r="I86" s="511">
        <f>+'q8'!$H$12</f>
        <v>13814</v>
      </c>
      <c r="J86" s="511">
        <f>+'q8'!$I$12</f>
        <v>13874</v>
      </c>
      <c r="K86" s="511">
        <f>+'q8'!$J$12</f>
        <v>14035</v>
      </c>
      <c r="L86" s="511">
        <f>+'q8'!$K$12</f>
        <v>14461</v>
      </c>
      <c r="M86" s="511">
        <f>+'q8'!$L$12</f>
        <v>14776</v>
      </c>
      <c r="Z86" s="499" t="s">
        <v>337</v>
      </c>
      <c r="AA86" s="522" t="str">
        <f>TEXT(AI72,"##.###,0")</f>
        <v>321,7</v>
      </c>
      <c r="AQ86" s="499">
        <f>IF($AR$77="Norte",$BA$38,IF($AR$77="Centro",$BA$39,IF($AR$77="Oeste e Vale do Tejo",$BA$40,IF($AR$77="Grande Lisboa",$BA$41,IF($AR$77="Península de Setúbal",$BA$42,IF($AR$77="Alentejo",$BA$43,IF($AR$77="Algarve",$BA$44," ")))))))</f>
        <v>100</v>
      </c>
      <c r="AR86" s="499" t="str">
        <f>TEXT(AQ86,"##.###,0")</f>
        <v>100,0</v>
      </c>
      <c r="AS86" s="499" t="s">
        <v>617</v>
      </c>
      <c r="AT86" s="499" t="str">
        <f>+AR77</f>
        <v>Grande Lisboa</v>
      </c>
      <c r="AU86" s="499" t="s">
        <v>615</v>
      </c>
      <c r="AV86" s="521" t="s">
        <v>620</v>
      </c>
      <c r="BM86" s="499">
        <f>IF($BN$77="Norte",$BV$38,IF($BN$77="Centro",$BV$39,IF($BN$77="Oeste e Vale do Tejo",$BV$40,IF($BN$77="Grande Lisboa",$BV$41,IF($BN$77="Península de Setúbal",$BV$42,IF($BN$77="Alentejo",$BV$43,IF($BN$77="Algarve",$BV$44," ")))))))</f>
        <v>100</v>
      </c>
      <c r="BN86" s="499" t="str">
        <f>TEXT(BM86,"##.###,0")</f>
        <v>100,0</v>
      </c>
      <c r="BO86" s="499" t="s">
        <v>617</v>
      </c>
      <c r="BP86" s="499" t="str">
        <f>+BN77</f>
        <v>Grande Lisboa</v>
      </c>
      <c r="BQ86" s="499" t="s">
        <v>615</v>
      </c>
      <c r="BR86" s="521" t="s">
        <v>620</v>
      </c>
      <c r="CG86" s="499">
        <f>IF($CH$77="Norte",$CR$38,IF($CH$77="Centro",$CR$39,IF($CH$77="Oeste e Vale do Tejo",$CR$40,IF($CH$77="Grande Lisboa",$CR$41,IF($CH$77="Península de Setúbal",$CR$42,IF($CH$77="Alentejo",$CR$43,IF($CH$77="Algarve",$CR$44," ")))))))</f>
        <v>0</v>
      </c>
      <c r="CH86" s="499" t="str">
        <f>TEXT(CG86,"+##.###,0")</f>
        <v>+,0</v>
      </c>
      <c r="CI86" s="499" t="s">
        <v>627</v>
      </c>
      <c r="CJ86" s="499" t="s">
        <v>579</v>
      </c>
      <c r="CK86" s="499" t="s">
        <v>615</v>
      </c>
      <c r="CL86" s="521" t="s">
        <v>620</v>
      </c>
    </row>
    <row r="87" spans="1:97">
      <c r="A87" s="500"/>
      <c r="B87" s="500" t="str">
        <f>+'q8'!$A$13</f>
        <v>Douro</v>
      </c>
      <c r="C87" s="511">
        <f>+'q8'!$B$13</f>
        <v>6105</v>
      </c>
      <c r="D87" s="511">
        <f>+'q8'!$C$13</f>
        <v>6125</v>
      </c>
      <c r="E87" s="511">
        <f>+'q8'!$D$13</f>
        <v>6090</v>
      </c>
      <c r="F87" s="511">
        <f>+'q8'!$E$13</f>
        <v>6142</v>
      </c>
      <c r="G87" s="511">
        <f>+'q8'!$F$13</f>
        <v>6166</v>
      </c>
      <c r="H87" s="511">
        <f>+'q8'!$G$13</f>
        <v>6137</v>
      </c>
      <c r="I87" s="511">
        <f>+'q8'!$H$13</f>
        <v>6006</v>
      </c>
      <c r="J87" s="511">
        <f>+'q8'!$I$13</f>
        <v>6107</v>
      </c>
      <c r="K87" s="511">
        <f>+'q8'!$J$13</f>
        <v>6046</v>
      </c>
      <c r="L87" s="511">
        <f>+'q8'!$K$13</f>
        <v>6219</v>
      </c>
      <c r="M87" s="511">
        <f>+'q8'!$L$13</f>
        <v>6355.9999999999982</v>
      </c>
      <c r="Z87" s="499" t="s">
        <v>856</v>
      </c>
      <c r="AB87" s="499" t="s">
        <v>758</v>
      </c>
      <c r="AQ87" s="499" t="s">
        <v>611</v>
      </c>
      <c r="AR87" s="499" t="s">
        <v>616</v>
      </c>
      <c r="BM87" s="499" t="s">
        <v>611</v>
      </c>
      <c r="BN87" s="499" t="s">
        <v>616</v>
      </c>
      <c r="CG87" s="499" t="s">
        <v>611</v>
      </c>
      <c r="CH87" s="499" t="s">
        <v>616</v>
      </c>
    </row>
    <row r="88" spans="1:97" ht="12.75" customHeight="1">
      <c r="A88" s="500"/>
      <c r="B88" s="500" t="str">
        <f>+'q8'!$A$14</f>
        <v>Terras de Trás-os-Montes</v>
      </c>
      <c r="C88" s="511">
        <f>+'q8'!$B$14</f>
        <v>3695</v>
      </c>
      <c r="D88" s="511">
        <f>+'q8'!$C$14</f>
        <v>3725</v>
      </c>
      <c r="E88" s="511">
        <f>+'q8'!$D$14</f>
        <v>3724</v>
      </c>
      <c r="F88" s="511">
        <f>+'q8'!$E$14</f>
        <v>3763</v>
      </c>
      <c r="G88" s="511">
        <f>+'q8'!$F$14</f>
        <v>3792</v>
      </c>
      <c r="H88" s="511">
        <f>+'q8'!$G$14</f>
        <v>3785</v>
      </c>
      <c r="I88" s="511">
        <f>+'q8'!$H$14</f>
        <v>3541</v>
      </c>
      <c r="J88" s="511">
        <f>+'q8'!$I$14</f>
        <v>3565</v>
      </c>
      <c r="K88" s="511">
        <f>+'q8'!$J$14</f>
        <v>3674</v>
      </c>
      <c r="L88" s="511">
        <f>+'q8'!$K$14</f>
        <v>3702</v>
      </c>
      <c r="M88" s="511">
        <f>+'q8'!$L$14</f>
        <v>3777.0000000000009</v>
      </c>
      <c r="Z88" s="499" t="s">
        <v>339</v>
      </c>
      <c r="AA88" s="522" t="str">
        <f>+AD73</f>
        <v>1.817</v>
      </c>
      <c r="AQ88" s="499" t="str">
        <f>IF($AR$77="Norte",$BC$38,IF($AR$77="Centro",$BC$39,IF($AR$77="Oeste e Vale do Tejo",$BC$40,IF($AR$77="Grande Lisboa",$BC$41,IF($AR$77="Península de Setúbal",$BC$42,IF($AR$77="Alentejo",$BC$43,IF($AR$77="Algarve",$BC$44," ")))))))</f>
        <v>Grande Lisboa</v>
      </c>
      <c r="AR88" s="499" t="s">
        <v>616</v>
      </c>
      <c r="AV88" s="772" t="str">
        <f>CONCATENATE(AQ75,CHAR(10),AQ77,AR77,AS77,AR78,AS78,AR79,AQ80,AQ81,AQ82,CHAR(10),"Esta NUTS II coincide com a NUTS III.")</f>
        <v>EMPRESAS
NUTS II Grande Lisboa: 59.573 (20,5% do Continente; 2ª região de 7)
Esta NUTS II coincide com a NUTS III.</v>
      </c>
      <c r="AW88" s="772"/>
      <c r="AX88" s="772"/>
      <c r="AY88" s="772"/>
      <c r="BM88" s="499" t="str">
        <f>IF($BN$77="Norte",$BX$38,IF($BN$77="Centro",$BX$39,IF($BN$77="Oeste e Vale do Tejo",$BX$40,IF($BN$77="Grande Lisboa",$BX$41,IF($BN$77="Península de Setúbal",$BX$42,IF($BN$77="Alentejo",$BX$43,IF($BN$77="Algarve",$BX$44," ")))))))</f>
        <v>Grande Lisboa</v>
      </c>
      <c r="BN88" s="499" t="s">
        <v>616</v>
      </c>
      <c r="BR88" s="772" t="str">
        <f>CONCATENATE(BM75,CHAR(10),BM77,BN77,BO77,BN78,BO78,BN79,BM80,BM81,BM82,CHAR(10),"Esta NUTS II coincide com a NUTS III.")</f>
        <v>PESSOAS AO SERVIÇO
NUTS II Grande Lisboa: 969.558 (27,8% do Continente; 2ª região de 7)
Esta NUTS II coincide com a NUTS III.</v>
      </c>
      <c r="BS88" s="772"/>
      <c r="BT88" s="772"/>
      <c r="BU88" s="772"/>
      <c r="CG88" s="499" t="str">
        <f>IF($CH$77="Norte",$CT$38,IF($CH$77="Centro",$CT$39,IF($CH$77="Oeste e Vale do Tejo",$CT$40,IF($CH$77="Grande Lisboa",$CT$41,IF($CH$77="Península de Setúbal",$CT$42,IF($CH$77="Alentejo",$CT$43,IF($CH$77="Algarve",$CT$44," ")))))))</f>
        <v>Grande Lisboa</v>
      </c>
      <c r="CH88" s="499" t="s">
        <v>616</v>
      </c>
      <c r="CL88" s="772" t="str">
        <f>CONCATENATE(CG75,CHAR(10),CG77,CH77,CI77,CH78,CI78,CH79,CG80,CG81,CG82,CHAR(10),"Esta NUTS II coincide com a NUTS III.")</f>
        <v>REMUNERAÇÃO BASE
NUTS II Grande Lisboa: 1.506 euros (23,5% que no Continente; 1ª região de 7)
Esta NUTS II coincide com a NUTS III.</v>
      </c>
      <c r="CM88" s="772"/>
      <c r="CN88" s="772"/>
      <c r="CO88" s="772"/>
    </row>
    <row r="89" spans="1:97">
      <c r="A89" s="500"/>
      <c r="B89" s="500" t="str">
        <f>+'q8'!$A$16</f>
        <v>Região de Aveiro</v>
      </c>
      <c r="C89" s="511">
        <f>+'q8'!$B$16</f>
        <v>10733</v>
      </c>
      <c r="D89" s="511">
        <f>+'q8'!$C$16</f>
        <v>10771</v>
      </c>
      <c r="E89" s="511">
        <f>+'q8'!$D$16</f>
        <v>10850</v>
      </c>
      <c r="F89" s="511">
        <f>+'q8'!$E$16</f>
        <v>11109</v>
      </c>
      <c r="G89" s="511">
        <f>+'q8'!$F$16</f>
        <v>11238</v>
      </c>
      <c r="H89" s="511">
        <f>+'q8'!$G$16</f>
        <v>11392</v>
      </c>
      <c r="I89" s="511">
        <f>+'q8'!$H$16</f>
        <v>11270</v>
      </c>
      <c r="J89" s="511">
        <f>+'q8'!$I$16</f>
        <v>11291</v>
      </c>
      <c r="K89" s="511">
        <f>+'q8'!$J$16</f>
        <v>10980</v>
      </c>
      <c r="L89" s="511">
        <f>+'q8'!$K$16</f>
        <v>11325</v>
      </c>
      <c r="M89" s="511">
        <f>+'q8'!$L$16</f>
        <v>11485</v>
      </c>
      <c r="Z89" s="499" t="s">
        <v>857</v>
      </c>
      <c r="AQ89" s="499">
        <f>IF($AR$77="Norte",$BB$38,IF($AR$77="Centro",$BB$39,IF($AR$77="Oeste e Vale do Tejo",$BB$40,IF($AR$77="Grande Lisboa",$BB$41,IF($AR$77="Península de Setúbal",$BB$42,IF($AR$77="Alentejo",$BB$43,IF($AR$77="Algarve",$BB$44," ")))))))</f>
        <v>59573</v>
      </c>
      <c r="AR89" s="499" t="str">
        <f>TEXT(AQ89,"##.###")</f>
        <v>59.573</v>
      </c>
      <c r="AS89" s="499" t="s">
        <v>511</v>
      </c>
      <c r="AV89" s="772"/>
      <c r="AW89" s="772"/>
      <c r="AX89" s="772"/>
      <c r="AY89" s="772"/>
      <c r="BM89" s="499">
        <f>IF($BN$77="Norte",$BW$38,IF($BN$77="Centro",$BW$39,IF($BN$77="Oeste e Vale do Tejo",$BW$40,IF($BN$77="Grande Lisboa",$BW$41,IF($BN$77="Península de Setúbal",$BW$42,IF($BN$77="Alentejo",$BW$43,IF($BN$77="Algarve",$BW$44," ")))))))</f>
        <v>969558</v>
      </c>
      <c r="BN89" s="499" t="str">
        <f>TEXT(BM89,"##.###")</f>
        <v>969.558</v>
      </c>
      <c r="BO89" s="499" t="s">
        <v>511</v>
      </c>
      <c r="BR89" s="772"/>
      <c r="BS89" s="772"/>
      <c r="BT89" s="772"/>
      <c r="BU89" s="772"/>
      <c r="CG89" s="499">
        <f>IF($CH$77="Norte",$CS$38,IF($CH$77="Centro",$CS$39,IF($CH$77="Oeste e Vale do Tejo",$CS$40,IF($CH$77="Grande Lisboa",$CS$41,IF($CH$77="Península de Setúbal",$CS$42,IF($CH$77="Alentejo",$CS$43,IF($CH$77="Algarve",$CS$44," ")))))))</f>
        <v>1505.99</v>
      </c>
      <c r="CH89" s="499" t="str">
        <f>TEXT(CG89,"##.###")</f>
        <v>1.506</v>
      </c>
      <c r="CI89" s="499" t="s">
        <v>334</v>
      </c>
      <c r="CL89" s="772"/>
      <c r="CM89" s="772"/>
      <c r="CN89" s="772"/>
      <c r="CO89" s="772"/>
    </row>
    <row r="90" spans="1:97">
      <c r="A90" s="500"/>
      <c r="B90" s="500" t="str">
        <f>+'q8'!$A$17</f>
        <v>Região de Coimbra</v>
      </c>
      <c r="C90" s="511">
        <f>+'q8'!$B$17</f>
        <v>13209</v>
      </c>
      <c r="D90" s="511">
        <f>+'q8'!$C$17</f>
        <v>13210</v>
      </c>
      <c r="E90" s="511">
        <f>+'q8'!$D$17</f>
        <v>13220</v>
      </c>
      <c r="F90" s="511">
        <f>+'q8'!$E$17</f>
        <v>13289</v>
      </c>
      <c r="G90" s="511">
        <f>+'q8'!$F$17</f>
        <v>13260</v>
      </c>
      <c r="H90" s="511">
        <f>+'q8'!$G$17</f>
        <v>13232</v>
      </c>
      <c r="I90" s="511">
        <f>+'q8'!$H$17</f>
        <v>12834</v>
      </c>
      <c r="J90" s="511">
        <f>+'q8'!$I$17</f>
        <v>12976</v>
      </c>
      <c r="K90" s="511">
        <f>+'q8'!$J$17</f>
        <v>12780</v>
      </c>
      <c r="L90" s="511">
        <f>+'q8'!$K$17</f>
        <v>13325</v>
      </c>
      <c r="M90" s="511">
        <f>+'q8'!$L$17</f>
        <v>13431.000000000004</v>
      </c>
      <c r="Z90" s="499" t="s">
        <v>340</v>
      </c>
      <c r="AA90" s="525">
        <f>ROUND(AF76,1)</f>
        <v>27.3</v>
      </c>
      <c r="AQ90" s="499">
        <f>IF($AR$77="Norte",$BD$38,IF($AR$77="Centro",$BD$39,IF($AR$77="Oeste e Vale do Tejo",$BD$40,IF($AR$77="Grande Lisboa",$BD$41,IF($AR$77="Península de Setúbal",$BD$42,IF($AR$77="Alentejo",$BD$43,IF($AR$77="Algarve",$BD$44," ")))))))</f>
        <v>100</v>
      </c>
      <c r="AR90" s="499" t="str">
        <f>TEXT(AQ90,"##.###,0")</f>
        <v>100,0</v>
      </c>
      <c r="AS90" s="499" t="s">
        <v>617</v>
      </c>
      <c r="AT90" s="499" t="str">
        <f>+AR77</f>
        <v>Grande Lisboa</v>
      </c>
      <c r="AU90" s="499" t="s">
        <v>442</v>
      </c>
      <c r="AV90" s="772"/>
      <c r="AW90" s="772"/>
      <c r="AX90" s="772"/>
      <c r="AY90" s="772"/>
      <c r="BM90" s="499">
        <f>IF($BN$77="Norte",$BY$38,IF($BN$77="Centro",$BY$39,IF($BN$77="Oeste e Vale do Tejo",$BY$40,IF($BN$77="Grande Lisboa",$BY$41,IF($BN$77="Península de Setúbal",$BY$42,IF($BN$77="Alentejo",$BY$43,IF($BN$77="Algarve",$BY$44," ")))))))</f>
        <v>100</v>
      </c>
      <c r="BN90" s="499" t="str">
        <f>TEXT(BM90,"##.###,0")</f>
        <v>100,0</v>
      </c>
      <c r="BO90" s="499" t="s">
        <v>617</v>
      </c>
      <c r="BP90" s="499" t="str">
        <f>+BN77</f>
        <v>Grande Lisboa</v>
      </c>
      <c r="BQ90" s="499" t="s">
        <v>442</v>
      </c>
      <c r="BR90" s="772"/>
      <c r="BS90" s="772"/>
      <c r="BT90" s="772"/>
      <c r="BU90" s="772"/>
      <c r="CG90" s="499">
        <f>IF($CH$77="Norte",$CU$38,IF($CH$77="Centro",$CU$39,IF($CH$77="Oeste e Vale do Tejo",$CU$40,IF($CH$77="Grande Lisboa",$CU$41,IF($CH$77="Península de Setúbal",$CU$42,IF($CH$77="Alentejo",$CU$43,IF($CH$77="Algarve",$CU$44," ")))))))</f>
        <v>0</v>
      </c>
      <c r="CH90" s="499" t="str">
        <f>TEXT(CG90,"##.###,0")</f>
        <v>,0</v>
      </c>
      <c r="CI90" s="499" t="s">
        <v>627</v>
      </c>
      <c r="CJ90" s="499" t="s">
        <v>579</v>
      </c>
      <c r="CK90" s="499" t="s">
        <v>442</v>
      </c>
      <c r="CL90" s="772"/>
      <c r="CM90" s="772"/>
      <c r="CN90" s="772"/>
      <c r="CO90" s="772"/>
    </row>
    <row r="91" spans="1:97">
      <c r="A91" s="500"/>
      <c r="B91" s="500" t="str">
        <f>+'q8'!$A$18</f>
        <v>Região de Leiria</v>
      </c>
      <c r="C91" s="511">
        <f>+'q8'!$B$18</f>
        <v>11800</v>
      </c>
      <c r="D91" s="511">
        <f>+'q8'!$C$18</f>
        <v>11750</v>
      </c>
      <c r="E91" s="511">
        <f>+'q8'!$D$18</f>
        <v>11795</v>
      </c>
      <c r="F91" s="511">
        <f>+'q8'!$E$18</f>
        <v>11912</v>
      </c>
      <c r="G91" s="511">
        <f>+'q8'!$F$18</f>
        <v>11909</v>
      </c>
      <c r="H91" s="511">
        <f>+'q8'!$G$18</f>
        <v>11844</v>
      </c>
      <c r="I91" s="511">
        <f>+'q8'!$H$18</f>
        <v>11538</v>
      </c>
      <c r="J91" s="511">
        <f>+'q8'!$I$18</f>
        <v>11586</v>
      </c>
      <c r="K91" s="511">
        <f>+'q8'!$J$18</f>
        <v>11446</v>
      </c>
      <c r="L91" s="511">
        <f>+'q8'!$K$18</f>
        <v>11845</v>
      </c>
      <c r="M91" s="511">
        <f>+'q8'!$L$18</f>
        <v>12118.999999999998</v>
      </c>
      <c r="Z91" s="499" t="s">
        <v>863</v>
      </c>
      <c r="AU91" s="526"/>
      <c r="AV91" s="526"/>
      <c r="AW91" s="526"/>
      <c r="AX91" s="526"/>
      <c r="BQ91" s="526"/>
      <c r="BR91" s="526"/>
      <c r="BS91" s="526"/>
      <c r="BT91" s="526"/>
      <c r="CK91" s="526"/>
      <c r="CL91" s="526"/>
      <c r="CM91" s="526"/>
      <c r="CN91" s="526"/>
    </row>
    <row r="92" spans="1:97" ht="12.75" customHeight="1">
      <c r="A92" s="500"/>
      <c r="B92" s="500" t="str">
        <f>+'q8'!$A$19</f>
        <v>Viseu Dão Lafões</v>
      </c>
      <c r="C92" s="511">
        <f>+'q8'!$B$19</f>
        <v>7951</v>
      </c>
      <c r="D92" s="511">
        <f>+'q8'!$C$19</f>
        <v>8035</v>
      </c>
      <c r="E92" s="511">
        <f>+'q8'!$D$19</f>
        <v>8168</v>
      </c>
      <c r="F92" s="511">
        <f>+'q8'!$E$19</f>
        <v>8259</v>
      </c>
      <c r="G92" s="511">
        <f>+'q8'!$F$19</f>
        <v>8311</v>
      </c>
      <c r="H92" s="511">
        <f>+'q8'!$G$19</f>
        <v>8351</v>
      </c>
      <c r="I92" s="511">
        <f>+'q8'!$H$19</f>
        <v>8174</v>
      </c>
      <c r="J92" s="511">
        <f>+'q8'!$I$19</f>
        <v>8205</v>
      </c>
      <c r="K92" s="511">
        <f>+'q8'!$J$19</f>
        <v>8152</v>
      </c>
      <c r="L92" s="511">
        <f>+'q8'!$K$19</f>
        <v>8478</v>
      </c>
      <c r="M92" s="511">
        <f>+'q8'!$L$19</f>
        <v>8638</v>
      </c>
      <c r="Z92" s="499" t="s">
        <v>341</v>
      </c>
      <c r="AA92" s="499" t="str">
        <f>+AH73</f>
        <v>, +</v>
      </c>
      <c r="AU92" s="526"/>
      <c r="AV92" s="526"/>
      <c r="AW92" s="499" t="str">
        <f>IF($AR$77="Norte",$AV$82,IF($AR$77="Centro",$AV$82,IF($AR$77="Oeste e Vale do Tejo",$AV$82,IF($AR$77="Alentejo",$AV$82,$AV$88))))</f>
        <v>EMPRESAS
NUTS II Grande Lisboa: 59.573 (20,5% do Continente; 2ª região de 7)
Esta NUTS II coincide com a NUTS III.</v>
      </c>
      <c r="AX92" s="526"/>
      <c r="BQ92" s="526"/>
      <c r="BR92" s="526"/>
      <c r="BS92" s="772" t="str">
        <f>IF($BN$77="Norte",$BR$82,IF($BN$77="Centro",$BR$82,IF($BN$77="Oeste e Vale do Tejo",$BR$82,IF($BN$77="Alentejo",$BR$82,$BR$88))))</f>
        <v>PESSOAS AO SERVIÇO
NUTS II Grande Lisboa: 969.558 (27,8% do Continente; 2ª região de 7)
Esta NUTS II coincide com a NUTS III.</v>
      </c>
      <c r="BT92" s="772"/>
      <c r="BU92" s="772"/>
      <c r="BV92" s="772"/>
      <c r="BW92" s="772"/>
      <c r="BX92" s="772"/>
      <c r="BY92" s="772"/>
      <c r="CK92" s="526"/>
      <c r="CL92" s="526"/>
      <c r="CM92" s="772" t="str">
        <f>IF($CH$77="Norte",$CL$82,IF($CH$77="Centro",$CL$82,IF($CH$77="Oeste e Vale do Tejo",$CL$82,IF($CH$77="Alentejo",$CL$82,$CL$88))))</f>
        <v>REMUNERAÇÃO BASE
NUTS II Grande Lisboa: 1.506 euros (23,5% que no Continente; 1ª região de 7)
Esta NUTS II coincide com a NUTS III.</v>
      </c>
      <c r="CN92" s="772"/>
      <c r="CO92" s="772"/>
      <c r="CP92" s="772"/>
      <c r="CQ92" s="772"/>
      <c r="CR92" s="772"/>
      <c r="CS92" s="772"/>
    </row>
    <row r="93" spans="1:97">
      <c r="A93" s="500"/>
      <c r="B93" s="500" t="str">
        <f>+'q8'!$A$20</f>
        <v>Beira Baixa</v>
      </c>
      <c r="C93" s="511">
        <f>+'q8'!$B$20</f>
        <v>3267</v>
      </c>
      <c r="D93" s="511">
        <f>+'q8'!$C$20</f>
        <v>3287</v>
      </c>
      <c r="E93" s="511">
        <f>+'q8'!$D$20</f>
        <v>3291</v>
      </c>
      <c r="F93" s="511">
        <f>+'q8'!$E$20</f>
        <v>3288</v>
      </c>
      <c r="G93" s="511">
        <f>+'q8'!$F$20</f>
        <v>3208</v>
      </c>
      <c r="H93" s="511">
        <f>+'q8'!$G$20</f>
        <v>3244</v>
      </c>
      <c r="I93" s="511">
        <f>+'q8'!$H$20</f>
        <v>3195</v>
      </c>
      <c r="J93" s="511">
        <f>+'q8'!$I$20</f>
        <v>3163</v>
      </c>
      <c r="K93" s="511">
        <f>+'q8'!$J$20</f>
        <v>3161</v>
      </c>
      <c r="L93" s="511">
        <f>+'q8'!$K$20</f>
        <v>3245</v>
      </c>
      <c r="M93" s="511">
        <f>+'q8'!$L$20</f>
        <v>3270</v>
      </c>
      <c r="Z93" s="499" t="s">
        <v>342</v>
      </c>
      <c r="AA93" s="522" t="str">
        <f>TEXT(AI73,"##.###,0")</f>
        <v>389,2</v>
      </c>
      <c r="AQ93" s="521" t="s">
        <v>601</v>
      </c>
      <c r="AV93" s="526"/>
      <c r="AW93" s="526"/>
      <c r="AX93" s="526"/>
      <c r="AY93" s="526"/>
      <c r="AZ93" s="526"/>
      <c r="BM93" s="521" t="s">
        <v>601</v>
      </c>
      <c r="BR93" s="526"/>
      <c r="BS93" s="772"/>
      <c r="BT93" s="772"/>
      <c r="BU93" s="772"/>
      <c r="BV93" s="772"/>
      <c r="BW93" s="772"/>
      <c r="BX93" s="772"/>
      <c r="BY93" s="772"/>
      <c r="CG93" s="521" t="s">
        <v>601</v>
      </c>
      <c r="CL93" s="526"/>
      <c r="CM93" s="772"/>
      <c r="CN93" s="772"/>
      <c r="CO93" s="772"/>
      <c r="CP93" s="772"/>
      <c r="CQ93" s="772"/>
      <c r="CR93" s="772"/>
      <c r="CS93" s="772"/>
    </row>
    <row r="94" spans="1:97">
      <c r="A94" s="500"/>
      <c r="B94" s="500" t="str">
        <f>+'q8'!$A$21</f>
        <v>Beiras e Serra da Estrela</v>
      </c>
      <c r="C94" s="511">
        <f>+'q8'!$B$21</f>
        <v>6958</v>
      </c>
      <c r="D94" s="511">
        <f>+'q8'!$C$21</f>
        <v>7049</v>
      </c>
      <c r="E94" s="511">
        <f>+'q8'!$D$21</f>
        <v>7009</v>
      </c>
      <c r="F94" s="511">
        <f>+'q8'!$E$21</f>
        <v>7023</v>
      </c>
      <c r="G94" s="511">
        <f>+'q8'!$F$21</f>
        <v>7033</v>
      </c>
      <c r="H94" s="511">
        <f>+'q8'!$G$21</f>
        <v>6963</v>
      </c>
      <c r="I94" s="511">
        <f>+'q8'!$H$21</f>
        <v>6642</v>
      </c>
      <c r="J94" s="511">
        <f>+'q8'!$I$21</f>
        <v>6613</v>
      </c>
      <c r="K94" s="511">
        <f>+'q8'!$J$21</f>
        <v>6453</v>
      </c>
      <c r="L94" s="511">
        <f>+'q8'!$K$21</f>
        <v>6633</v>
      </c>
      <c r="M94" s="511">
        <f>+'q8'!$L$21</f>
        <v>6677</v>
      </c>
      <c r="Z94" s="499" t="s">
        <v>856</v>
      </c>
      <c r="AB94" s="499" t="s">
        <v>442</v>
      </c>
      <c r="AQ94" s="499" t="s">
        <v>612</v>
      </c>
      <c r="AV94" s="526"/>
      <c r="AW94" s="526"/>
      <c r="AX94" s="526"/>
      <c r="AY94" s="526"/>
      <c r="AZ94" s="526"/>
      <c r="BM94" s="499" t="s">
        <v>185</v>
      </c>
      <c r="BR94" s="526"/>
      <c r="BS94" s="772"/>
      <c r="BT94" s="772"/>
      <c r="BU94" s="772"/>
      <c r="BV94" s="772"/>
      <c r="BW94" s="772"/>
      <c r="BX94" s="772"/>
      <c r="BY94" s="772"/>
      <c r="CG94" s="499" t="s">
        <v>626</v>
      </c>
      <c r="CL94" s="526"/>
      <c r="CM94" s="772"/>
      <c r="CN94" s="772"/>
      <c r="CO94" s="772"/>
      <c r="CP94" s="772"/>
      <c r="CQ94" s="772"/>
      <c r="CR94" s="772"/>
      <c r="CS94" s="772"/>
    </row>
    <row r="95" spans="1:97" ht="12.75" customHeight="1">
      <c r="A95" s="500"/>
      <c r="B95" s="500" t="str">
        <f>+'q8'!$A$23</f>
        <v>Oeste</v>
      </c>
      <c r="C95" s="511">
        <f>+'q8'!$B$23</f>
        <v>12085</v>
      </c>
      <c r="D95" s="511">
        <f>+'q8'!$C$23</f>
        <v>12157</v>
      </c>
      <c r="E95" s="511">
        <f>+'q8'!$D$23</f>
        <v>12279</v>
      </c>
      <c r="F95" s="511">
        <f>+'q8'!$E$23</f>
        <v>12458</v>
      </c>
      <c r="G95" s="511">
        <f>+'q8'!$F$23</f>
        <v>12690</v>
      </c>
      <c r="H95" s="511">
        <f>+'q8'!$G$23</f>
        <v>12776</v>
      </c>
      <c r="I95" s="511">
        <f>+'q8'!$H$23</f>
        <v>12579</v>
      </c>
      <c r="J95" s="511">
        <f>+'q8'!$I$23</f>
        <v>12676</v>
      </c>
      <c r="K95" s="511">
        <f>+'q8'!$J$23</f>
        <v>12522</v>
      </c>
      <c r="L95" s="511">
        <f>+'q8'!$K$23</f>
        <v>13106</v>
      </c>
      <c r="M95" s="511">
        <f>+'q8'!$L$23</f>
        <v>13372</v>
      </c>
      <c r="AQ95" s="499" t="s">
        <v>602</v>
      </c>
      <c r="AR95" s="499">
        <f>+$AR$6</f>
        <v>2023</v>
      </c>
      <c r="AV95" s="526"/>
      <c r="AW95" s="526"/>
      <c r="AX95" s="526"/>
      <c r="AY95" s="526"/>
      <c r="AZ95" s="526"/>
      <c r="BM95" s="499" t="s">
        <v>622</v>
      </c>
      <c r="BN95" s="499">
        <f>+$BM$6</f>
        <v>2023</v>
      </c>
      <c r="BR95" s="526"/>
      <c r="BS95" s="772"/>
      <c r="BT95" s="772"/>
      <c r="BU95" s="772"/>
      <c r="BV95" s="772"/>
      <c r="BW95" s="772"/>
      <c r="BX95" s="772"/>
      <c r="BY95" s="772"/>
      <c r="CG95" s="499" t="s">
        <v>624</v>
      </c>
      <c r="CH95" s="499">
        <f>+$CG$6</f>
        <v>2023</v>
      </c>
      <c r="CL95" s="526"/>
      <c r="CM95" s="772"/>
      <c r="CN95" s="772"/>
      <c r="CO95" s="772"/>
      <c r="CP95" s="772"/>
      <c r="CQ95" s="772"/>
      <c r="CR95" s="772"/>
      <c r="CS95" s="772"/>
    </row>
    <row r="96" spans="1:97">
      <c r="A96" s="500"/>
      <c r="B96" s="500" t="str">
        <f>+'q8'!$A$24</f>
        <v>Médio Tejo</v>
      </c>
      <c r="C96" s="511">
        <f>+'q8'!$B$24</f>
        <v>7290</v>
      </c>
      <c r="D96" s="511">
        <f>+'q8'!$C$24</f>
        <v>7236</v>
      </c>
      <c r="E96" s="511">
        <f>+'q8'!$D$24</f>
        <v>7301</v>
      </c>
      <c r="F96" s="511">
        <f>+'q8'!$E$24</f>
        <v>7236</v>
      </c>
      <c r="G96" s="511">
        <f>+'q8'!$F$24</f>
        <v>7229</v>
      </c>
      <c r="H96" s="511">
        <f>+'q8'!$G$24</f>
        <v>7144</v>
      </c>
      <c r="I96" s="511">
        <f>+'q8'!$H$24</f>
        <v>6955</v>
      </c>
      <c r="J96" s="511">
        <f>+'q8'!$I$24</f>
        <v>6887</v>
      </c>
      <c r="K96" s="511">
        <f>+'q8'!$J$24</f>
        <v>6863</v>
      </c>
      <c r="L96" s="511">
        <f>+'q8'!$K$24</f>
        <v>7027</v>
      </c>
      <c r="M96" s="511">
        <f>+'q8'!$L$24</f>
        <v>7144</v>
      </c>
      <c r="AQ96" s="499" t="s">
        <v>613</v>
      </c>
      <c r="AR96" s="499" t="str">
        <f>+$R$4</f>
        <v>Grande Lisboa</v>
      </c>
      <c r="AS96" s="499" t="s">
        <v>614</v>
      </c>
      <c r="AV96" s="526"/>
      <c r="AW96" s="526"/>
      <c r="AX96" s="526"/>
      <c r="AY96" s="526"/>
      <c r="AZ96" s="526"/>
      <c r="BM96" s="499" t="s">
        <v>613</v>
      </c>
      <c r="BN96" s="499" t="str">
        <f>+$R$4</f>
        <v>Grande Lisboa</v>
      </c>
      <c r="BO96" s="499" t="s">
        <v>614</v>
      </c>
      <c r="BR96" s="526"/>
      <c r="BS96" s="526"/>
      <c r="BT96" s="526"/>
      <c r="BU96" s="526"/>
      <c r="BV96" s="526"/>
      <c r="CG96" s="499" t="s">
        <v>613</v>
      </c>
      <c r="CH96" s="499" t="str">
        <f>+$R$4</f>
        <v>Grande Lisboa</v>
      </c>
      <c r="CI96" s="499" t="s">
        <v>614</v>
      </c>
      <c r="CL96" s="526"/>
      <c r="CM96" s="772"/>
      <c r="CN96" s="772"/>
      <c r="CO96" s="772"/>
      <c r="CP96" s="772"/>
      <c r="CQ96" s="772"/>
      <c r="CR96" s="772"/>
      <c r="CS96" s="772"/>
    </row>
    <row r="97" spans="1:97">
      <c r="A97" s="500"/>
      <c r="B97" s="500" t="str">
        <f>+'q8'!$A$25</f>
        <v>Lezíria do Tejo</v>
      </c>
      <c r="C97" s="511">
        <f>+'q8'!$B$25</f>
        <v>7534</v>
      </c>
      <c r="D97" s="511">
        <f>+'q8'!$C$25</f>
        <v>7565</v>
      </c>
      <c r="E97" s="511">
        <f>+'q8'!$D$25</f>
        <v>7580</v>
      </c>
      <c r="F97" s="511">
        <f>+'q8'!$E$25</f>
        <v>7623</v>
      </c>
      <c r="G97" s="511">
        <f>+'q8'!$F$25</f>
        <v>7631</v>
      </c>
      <c r="H97" s="511">
        <f>+'q8'!$G$25</f>
        <v>7613</v>
      </c>
      <c r="I97" s="511">
        <f>+'q8'!$H$25</f>
        <v>7382</v>
      </c>
      <c r="J97" s="511">
        <f>+'q8'!$I$25</f>
        <v>7339</v>
      </c>
      <c r="K97" s="511">
        <f>+'q8'!$J$25</f>
        <v>7112</v>
      </c>
      <c r="L97" s="511">
        <f>+'q8'!$K$25</f>
        <v>7366</v>
      </c>
      <c r="M97" s="511">
        <f>+'q8'!$L$25</f>
        <v>7492.0000000000018</v>
      </c>
      <c r="AQ97" s="499">
        <f>INDEX($AR$38:$AX$44,MATCH($AR$77,$AR$38:$AR$44,0),3)</f>
        <v>70103.999999999985</v>
      </c>
      <c r="AR97" s="499" t="str">
        <f>TEXT(AQ97,"##.###")</f>
        <v>70.104</v>
      </c>
      <c r="AS97" s="499" t="s">
        <v>511</v>
      </c>
      <c r="AV97" s="526"/>
      <c r="AW97" s="526"/>
      <c r="AX97" s="526"/>
      <c r="AY97" s="526"/>
      <c r="AZ97" s="526"/>
      <c r="BM97" s="499">
        <f>INDEX($BM$38:$BS$44,MATCH($BN$77,$BM$38:$BM$44,0),3)</f>
        <v>928991</v>
      </c>
      <c r="BN97" s="499" t="str">
        <f>TEXT(BM97,"##.###")</f>
        <v>928.991</v>
      </c>
      <c r="BO97" s="499" t="s">
        <v>511</v>
      </c>
      <c r="BR97" s="526"/>
      <c r="BS97" s="526"/>
      <c r="BT97" s="526"/>
      <c r="BU97" s="526"/>
      <c r="BV97" s="526"/>
      <c r="CG97" s="499">
        <f>INDEX($CG$38:$CM$44,MATCH($CH$77,$CG$38:$CG$44,0),3)</f>
        <v>1817.17</v>
      </c>
      <c r="CH97" s="499" t="str">
        <f>TEXT(CG97,"##.###")</f>
        <v>1.817</v>
      </c>
      <c r="CI97" s="499" t="s">
        <v>334</v>
      </c>
      <c r="CL97" s="526"/>
      <c r="CM97" s="526"/>
      <c r="CN97" s="526"/>
      <c r="CO97" s="526"/>
      <c r="CP97" s="526"/>
    </row>
    <row r="98" spans="1:97">
      <c r="A98" s="500"/>
      <c r="B98" s="500" t="str">
        <f>+'q8'!$A$26</f>
        <v>Grande Lisboa</v>
      </c>
      <c r="C98" s="511">
        <f>+'q8'!$B$26</f>
        <v>64587</v>
      </c>
      <c r="D98" s="511">
        <f>+'q8'!$C$26</f>
        <v>65289</v>
      </c>
      <c r="E98" s="511">
        <f>+'q8'!$D$26</f>
        <v>65847</v>
      </c>
      <c r="F98" s="511">
        <f>+'q8'!$E$26</f>
        <v>66220</v>
      </c>
      <c r="G98" s="511">
        <f>+'q8'!$F$26</f>
        <v>66764</v>
      </c>
      <c r="H98" s="511">
        <f>+'q8'!$G$26</f>
        <v>67989</v>
      </c>
      <c r="I98" s="511">
        <f>+'q8'!$H$26</f>
        <v>66115</v>
      </c>
      <c r="J98" s="511">
        <f>+'q8'!$I$26</f>
        <v>67101</v>
      </c>
      <c r="K98" s="511">
        <f>+'q8'!$J$26</f>
        <v>64927</v>
      </c>
      <c r="L98" s="511">
        <f>+'q8'!$K$26</f>
        <v>68270</v>
      </c>
      <c r="M98" s="511">
        <f>+'q8'!$L$26</f>
        <v>70103.999999999985</v>
      </c>
      <c r="AQ98" s="499">
        <f>INDEX($AR$38:$AX$44,MATCH($AR$77,$AR$38:$AR$44,0),5)</f>
        <v>20.596772866695652</v>
      </c>
      <c r="AR98" s="499" t="str">
        <f>TEXT(AQ98,"##.###,0")</f>
        <v>20,6</v>
      </c>
      <c r="AT98" s="689"/>
      <c r="AU98" s="689"/>
      <c r="AV98" s="526"/>
      <c r="AW98" s="526"/>
      <c r="AX98" s="526"/>
      <c r="AY98" s="526"/>
      <c r="AZ98" s="526"/>
      <c r="BM98" s="499">
        <f>INDEX($BM$38:$BS$44,MATCH($BN$77,$BM$38:$BM$44,0),5)</f>
        <v>28.184260712701626</v>
      </c>
      <c r="BN98" s="499" t="str">
        <f>TEXT(BM98,"##.###,0")</f>
        <v>28,2</v>
      </c>
      <c r="BP98" s="689"/>
      <c r="BQ98" s="689"/>
      <c r="BR98" s="526"/>
      <c r="BS98" s="526"/>
      <c r="BT98" s="526"/>
      <c r="BU98" s="526"/>
      <c r="BV98" s="526"/>
      <c r="CG98" s="499">
        <f>INDEX($CG$38:$CM$44,MATCH($CH$77,$CG$38:$CG$44,0),5)</f>
        <v>23.898517720535082</v>
      </c>
      <c r="CH98" s="499" t="str">
        <f>TEXT(CG98,"##.###,0")</f>
        <v>23,9</v>
      </c>
      <c r="CJ98" s="689"/>
      <c r="CK98" s="689"/>
      <c r="CL98" s="526"/>
      <c r="CM98" s="526"/>
      <c r="CN98" s="526"/>
      <c r="CO98" s="526"/>
      <c r="CP98" s="526"/>
    </row>
    <row r="99" spans="1:97">
      <c r="A99" s="500"/>
      <c r="B99" s="500" t="str">
        <f>+'q8'!$A$27</f>
        <v>Península de Setúbal</v>
      </c>
      <c r="C99" s="511">
        <f>+'q8'!$B$27</f>
        <v>16429</v>
      </c>
      <c r="D99" s="511">
        <f>+'q8'!$C$27</f>
        <v>16417</v>
      </c>
      <c r="E99" s="511">
        <f>+'q8'!$D$27</f>
        <v>16509</v>
      </c>
      <c r="F99" s="511">
        <f>+'q8'!$E$27</f>
        <v>16639</v>
      </c>
      <c r="G99" s="511">
        <f>+'q8'!$F$27</f>
        <v>16803</v>
      </c>
      <c r="H99" s="511">
        <f>+'q8'!$G$27</f>
        <v>16960</v>
      </c>
      <c r="I99" s="511">
        <f>+'q8'!$H$27</f>
        <v>16656</v>
      </c>
      <c r="J99" s="511">
        <f>+'q8'!$I$27</f>
        <v>17101</v>
      </c>
      <c r="K99" s="511">
        <f>+'q8'!$J$27</f>
        <v>16860</v>
      </c>
      <c r="L99" s="511">
        <f>+'q8'!$K$27</f>
        <v>17786</v>
      </c>
      <c r="M99" s="511">
        <f>+'q8'!$L$27</f>
        <v>18085</v>
      </c>
      <c r="AQ99" s="499" t="s">
        <v>618</v>
      </c>
      <c r="AT99" s="689"/>
      <c r="AU99" s="689"/>
      <c r="AV99" s="691" t="s">
        <v>619</v>
      </c>
      <c r="BM99" s="499" t="s">
        <v>618</v>
      </c>
      <c r="BP99" s="689"/>
      <c r="BQ99" s="689"/>
      <c r="BR99" s="691" t="s">
        <v>619</v>
      </c>
      <c r="CG99" s="499" t="s">
        <v>625</v>
      </c>
      <c r="CJ99" s="689"/>
      <c r="CK99" s="689"/>
      <c r="CL99" s="691" t="s">
        <v>619</v>
      </c>
    </row>
    <row r="100" spans="1:97" ht="12.75" customHeight="1">
      <c r="A100" s="500"/>
      <c r="B100" s="500" t="str">
        <f>+'q8'!$A$29</f>
        <v>Alentejo Litoral</v>
      </c>
      <c r="C100" s="511">
        <f>+'q8'!$B$29</f>
        <v>3087</v>
      </c>
      <c r="D100" s="511">
        <f>+'q8'!$C$29</f>
        <v>3079</v>
      </c>
      <c r="E100" s="511">
        <f>+'q8'!$D$29</f>
        <v>3085</v>
      </c>
      <c r="F100" s="511">
        <f>+'q8'!$E$29</f>
        <v>3145</v>
      </c>
      <c r="G100" s="511">
        <f>+'q8'!$F$29</f>
        <v>3176</v>
      </c>
      <c r="H100" s="511">
        <f>+'q8'!$G$29</f>
        <v>3187</v>
      </c>
      <c r="I100" s="511">
        <f>+'q8'!$H$29</f>
        <v>3177</v>
      </c>
      <c r="J100" s="511">
        <f>+'q8'!$I$29</f>
        <v>3249</v>
      </c>
      <c r="K100" s="511">
        <f>+'q8'!$J$29</f>
        <v>3219</v>
      </c>
      <c r="L100" s="511">
        <f>+'q8'!$K$29</f>
        <v>3368</v>
      </c>
      <c r="M100" s="511">
        <f>+'q8'!$L$29</f>
        <v>3451</v>
      </c>
      <c r="AQ100" s="499">
        <f>INDEX($AR$38:$AX$44,MATCH($AR$77,$AR$38:$AR$44,0),7)</f>
        <v>2</v>
      </c>
      <c r="AT100" s="689"/>
      <c r="AU100" s="689"/>
      <c r="AV100" s="771" t="str">
        <f>CONCATENATE(AQ94,CHAR(10),AQ96,AR96,AS96,AR97,AS97,AR98,AQ99,AQ100,AQ101,CHAR(10),AS101,AQ102,AS102,AQ103,AR103,AS103,AR104,AS104,AT104,AU104,AR105,AS105,AT105,AU105,AQ106,AR106,AQ107,AR107,AR108,AS108,AR109,AS109,AT109,AU109)</f>
        <v>ESTABELECIMENTOS
NUTS II Grande Lisboa: 70.104 (20,6% do Continente; 2ª região de 7)
Sub-regiões NUTS III: Máx. da NUTS II - Grande Lisboa - 70.104 (100,0% do Grande Lisboa); Min. da NUTS II - Grande Lisboa - 70.104 (100,0% do Grande Lisboa).</v>
      </c>
      <c r="AW100" s="771"/>
      <c r="AX100" s="771"/>
      <c r="AY100" s="771"/>
      <c r="AZ100" s="771"/>
      <c r="BM100" s="499">
        <f>INDEX($BM$38:$BS$44,MATCH($BN$77,$BM$38:$BM$44,0),7)</f>
        <v>2</v>
      </c>
      <c r="BP100" s="689"/>
      <c r="BQ100" s="689"/>
      <c r="BR100" s="771" t="str">
        <f>CONCATENATE(BM94,CHAR(10),BM96,BN96,BO96,BN97,BO97,BN98,BM99,BM100,BM101,CHAR(10),BO101,BM102,BO102,BM103,BN103,BO103,BN104,BO104,BP104,BQ104,BN105,BO105,BP105,BQ105,BM106,BN106,BM107,BN107,BN108,BO108,BN109,BO109,BP109,BQ109)</f>
        <v>TCO
NUTS II Grande Lisboa: 928.991 (28,2% do Continente; 2ª região de 7)
Sub-regiões NUTS III: Máx. da NUTS II - Grande Lisboa - 928.991 (100,0% do Grande Lisboa); Min. da NUTS II - Grande Lisboa - 928.991 (100,0% do Grande Lisboa).</v>
      </c>
      <c r="BS100" s="771"/>
      <c r="BT100" s="771"/>
      <c r="BU100" s="771"/>
      <c r="BV100" s="771"/>
      <c r="BW100" s="771"/>
      <c r="BX100" s="771"/>
      <c r="CG100" s="499">
        <f>INDEX($CG$38:$CM$44,MATCH($CH$77,$CG$38:$CG$44,0),7)</f>
        <v>1</v>
      </c>
      <c r="CJ100" s="689"/>
      <c r="CK100" s="689"/>
      <c r="CL100" s="771" t="str">
        <f>CONCATENATE(CG94,CHAR(10),CG96,CH96,CI96,CH97,CI97,CH98,CG99,CG100,CG101,CHAR(10),CI101,CG102,CI102,CG103,CH103,CI103,CH104,CI104,CJ104,CK104,CH105,CI105,CJ105,CK105,CG106,CH106,CG107,CH107,CH108,CI108,CH109,CI109,CJ109,CK109)</f>
        <v>REMUNERAÇÃO GANHO
NUTS II Grande Lisboa: 1.817 euros (23,9% que no Continente; 1ª região de 7)
Sub-regiões NUTS III: Máx. da NUTS II - Grande Lisboa - 1.817 euros (+0,0% da NUTS II); Min. da NUTS II - Grande Lisboa - 1.817 euros (,0% da NUTS II).</v>
      </c>
      <c r="CM100" s="771"/>
      <c r="CN100" s="771"/>
      <c r="CO100" s="771"/>
      <c r="CP100" s="771"/>
      <c r="CQ100" s="771"/>
      <c r="CR100" s="771"/>
      <c r="CS100" s="771"/>
    </row>
    <row r="101" spans="1:97">
      <c r="A101" s="500"/>
      <c r="B101" s="500" t="str">
        <f>+'q8'!$A$30</f>
        <v>Baixo Alentejo</v>
      </c>
      <c r="C101" s="511">
        <f>+'q8'!$B$30</f>
        <v>3977</v>
      </c>
      <c r="D101" s="511">
        <f>+'q8'!$C$30</f>
        <v>4090</v>
      </c>
      <c r="E101" s="511">
        <f>+'q8'!$D$30</f>
        <v>4123</v>
      </c>
      <c r="F101" s="511">
        <f>+'q8'!$E$30</f>
        <v>4152</v>
      </c>
      <c r="G101" s="511">
        <f>+'q8'!$F$30</f>
        <v>4217</v>
      </c>
      <c r="H101" s="511">
        <f>+'q8'!$G$30</f>
        <v>4208</v>
      </c>
      <c r="I101" s="511">
        <f>+'q8'!$H$30</f>
        <v>4100</v>
      </c>
      <c r="J101" s="511">
        <f>+'q8'!$I$30</f>
        <v>4108</v>
      </c>
      <c r="K101" s="511">
        <f>+'q8'!$J$30</f>
        <v>4065</v>
      </c>
      <c r="L101" s="511">
        <f>+'q8'!$K$30</f>
        <v>4263</v>
      </c>
      <c r="M101" s="511">
        <f>+'q8'!$L$30</f>
        <v>4493</v>
      </c>
      <c r="AQ101" s="499" t="s">
        <v>605</v>
      </c>
      <c r="AT101" s="689"/>
      <c r="AU101" s="689"/>
      <c r="AV101" s="771"/>
      <c r="AW101" s="771"/>
      <c r="AX101" s="771"/>
      <c r="AY101" s="771"/>
      <c r="AZ101" s="771"/>
      <c r="BM101" s="499" t="s">
        <v>605</v>
      </c>
      <c r="BP101" s="689"/>
      <c r="BQ101" s="689"/>
      <c r="BR101" s="771"/>
      <c r="BS101" s="771"/>
      <c r="BT101" s="771"/>
      <c r="BU101" s="771"/>
      <c r="BV101" s="771"/>
      <c r="BW101" s="771"/>
      <c r="BX101" s="771"/>
      <c r="CG101" s="499" t="s">
        <v>605</v>
      </c>
      <c r="CJ101" s="689"/>
      <c r="CK101" s="689"/>
      <c r="CL101" s="771"/>
      <c r="CM101" s="771"/>
      <c r="CN101" s="771"/>
      <c r="CO101" s="771"/>
      <c r="CP101" s="771"/>
      <c r="CQ101" s="771"/>
      <c r="CR101" s="771"/>
      <c r="CS101" s="771"/>
    </row>
    <row r="102" spans="1:97">
      <c r="A102" s="500"/>
      <c r="B102" s="500" t="str">
        <f>+'q8'!$A$31</f>
        <v>Alto Alentejo</v>
      </c>
      <c r="C102" s="511">
        <f>+'q8'!$B$31</f>
        <v>3471</v>
      </c>
      <c r="D102" s="511">
        <f>+'q8'!$C$31</f>
        <v>3518</v>
      </c>
      <c r="E102" s="511">
        <f>+'q8'!$D$31</f>
        <v>3504</v>
      </c>
      <c r="F102" s="511">
        <f>+'q8'!$E$31</f>
        <v>3523</v>
      </c>
      <c r="G102" s="511">
        <f>+'q8'!$F$31</f>
        <v>3473</v>
      </c>
      <c r="H102" s="511">
        <f>+'q8'!$G$31</f>
        <v>3444</v>
      </c>
      <c r="I102" s="511">
        <f>+'q8'!$H$31</f>
        <v>3298</v>
      </c>
      <c r="J102" s="511">
        <f>+'q8'!$I$31</f>
        <v>3302</v>
      </c>
      <c r="K102" s="511">
        <f>+'q8'!$J$31</f>
        <v>3192</v>
      </c>
      <c r="L102" s="511">
        <f>+'q8'!$K$31</f>
        <v>3433</v>
      </c>
      <c r="M102" s="511">
        <f>+'q8'!$L$31</f>
        <v>3430.0000000000005</v>
      </c>
      <c r="AQ102" s="499" t="s">
        <v>606</v>
      </c>
      <c r="AT102" s="689"/>
      <c r="AU102" s="689"/>
      <c r="AV102" s="771"/>
      <c r="AW102" s="771"/>
      <c r="AX102" s="771"/>
      <c r="AY102" s="771"/>
      <c r="AZ102" s="771"/>
      <c r="BM102" s="499" t="s">
        <v>606</v>
      </c>
      <c r="BP102" s="689"/>
      <c r="BQ102" s="689"/>
      <c r="BR102" s="771"/>
      <c r="BS102" s="771"/>
      <c r="BT102" s="771"/>
      <c r="BU102" s="771"/>
      <c r="BV102" s="771"/>
      <c r="BW102" s="771"/>
      <c r="BX102" s="771"/>
      <c r="CG102" s="499" t="s">
        <v>606</v>
      </c>
      <c r="CJ102" s="689"/>
      <c r="CK102" s="689"/>
      <c r="CL102" s="771"/>
      <c r="CM102" s="771"/>
      <c r="CN102" s="771"/>
      <c r="CO102" s="771"/>
      <c r="CP102" s="771"/>
      <c r="CQ102" s="771"/>
      <c r="CR102" s="771"/>
      <c r="CS102" s="771"/>
    </row>
    <row r="103" spans="1:97">
      <c r="A103" s="500"/>
      <c r="B103" s="500" t="str">
        <f>+'q8'!$A$32</f>
        <v>Alentejo Central</v>
      </c>
      <c r="C103" s="511">
        <f>+'q8'!$B$32</f>
        <v>5978</v>
      </c>
      <c r="D103" s="511">
        <f>+'q8'!$C$32</f>
        <v>6131</v>
      </c>
      <c r="E103" s="511">
        <f>+'q8'!$D$32</f>
        <v>6132</v>
      </c>
      <c r="F103" s="511">
        <f>+'q8'!$E$32</f>
        <v>6087</v>
      </c>
      <c r="G103" s="511">
        <f>+'q8'!$F$32</f>
        <v>6073</v>
      </c>
      <c r="H103" s="511">
        <f>+'q8'!$G$32</f>
        <v>6029</v>
      </c>
      <c r="I103" s="511">
        <f>+'q8'!$H$32</f>
        <v>5879</v>
      </c>
      <c r="J103" s="511">
        <f>+'q8'!$I$32</f>
        <v>5902</v>
      </c>
      <c r="K103" s="511">
        <f>+'q8'!$J$32</f>
        <v>5608</v>
      </c>
      <c r="L103" s="511">
        <f>+'q8'!$K$32</f>
        <v>6051</v>
      </c>
      <c r="M103" s="511">
        <f>+'q8'!$L$32</f>
        <v>6137</v>
      </c>
      <c r="AQ103" s="499" t="str">
        <f>IF($AR$77="Norte",$BF$38,IF($AR$77="Centro",$BF$39,IF($AR$77="Oeste e Vale do Tejo",$BF$40,IF($AR$77="Grande Lisboa",$BF$41,IF($AR$77="Península de Setúbal",$BF$42,IF($AR$77="Alentejo",$BF$43,IF($AR$77="Algarve",$BF$44," ")))))))</f>
        <v>Grande Lisboa</v>
      </c>
      <c r="AR103" s="499" t="s">
        <v>616</v>
      </c>
      <c r="AT103" s="689"/>
      <c r="AU103" s="689"/>
      <c r="AV103" s="771"/>
      <c r="AW103" s="771"/>
      <c r="AX103" s="771"/>
      <c r="AY103" s="771"/>
      <c r="AZ103" s="771"/>
      <c r="BM103" s="499" t="str">
        <f>IF($BN$77="Norte",$CA$38,IF($BN$77="Centro",$CA$39,IF($BN$77="Oeste e Vale do Tejo",$CA$40,IF($BN$77="Grande Lisboa",$CA$41,IF($BN$77="Península de Setúbal",$CA$42,IF($BN$77="Alentejo",$CA$43,IF($BN$77="Algarve",$CA$44," ")))))))</f>
        <v>Grande Lisboa</v>
      </c>
      <c r="BN103" s="499" t="s">
        <v>616</v>
      </c>
      <c r="BP103" s="689"/>
      <c r="BQ103" s="689"/>
      <c r="BR103" s="771"/>
      <c r="BS103" s="771"/>
      <c r="BT103" s="771"/>
      <c r="BU103" s="771"/>
      <c r="BV103" s="771"/>
      <c r="BW103" s="771"/>
      <c r="BX103" s="771"/>
      <c r="CG103" s="499" t="str">
        <f>IF($CH$77="Norte",$CW$38,IF($CH$77="Centro",$CW$39,IF($CH$77="Oeste e Vale do Tejo",$CW$40,IF($CH$77="Grande Lisboa",$CW$41,IF($CH$77="Península de Setúbal",$CW$42,IF($CH$77="Alentejo",$CW$43,IF($CH$77="Algarve",$CW$44," ")))))))</f>
        <v>Grande Lisboa</v>
      </c>
      <c r="CH103" s="499" t="s">
        <v>616</v>
      </c>
      <c r="CJ103" s="689"/>
      <c r="CK103" s="689"/>
      <c r="CL103" s="771"/>
      <c r="CM103" s="771"/>
      <c r="CN103" s="771"/>
      <c r="CO103" s="771"/>
      <c r="CP103" s="771"/>
      <c r="CQ103" s="771"/>
      <c r="CR103" s="771"/>
      <c r="CS103" s="771"/>
    </row>
    <row r="104" spans="1:97">
      <c r="A104" s="500"/>
      <c r="B104" s="500" t="str">
        <f>+'q8'!$A$33</f>
        <v>Algarve</v>
      </c>
      <c r="C104" s="511">
        <f>+'q8'!$B$33</f>
        <v>18636</v>
      </c>
      <c r="D104" s="511">
        <f>+'q8'!$C$33</f>
        <v>19056</v>
      </c>
      <c r="E104" s="511">
        <f>+'q8'!$D$33</f>
        <v>19415</v>
      </c>
      <c r="F104" s="511">
        <f>+'q8'!$E$33</f>
        <v>19902</v>
      </c>
      <c r="G104" s="511">
        <f>+'q8'!$F$33</f>
        <v>20073</v>
      </c>
      <c r="H104" s="511">
        <f>+'q8'!$G$33</f>
        <v>20768</v>
      </c>
      <c r="I104" s="511">
        <f>+'q8'!$H$33</f>
        <v>20888</v>
      </c>
      <c r="J104" s="511">
        <f>+'q8'!$I$33</f>
        <v>20366</v>
      </c>
      <c r="K104" s="511">
        <f>+'q8'!$J$33</f>
        <v>19836</v>
      </c>
      <c r="L104" s="511">
        <f>+'q8'!$K$33</f>
        <v>20699</v>
      </c>
      <c r="M104" s="511">
        <f>+'q8'!$L$33</f>
        <v>22034</v>
      </c>
      <c r="AQ104" s="499">
        <f>IF($AR$77="Norte",$BE$38,IF($AR$77="Centro",$BE$39,IF($AR$77="Oeste e Vale do Tejo",$BE$40,IF($AR$77="Grande Lisboa",$BE$41,IF($AR$77="Península de Setúbal",$BE$42,IF($AR$77="Alentejo",$BE$43,IF($AR$77="Algarve",$BE$44," ")))))))</f>
        <v>70103.999999999985</v>
      </c>
      <c r="AR104" s="499" t="str">
        <f>TEXT(AQ104,"##.###")</f>
        <v>70.104</v>
      </c>
      <c r="AS104" s="499" t="s">
        <v>511</v>
      </c>
      <c r="AT104" s="689"/>
      <c r="AU104" s="689"/>
      <c r="BM104" s="499">
        <f>IF($BN$77="Norte",$BZ$38,IF($BN$77="Centro",$BZ$39,IF($BN$77="Oeste e Vale do Tejo",$BZ$40,IF($BN$77="Grande Lisboa",$BZ$41,IF($BN$77="Península de Setúbal",$BZ$42,IF($BN$77="Alentejo",$BZ$43,IF($BN$77="Algarve",$BZ$44," ")))))))</f>
        <v>928991</v>
      </c>
      <c r="BN104" s="499" t="str">
        <f>TEXT(BM104,"##.###")</f>
        <v>928.991</v>
      </c>
      <c r="BO104" s="499" t="s">
        <v>511</v>
      </c>
      <c r="BP104" s="689"/>
      <c r="BQ104" s="689"/>
      <c r="CG104" s="499">
        <f>IF($CH$77="Norte",$CV$38,IF($CH$77="Centro",$CV$39,IF($CH$77="Oeste e Vale do Tejo",$CV$40,IF($CH$77="Grande Lisboa",$CV$41,IF($CH$77="Península de Setúbal",$CV$42,IF($CH$77="Alentejo",$CV$43,IF($CH$77="Algarve",$CV$44," ")))))))</f>
        <v>1817.17</v>
      </c>
      <c r="CH104" s="499" t="str">
        <f>TEXT(CG104,"##.###")</f>
        <v>1.817</v>
      </c>
      <c r="CI104" s="499" t="s">
        <v>334</v>
      </c>
      <c r="CJ104" s="689"/>
      <c r="CK104" s="689"/>
    </row>
    <row r="105" spans="1:97">
      <c r="B105" s="500" t="s">
        <v>14</v>
      </c>
      <c r="C105" s="511">
        <f>+'q8'!$B$5</f>
        <v>315112</v>
      </c>
      <c r="D105" s="511">
        <f>+'q8'!$C$5</f>
        <v>318886</v>
      </c>
      <c r="E105" s="511">
        <f>+'q8'!$D$5</f>
        <v>321500</v>
      </c>
      <c r="F105" s="511">
        <f>+'q8'!$E$5</f>
        <v>324933</v>
      </c>
      <c r="G105" s="511">
        <f>+'q8'!$F$5</f>
        <v>327295</v>
      </c>
      <c r="H105" s="511">
        <f>+'q8'!$G$5</f>
        <v>330668</v>
      </c>
      <c r="I105" s="511">
        <f>+'q8'!$H$5</f>
        <v>322978</v>
      </c>
      <c r="J105" s="511">
        <f>+'q8'!$I$5</f>
        <v>324959</v>
      </c>
      <c r="K105" s="511">
        <f>+'q8'!$J$5</f>
        <v>318254</v>
      </c>
      <c r="L105" s="511">
        <f>+'q8'!$K$5</f>
        <v>332683</v>
      </c>
      <c r="M105" s="511">
        <f>+'q8'!$L$5</f>
        <v>340363.99999999994</v>
      </c>
      <c r="AQ105" s="499">
        <f>IF($AR$77="Norte",$BG$38,IF($AR$77="Centro",$BG$39,IF($AR$77="Oeste e Vale do Tejo",$BG$40,IF($AR$77="Grande Lisboa",$BG$41,IF($AR$77="Península de Setúbal",$BG$42,IF($AR$77="Alentejo",$BG$43,IF($AR$77="Algarve",$BG$44," ")))))))</f>
        <v>100</v>
      </c>
      <c r="AR105" s="499" t="str">
        <f>TEXT(AQ105,"##.###,0")</f>
        <v>100,0</v>
      </c>
      <c r="AS105" s="499" t="s">
        <v>617</v>
      </c>
      <c r="AT105" s="499" t="str">
        <f>+AR96</f>
        <v>Grande Lisboa</v>
      </c>
      <c r="AU105" s="499" t="s">
        <v>615</v>
      </c>
      <c r="AV105" s="521" t="s">
        <v>620</v>
      </c>
      <c r="BM105" s="499">
        <f>IF($BN$77="Norte",$BV$38,IF($BN$77="Centro",$BV$39,IF($BN$77="Oeste e Vale do Tejo",$BV$40,IF($BN$77="Grande Lisboa",$BV$41,IF($BN$77="Península de Setúbal",$BV$42,IF($BN$77="Alentejo",$BV$43,IF($BN$77="Algarve",$BV$44," ")))))))</f>
        <v>100</v>
      </c>
      <c r="BN105" s="499" t="str">
        <f>TEXT(BM105,"##.###,0")</f>
        <v>100,0</v>
      </c>
      <c r="BO105" s="499" t="s">
        <v>617</v>
      </c>
      <c r="BP105" s="499" t="str">
        <f>+BN96</f>
        <v>Grande Lisboa</v>
      </c>
      <c r="BQ105" s="499" t="s">
        <v>615</v>
      </c>
      <c r="BR105" s="521" t="s">
        <v>620</v>
      </c>
      <c r="CG105" s="499">
        <f>IF($CH$77="Norte",$CX$38,IF($CH$77="Centro",$CX$39,IF($CH$77="Oeste e Vale do Tejo",$CX$40,IF($CH$77="Grande Lisboa",$CX$41,IF($CH$77="Península de Setúbal",$CX$42,IF($CH$77="Alentejo",$CX$43,IF($CH$77="Algarve",$CX$44," ")))))))</f>
        <v>0</v>
      </c>
      <c r="CH105" s="499" t="str">
        <f>TEXT(CG105,"+##.##0,0")</f>
        <v>+0,0</v>
      </c>
      <c r="CI105" s="499" t="s">
        <v>627</v>
      </c>
      <c r="CJ105" s="499" t="s">
        <v>579</v>
      </c>
      <c r="CK105" s="499" t="s">
        <v>615</v>
      </c>
      <c r="CL105" s="521" t="s">
        <v>620</v>
      </c>
    </row>
    <row r="106" spans="1:97">
      <c r="AQ106" s="499" t="s">
        <v>611</v>
      </c>
      <c r="AR106" s="499" t="s">
        <v>616</v>
      </c>
      <c r="BM106" s="499" t="s">
        <v>611</v>
      </c>
      <c r="BN106" s="499" t="s">
        <v>616</v>
      </c>
      <c r="CG106" s="499" t="s">
        <v>611</v>
      </c>
      <c r="CH106" s="499" t="s">
        <v>616</v>
      </c>
    </row>
    <row r="107" spans="1:97" ht="12.75" customHeight="1">
      <c r="AQ107" s="499" t="str">
        <f>IF($AR$77="Norte",$BI$38,IF($AR$77="Centro",$BI$39,IF($AR$77="Oeste e Vale do Tejo",$BI$40,IF($AR$77="Grande Lisboa",$BI$41,IF($AR$77="Península de Setúbal",$BI$42,IF($AR$77="Alentejo",$BI$43,IF($AR$77="Algarve",$BI$44," ")))))))</f>
        <v>Grande Lisboa</v>
      </c>
      <c r="AR107" s="499" t="s">
        <v>616</v>
      </c>
      <c r="AV107" s="770" t="str">
        <f>CONCATENATE(AQ94,CHAR(10),AQ96,AR96,AS96,AR97,AS97,AR98,AQ99,AQ100,AQ101,CHAR(10),"Esta NUTS II coincide com a NUTS III.")</f>
        <v>ESTABELECIMENTOS
NUTS II Grande Lisboa: 70.104 (20,6% do Continente; 2ª região de 7)
Esta NUTS II coincide com a NUTS III.</v>
      </c>
      <c r="AW107" s="770"/>
      <c r="AX107" s="770"/>
      <c r="AY107" s="770"/>
      <c r="AZ107" s="770"/>
      <c r="BM107" s="499" t="str">
        <f>IF($BN$77="Norte",$CD$38,IF($BN$77="Centro",$CD$39,IF($BN$77="Oeste e Vale do Tejo",$CD$40,IF($BN$77="Grande Lisboa",$CD$41,IF($BN$77="Península de Setúbal",$CD$42,IF($BN$77="Alentejo",$CD$43,IF($BN$77="Algarve",$CD$44," ")))))))</f>
        <v>Grande Lisboa</v>
      </c>
      <c r="BN107" s="499" t="s">
        <v>616</v>
      </c>
      <c r="BR107" s="770" t="str">
        <f>CONCATENATE(BM94,CHAR(10),BM96,BN96,BO96,BN97,BO97,BN98,BM99,BM100,BM101,CHAR(10),"Esta NUTS II coincide com a NUTS III.")</f>
        <v>TCO
NUTS II Grande Lisboa: 928.991 (28,2% do Continente; 2ª região de 7)
Esta NUTS II coincide com a NUTS III.</v>
      </c>
      <c r="BS107" s="770"/>
      <c r="BT107" s="770"/>
      <c r="BU107" s="770"/>
      <c r="BV107" s="770"/>
      <c r="CG107" s="499" t="str">
        <f>IF($CH$77="Norte",$CZ$38,IF($CH$77="Centro",$CZ$39,IF($CH$77="Oeste e Vale do Tejo",$CZ$40,IF($CH$77="Grande Lisboa",$CZ$41,IF($CH$77="Península de Setúbal",$CZ$42,IF($CH$77="Alentejo",$CZ$43,IF($CH$77="Algarve",$CZ$44," ")))))))</f>
        <v>Grande Lisboa</v>
      </c>
      <c r="CH107" s="499" t="s">
        <v>616</v>
      </c>
      <c r="CL107" s="770" t="str">
        <f>CONCATENATE(CG94,CHAR(10),CG96,CH96,CI96,CH97,CI97,CH98,CG99,CG100,CG101,CHAR(10),"Esta NUTS II coincide com a NUTS III.")</f>
        <v>REMUNERAÇÃO GANHO
NUTS II Grande Lisboa: 1.817 euros (23,9% que no Continente; 1ª região de 7)
Esta NUTS II coincide com a NUTS III.</v>
      </c>
      <c r="CM107" s="770"/>
      <c r="CN107" s="770"/>
      <c r="CO107" s="770"/>
      <c r="CP107" s="770"/>
    </row>
    <row r="108" spans="1:97">
      <c r="AQ108" s="499">
        <f>IF($AR$77="Norte",$BH$38,IF($AR$77="Centro",$BH$39,IF($AR$77="Oeste e Vale do Tejo",$BH$40,IF($AR$77="Grande Lisboa",$BH$41,IF($AR$77="Península de Setúbal",$BH$42,IF($AR$77="Alentejo",$BH$43,IF($AR$77="Algarve",$BH$44," ")))))))</f>
        <v>70103.999999999985</v>
      </c>
      <c r="AR108" s="499" t="str">
        <f>TEXT(AQ108,"##.###")</f>
        <v>70.104</v>
      </c>
      <c r="AS108" s="499" t="s">
        <v>511</v>
      </c>
      <c r="AV108" s="770"/>
      <c r="AW108" s="770"/>
      <c r="AX108" s="770"/>
      <c r="AY108" s="770"/>
      <c r="AZ108" s="770"/>
      <c r="BM108" s="499">
        <f>IF($BN$77="Norte",$CC$38,IF($BN$77="Centro",$CC$39,IF($BN$77="Oeste e Vale do Tejo",$CC$40,IF($BN$77="Grande Lisboa",$CC$41,IF($BN$77="Península de Setúbal",$CC$42,IF($BN$77="Alentejo",$CC$43,IF($BN$77="Algarve",$CC$44," ")))))))</f>
        <v>928991</v>
      </c>
      <c r="BN108" s="499" t="str">
        <f>TEXT(BM108,"##.###")</f>
        <v>928.991</v>
      </c>
      <c r="BO108" s="499" t="s">
        <v>511</v>
      </c>
      <c r="BR108" s="770"/>
      <c r="BS108" s="770"/>
      <c r="BT108" s="770"/>
      <c r="BU108" s="770"/>
      <c r="BV108" s="770"/>
      <c r="CG108" s="499">
        <f>IF($CH$77="Norte",$CY$38,IF($CH$77="Centro",$CY$39,IF($CH$77="Oeste e Vale do Tejo",$CY$40,IF($CH$77="Grande Lisboa",$CY$41,IF($CH$77="Península de Setúbal",$CY$42,IF($CH$77="Alentejo",$CY$43,IF($CH$77="Algarve",$CY$44," ")))))))</f>
        <v>1817.17</v>
      </c>
      <c r="CH108" s="499" t="str">
        <f>TEXT(CG108,"##.###")</f>
        <v>1.817</v>
      </c>
      <c r="CI108" s="499" t="s">
        <v>334</v>
      </c>
      <c r="CL108" s="770"/>
      <c r="CM108" s="770"/>
      <c r="CN108" s="770"/>
      <c r="CO108" s="770"/>
      <c r="CP108" s="770"/>
    </row>
    <row r="109" spans="1:97">
      <c r="A109" s="500" t="s">
        <v>592</v>
      </c>
      <c r="D109" s="501"/>
      <c r="AQ109" s="499">
        <f>IF($AR$77="Norte",$BJ$38,IF($AR$77="Centro",$BJ$39,IF($AR$77="Oeste e Vale do Tejo",$BJ$40,IF($AR$77="Grande Lisboa",$BJ$41,IF($AR$77="Península de Setúbal",$BJ$42,IF($AR$77="Alentejo",$BJ$43,IF($AR$77="Algarve",$BJ$44," ")))))))</f>
        <v>100</v>
      </c>
      <c r="AR109" s="499" t="str">
        <f>TEXT(AQ109,"##.###,0")</f>
        <v>100,0</v>
      </c>
      <c r="AS109" s="499" t="s">
        <v>617</v>
      </c>
      <c r="AT109" s="499" t="str">
        <f>+AR96</f>
        <v>Grande Lisboa</v>
      </c>
      <c r="AU109" s="499" t="s">
        <v>442</v>
      </c>
      <c r="AV109" s="770"/>
      <c r="AW109" s="770"/>
      <c r="AX109" s="770"/>
      <c r="AY109" s="770"/>
      <c r="AZ109" s="770"/>
      <c r="BM109" s="499">
        <f>IF($BN$77="Norte",$CE$38,IF($BN$77="Centro",$CE$39,IF($BN$77="Oeste e Vale do Tejo",$CE$40,IF($BN$77="Grande Lisboa",$CE$41,IF($BN$77="Península de Setúbal",$CE$42,IF($BN$77="Alentejo",$CE$43,IF($BN$77="Algarve",$CE$44," ")))))))</f>
        <v>100</v>
      </c>
      <c r="BN109" s="499" t="str">
        <f>TEXT(BM109,"##.###,0")</f>
        <v>100,0</v>
      </c>
      <c r="BO109" s="499" t="s">
        <v>617</v>
      </c>
      <c r="BP109" s="499" t="str">
        <f>+BN96</f>
        <v>Grande Lisboa</v>
      </c>
      <c r="BQ109" s="499" t="s">
        <v>442</v>
      </c>
      <c r="BR109" s="770"/>
      <c r="BS109" s="770"/>
      <c r="BT109" s="770"/>
      <c r="BU109" s="770"/>
      <c r="BV109" s="770"/>
      <c r="CG109" s="499">
        <f>IF($CH$77="Norte",$DA$38,IF($CH$77="Centro",$DA$39,IF($CH$77="Oeste e Vale do Tejo",$DA$40,IF($CH$77="Grande Lisboa",$DA$41,IF($CH$77="Península de Setúbal",$DA$42,IF($CH$77="Alentejo",$DA$43,IF($CH$77="Algarve",$DA$44," ")))))))</f>
        <v>0</v>
      </c>
      <c r="CH109" s="499" t="str">
        <f>TEXT(CG109,"##.###,0")</f>
        <v>,0</v>
      </c>
      <c r="CI109" s="499" t="s">
        <v>627</v>
      </c>
      <c r="CJ109" s="499" t="s">
        <v>579</v>
      </c>
      <c r="CK109" s="499" t="s">
        <v>442</v>
      </c>
      <c r="CL109" s="770"/>
      <c r="CM109" s="770"/>
      <c r="CN109" s="770"/>
      <c r="CO109" s="770"/>
      <c r="CP109" s="770"/>
    </row>
    <row r="110" spans="1:97">
      <c r="A110" s="631" t="s">
        <v>212</v>
      </c>
      <c r="C110" s="500">
        <f>+'q12'!$B$4</f>
        <v>2013</v>
      </c>
      <c r="D110" s="500">
        <f>+'q12'!$C$4</f>
        <v>2014</v>
      </c>
      <c r="E110" s="500">
        <f>+'q12'!$D$4</f>
        <v>2015</v>
      </c>
      <c r="F110" s="500">
        <f>+'q12'!$E$4</f>
        <v>2016</v>
      </c>
      <c r="G110" s="500">
        <f>+'q12'!$F$4</f>
        <v>2017</v>
      </c>
      <c r="H110" s="500">
        <f>+'q12'!$G$4</f>
        <v>2018</v>
      </c>
      <c r="I110" s="500">
        <f>+'q12'!$H$4</f>
        <v>2019</v>
      </c>
      <c r="J110" s="500">
        <f>+'q12'!$I$4</f>
        <v>2020</v>
      </c>
      <c r="K110" s="500">
        <f>+'q12'!$J$4</f>
        <v>2021</v>
      </c>
      <c r="L110" s="500">
        <f>+'q12'!$K$4</f>
        <v>2022</v>
      </c>
      <c r="M110" s="500">
        <f>+'q12'!$L$4</f>
        <v>2023</v>
      </c>
      <c r="AU110" s="526"/>
      <c r="AV110" s="526"/>
      <c r="AW110" s="526"/>
      <c r="AX110" s="526"/>
      <c r="AY110" s="526"/>
      <c r="AZ110" s="526"/>
      <c r="BQ110" s="526"/>
      <c r="BR110" s="526"/>
      <c r="BS110" s="526"/>
      <c r="BT110" s="526"/>
      <c r="BU110" s="526"/>
      <c r="BV110" s="526"/>
      <c r="CL110" s="526"/>
      <c r="CM110" s="526"/>
      <c r="CN110" s="526"/>
      <c r="CO110" s="526"/>
      <c r="CP110" s="526"/>
    </row>
    <row r="111" spans="1:97">
      <c r="A111" s="500" t="s">
        <v>579</v>
      </c>
      <c r="B111" s="500" t="str">
        <f>+'q12'!$A$6</f>
        <v>Norte</v>
      </c>
      <c r="C111" s="511">
        <f>+'q12'!$B$6</f>
        <v>933126.00000000012</v>
      </c>
      <c r="D111" s="511">
        <f>+'q12'!$C$6</f>
        <v>966786.99999999988</v>
      </c>
      <c r="E111" s="511">
        <f>+'q12'!$D$6</f>
        <v>1002830.9999999999</v>
      </c>
      <c r="F111" s="511">
        <f>+'q12'!$E$6</f>
        <v>1038348.9999999998</v>
      </c>
      <c r="G111" s="511">
        <f>+'q12'!$F$6</f>
        <v>1090049.0000000002</v>
      </c>
      <c r="H111" s="511">
        <f>+'q12'!$G$6</f>
        <v>1119718.0000000005</v>
      </c>
      <c r="I111" s="511">
        <f>+'q12'!$H$6</f>
        <v>1132969.9999999998</v>
      </c>
      <c r="J111" s="511">
        <f>+'q12'!$I$6</f>
        <v>1127589.9999999998</v>
      </c>
      <c r="K111" s="511">
        <f>+'q12'!$J$6</f>
        <v>1137435.9999999998</v>
      </c>
      <c r="L111" s="511">
        <f>+'q12'!$K$6</f>
        <v>1215310.0000000002</v>
      </c>
      <c r="M111" s="511">
        <f>+'q12'!$L$6</f>
        <v>1260100.0000000002</v>
      </c>
      <c r="AU111" s="526"/>
      <c r="AV111" s="526"/>
      <c r="AW111" s="526"/>
      <c r="AX111" s="526"/>
      <c r="AY111" s="526"/>
      <c r="AZ111" s="526"/>
      <c r="BQ111" s="526"/>
      <c r="BR111" s="526"/>
      <c r="BS111" s="526"/>
      <c r="BT111" s="526"/>
      <c r="BU111" s="526"/>
      <c r="BV111" s="526"/>
      <c r="CL111" s="526"/>
      <c r="CM111" s="526"/>
      <c r="CN111" s="526"/>
      <c r="CO111" s="526"/>
      <c r="CP111" s="526"/>
    </row>
    <row r="112" spans="1:97">
      <c r="A112" s="500"/>
      <c r="B112" s="500" t="str">
        <f>+'q12'!$A$15</f>
        <v>Centro</v>
      </c>
      <c r="C112" s="511">
        <f>+'q12'!$B$15</f>
        <v>405897.00000000029</v>
      </c>
      <c r="D112" s="511">
        <f>+'q12'!$C$15</f>
        <v>416808.00000000023</v>
      </c>
      <c r="E112" s="511">
        <f>+'q12'!$D$15</f>
        <v>426185</v>
      </c>
      <c r="F112" s="511">
        <f>+'q12'!$E$15</f>
        <v>438938.99999999994</v>
      </c>
      <c r="G112" s="511">
        <f>+'q12'!$F$15</f>
        <v>455651.00000000006</v>
      </c>
      <c r="H112" s="511">
        <f>+'q12'!$G$15</f>
        <v>471228.00000000006</v>
      </c>
      <c r="I112" s="511">
        <f>+'q12'!$H$15</f>
        <v>474235.00000000012</v>
      </c>
      <c r="J112" s="511">
        <f>+'q12'!$I$15</f>
        <v>476406.00000000023</v>
      </c>
      <c r="K112" s="511">
        <f>+'q12'!$J$15</f>
        <v>477289.00000000006</v>
      </c>
      <c r="L112" s="511">
        <f>+'q12'!$K$15</f>
        <v>506309.99999999988</v>
      </c>
      <c r="M112" s="511">
        <f>+'q12'!$L$15</f>
        <v>524218.00000000012</v>
      </c>
      <c r="AU112" s="526"/>
      <c r="AV112" s="526"/>
      <c r="AW112" s="499" t="str">
        <f>IF($AR$77="Norte",$AV$100,IF($AR$77="Centro",$AV$100,IF($AR$77="Oeste e Vale do Tejo",$AV$100,IF($AR$77="Alentejo",$AV$100,$AV$107))))</f>
        <v>ESTABELECIMENTOS
NUTS II Grande Lisboa: 70.104 (20,6% do Continente; 2ª região de 7)
Esta NUTS II coincide com a NUTS III.</v>
      </c>
      <c r="AX112" s="526"/>
      <c r="AY112" s="526"/>
      <c r="AZ112" s="526"/>
      <c r="BQ112" s="526"/>
      <c r="BR112" s="526"/>
      <c r="BS112" s="499" t="str">
        <f>IF($BN$77="Norte",$BR$100,IF($BN$77="Centro",$BR$100,IF($BN$77="Oeste e Vale do Tejo",$BR$100,IF($BN$77="Alentejo",$BR$100,$BR$107))))</f>
        <v>TCO
NUTS II Grande Lisboa: 928.991 (28,2% do Continente; 2ª região de 7)
Esta NUTS II coincide com a NUTS III.</v>
      </c>
      <c r="BT112" s="526"/>
      <c r="BU112" s="526"/>
      <c r="BV112" s="526"/>
      <c r="CL112" s="526"/>
      <c r="CM112" s="499" t="str">
        <f>IF($CH$77="Norte",$CL$100,IF($CH$77="Centro",$CL$100,IF($CH$77="Oeste e Vale do Tejo",$CL$100,IF($CH$77="Alentejo",$CL$100,$CL$107))))</f>
        <v>REMUNERAÇÃO GANHO
NUTS II Grande Lisboa: 1.817 euros (23,9% que no Continente; 1ª região de 7)
Esta NUTS II coincide com a NUTS III.</v>
      </c>
      <c r="CN112" s="526"/>
      <c r="CO112" s="526"/>
      <c r="CP112" s="526"/>
    </row>
    <row r="113" spans="1:93">
      <c r="A113" s="500"/>
      <c r="B113" s="500" t="str">
        <f>+'q12'!$A$22</f>
        <v>Oeste e Vale do Tejo</v>
      </c>
      <c r="C113" s="511">
        <f>+'q12'!$B$22</f>
        <v>181980.00000000003</v>
      </c>
      <c r="D113" s="511">
        <f>+'q12'!$C$22</f>
        <v>187163.99999999997</v>
      </c>
      <c r="E113" s="511">
        <f>+'q12'!$D$22</f>
        <v>191426.99999999997</v>
      </c>
      <c r="F113" s="511">
        <f>+'q12'!$E$22</f>
        <v>195958</v>
      </c>
      <c r="G113" s="511">
        <f>+'q12'!$F$22</f>
        <v>207117.99999999994</v>
      </c>
      <c r="H113" s="511">
        <f>+'q12'!$G$22</f>
        <v>218361</v>
      </c>
      <c r="I113" s="511">
        <f>+'q12'!$H$22</f>
        <v>222503.00000000012</v>
      </c>
      <c r="J113" s="511">
        <f>+'q12'!$I$22</f>
        <v>222503</v>
      </c>
      <c r="K113" s="511">
        <f>+'q12'!$J$22</f>
        <v>220224.99999999991</v>
      </c>
      <c r="L113" s="511">
        <f>+'q12'!$K$22</f>
        <v>233662.99999999994</v>
      </c>
      <c r="M113" s="511">
        <f>+'q12'!$L$22</f>
        <v>244696.99999999994</v>
      </c>
      <c r="AU113" s="526"/>
      <c r="AV113" s="526"/>
      <c r="AW113" s="526"/>
      <c r="AX113" s="526"/>
      <c r="AY113" s="526"/>
      <c r="AZ113" s="526"/>
    </row>
    <row r="114" spans="1:93">
      <c r="A114" s="500"/>
      <c r="B114" s="500" t="str">
        <f>+'q12'!$A$26</f>
        <v>Grande Lisboa</v>
      </c>
      <c r="C114" s="511">
        <f>+'q12'!$B$26</f>
        <v>692704</v>
      </c>
      <c r="D114" s="511">
        <f>+'q12'!$C$26</f>
        <v>715126</v>
      </c>
      <c r="E114" s="511">
        <f>+'q12'!$D$26</f>
        <v>730551</v>
      </c>
      <c r="F114" s="511">
        <f>+'q12'!$E$26</f>
        <v>765222</v>
      </c>
      <c r="G114" s="511">
        <f>+'q12'!$F$26</f>
        <v>790694</v>
      </c>
      <c r="H114" s="511">
        <f>+'q12'!$G$26</f>
        <v>826919</v>
      </c>
      <c r="I114" s="511">
        <f>+'q12'!$H$26</f>
        <v>845336</v>
      </c>
      <c r="J114" s="511">
        <f>+'q12'!$I$26</f>
        <v>835460</v>
      </c>
      <c r="K114" s="511">
        <f>+'q12'!$J$26</f>
        <v>838586</v>
      </c>
      <c r="L114" s="511">
        <f>+'q12'!$K$26</f>
        <v>915180</v>
      </c>
      <c r="M114" s="511">
        <f>+'q12'!$L$26</f>
        <v>969558</v>
      </c>
      <c r="AW114" s="526"/>
    </row>
    <row r="115" spans="1:93">
      <c r="A115" s="500"/>
      <c r="B115" s="500" t="str">
        <f>+'q12'!$A$27</f>
        <v>Península de Setúbal</v>
      </c>
      <c r="C115" s="511">
        <f>+'q12'!$B$27</f>
        <v>128055</v>
      </c>
      <c r="D115" s="511">
        <f>+'q12'!$C$27</f>
        <v>129592</v>
      </c>
      <c r="E115" s="511">
        <f>+'q12'!$D$27</f>
        <v>132359</v>
      </c>
      <c r="F115" s="511">
        <f>+'q12'!$E$27</f>
        <v>135968</v>
      </c>
      <c r="G115" s="511">
        <f>+'q12'!$F$27</f>
        <v>143619</v>
      </c>
      <c r="H115" s="511">
        <f>+'q12'!$G$27</f>
        <v>152137</v>
      </c>
      <c r="I115" s="511">
        <f>+'q12'!$H$27</f>
        <v>155943</v>
      </c>
      <c r="J115" s="511">
        <f>+'q12'!$I$27</f>
        <v>156000</v>
      </c>
      <c r="K115" s="511">
        <f>+'q12'!$J$27</f>
        <v>157437</v>
      </c>
      <c r="L115" s="511">
        <f>+'q12'!$K$27</f>
        <v>168606.00000000003</v>
      </c>
      <c r="M115" s="511">
        <f>+'q12'!$L$27</f>
        <v>173313</v>
      </c>
      <c r="AR115" s="500"/>
    </row>
    <row r="116" spans="1:93">
      <c r="A116" s="500"/>
      <c r="B116" s="500" t="str">
        <f>+'q12'!$A$28</f>
        <v>Alentejo</v>
      </c>
      <c r="C116" s="511">
        <f>+'q12'!$B$28</f>
        <v>99741.999999999971</v>
      </c>
      <c r="D116" s="511">
        <f>+'q12'!$C$28</f>
        <v>101944.99999999997</v>
      </c>
      <c r="E116" s="511">
        <f>+'q12'!$D$28</f>
        <v>105678.00000000003</v>
      </c>
      <c r="F116" s="511">
        <f>+'q12'!$E$28</f>
        <v>109694</v>
      </c>
      <c r="G116" s="511">
        <f>+'q12'!$F$28</f>
        <v>114002.00000000001</v>
      </c>
      <c r="H116" s="511">
        <f>+'q12'!$G$28</f>
        <v>117709.00000000001</v>
      </c>
      <c r="I116" s="511">
        <f>+'q12'!$H$28</f>
        <v>119673.99999999999</v>
      </c>
      <c r="J116" s="511">
        <f>+'q12'!$I$28</f>
        <v>122938.99999999997</v>
      </c>
      <c r="K116" s="511">
        <f>+'q12'!$J$28</f>
        <v>122965.99999999997</v>
      </c>
      <c r="L116" s="511">
        <f>+'q12'!$K$28</f>
        <v>132510.00000000003</v>
      </c>
      <c r="M116" s="511">
        <f>+'q12'!$L$28</f>
        <v>139263</v>
      </c>
      <c r="AU116" s="526"/>
      <c r="AV116" s="526"/>
      <c r="AW116" s="526"/>
      <c r="AX116" s="526"/>
      <c r="AY116" s="526"/>
      <c r="AZ116" s="526"/>
    </row>
    <row r="117" spans="1:93">
      <c r="A117" s="500"/>
      <c r="B117" s="500" t="str">
        <f>+'q12'!$A$33</f>
        <v>Algarve</v>
      </c>
      <c r="C117" s="511">
        <f>+'q12'!$B$33</f>
        <v>114172.00000000001</v>
      </c>
      <c r="D117" s="511">
        <f>+'q12'!$C$33</f>
        <v>119459</v>
      </c>
      <c r="E117" s="511">
        <f>+'q12'!$D$33</f>
        <v>126979.99999999999</v>
      </c>
      <c r="F117" s="511">
        <f>+'q12'!$E$33</f>
        <v>135848.00000000003</v>
      </c>
      <c r="G117" s="511">
        <f>+'q12'!$F$33</f>
        <v>145770.00000000003</v>
      </c>
      <c r="H117" s="511">
        <f>+'q12'!$G$33</f>
        <v>154417</v>
      </c>
      <c r="I117" s="511">
        <f>+'q12'!$H$33</f>
        <v>160288</v>
      </c>
      <c r="J117" s="511">
        <f>+'q12'!$I$33</f>
        <v>144667.99999999997</v>
      </c>
      <c r="K117" s="511">
        <f>+'q12'!$J$33</f>
        <v>148406</v>
      </c>
      <c r="L117" s="511">
        <f>+'q12'!$K$33</f>
        <v>165503</v>
      </c>
      <c r="M117" s="511">
        <f>+'q12'!$L$33</f>
        <v>178434</v>
      </c>
      <c r="AU117" s="526"/>
      <c r="AV117" s="526"/>
      <c r="AW117" s="526"/>
      <c r="AX117" s="526"/>
      <c r="AY117" s="526"/>
      <c r="AZ117" s="526"/>
    </row>
    <row r="118" spans="1:93">
      <c r="B118" s="500" t="s">
        <v>14</v>
      </c>
      <c r="C118" s="511">
        <f>+'q12'!$B$5</f>
        <v>2555676</v>
      </c>
      <c r="D118" s="511">
        <f>+'q12'!$C$5</f>
        <v>2636881</v>
      </c>
      <c r="E118" s="511">
        <f>+'q12'!$D$5</f>
        <v>2716011</v>
      </c>
      <c r="F118" s="511">
        <f>+'q12'!$E$5</f>
        <v>2819978</v>
      </c>
      <c r="G118" s="511">
        <f>+'q12'!$F$5</f>
        <v>2946903</v>
      </c>
      <c r="H118" s="511">
        <f>+'q12'!$G$5</f>
        <v>3060489</v>
      </c>
      <c r="I118" s="511">
        <f>+'q12'!$H$5</f>
        <v>3110949</v>
      </c>
      <c r="J118" s="511">
        <f>+'q12'!$I$5</f>
        <v>3085566</v>
      </c>
      <c r="K118" s="511">
        <f>+'q12'!$J$5</f>
        <v>3102345</v>
      </c>
      <c r="L118" s="511">
        <f>+'q12'!$K$5</f>
        <v>3337082</v>
      </c>
      <c r="M118" s="511">
        <f>+'q12'!$L$5</f>
        <v>3489582.9999999995</v>
      </c>
      <c r="AU118" s="526"/>
      <c r="AV118" s="526"/>
      <c r="AW118" s="526"/>
      <c r="AX118" s="526"/>
      <c r="AY118" s="526"/>
      <c r="AZ118" s="526"/>
    </row>
    <row r="119" spans="1:93">
      <c r="B119" s="500"/>
      <c r="C119" s="511"/>
      <c r="D119" s="511"/>
      <c r="E119" s="511"/>
      <c r="F119" s="511"/>
      <c r="G119" s="511"/>
      <c r="H119" s="511"/>
      <c r="I119" s="511"/>
      <c r="J119" s="511"/>
      <c r="K119" s="511"/>
      <c r="L119" s="511"/>
      <c r="M119" s="511"/>
      <c r="AU119" s="526"/>
      <c r="AV119" s="526"/>
      <c r="AW119" s="526"/>
      <c r="AX119" s="526"/>
      <c r="AY119" s="526"/>
      <c r="AZ119" s="526"/>
    </row>
    <row r="120" spans="1:93">
      <c r="C120" s="500">
        <f>+C110</f>
        <v>2013</v>
      </c>
      <c r="D120" s="500">
        <f t="shared" ref="D120:M120" si="63">+D110</f>
        <v>2014</v>
      </c>
      <c r="E120" s="500">
        <f t="shared" si="63"/>
        <v>2015</v>
      </c>
      <c r="F120" s="500">
        <f t="shared" si="63"/>
        <v>2016</v>
      </c>
      <c r="G120" s="500">
        <f t="shared" si="63"/>
        <v>2017</v>
      </c>
      <c r="H120" s="500">
        <f t="shared" si="63"/>
        <v>2018</v>
      </c>
      <c r="I120" s="500">
        <f t="shared" si="63"/>
        <v>2019</v>
      </c>
      <c r="J120" s="500">
        <f t="shared" si="63"/>
        <v>2020</v>
      </c>
      <c r="K120" s="500">
        <f t="shared" si="63"/>
        <v>2021</v>
      </c>
      <c r="L120" s="500">
        <f t="shared" si="63"/>
        <v>2022</v>
      </c>
      <c r="M120" s="500">
        <f t="shared" si="63"/>
        <v>2023</v>
      </c>
      <c r="AU120" s="526"/>
      <c r="AV120" s="526"/>
      <c r="AW120" s="526"/>
      <c r="AX120" s="526"/>
      <c r="AY120" s="526"/>
      <c r="AZ120" s="526"/>
    </row>
    <row r="121" spans="1:93">
      <c r="A121" s="500" t="s">
        <v>580</v>
      </c>
      <c r="B121" s="500" t="str">
        <f>+'q12'!$A$7</f>
        <v>Alto Minho</v>
      </c>
      <c r="C121" s="511">
        <f>+'q12'!$B$7</f>
        <v>53023</v>
      </c>
      <c r="D121" s="511">
        <f>+'q12'!$C$7</f>
        <v>54568</v>
      </c>
      <c r="E121" s="511">
        <f>+'q12'!$D$7</f>
        <v>56865</v>
      </c>
      <c r="F121" s="511">
        <f>+'q12'!$E$7</f>
        <v>57001</v>
      </c>
      <c r="G121" s="511">
        <f>+'q12'!$F$7</f>
        <v>59646</v>
      </c>
      <c r="H121" s="511">
        <f>+'q12'!$G$7</f>
        <v>62987.000000000007</v>
      </c>
      <c r="I121" s="511">
        <f>+'q12'!$H$7</f>
        <v>63449</v>
      </c>
      <c r="J121" s="511">
        <f>+'q12'!$I$7</f>
        <v>64864</v>
      </c>
      <c r="K121" s="511">
        <f>+'q12'!$J$7</f>
        <v>65112</v>
      </c>
      <c r="L121" s="511">
        <f>+'q12'!$K$7</f>
        <v>68558</v>
      </c>
      <c r="M121" s="511">
        <f>+'q12'!$L$7</f>
        <v>72633</v>
      </c>
      <c r="AU121" s="526"/>
      <c r="AV121" s="526"/>
      <c r="AW121" s="526"/>
      <c r="AX121" s="526"/>
      <c r="AY121" s="526"/>
      <c r="AZ121" s="526"/>
      <c r="CJ121" s="689"/>
      <c r="CK121" s="689"/>
      <c r="CL121" s="689"/>
      <c r="CM121" s="689"/>
      <c r="CN121" s="689"/>
      <c r="CO121" s="689"/>
    </row>
    <row r="122" spans="1:93">
      <c r="A122" s="500"/>
      <c r="B122" s="500" t="str">
        <f>+'q12'!$A$8</f>
        <v>Cávado</v>
      </c>
      <c r="C122" s="511">
        <f>+'q12'!$B$8</f>
        <v>107406</v>
      </c>
      <c r="D122" s="511">
        <f>+'q12'!$C$8</f>
        <v>112832.00000000001</v>
      </c>
      <c r="E122" s="511">
        <f>+'q12'!$D$8</f>
        <v>116890</v>
      </c>
      <c r="F122" s="511">
        <f>+'q12'!$E$8</f>
        <v>122550</v>
      </c>
      <c r="G122" s="511">
        <f>+'q12'!$F$8</f>
        <v>129416</v>
      </c>
      <c r="H122" s="511">
        <f>+'q12'!$G$8</f>
        <v>135825</v>
      </c>
      <c r="I122" s="511">
        <f>+'q12'!$H$8</f>
        <v>139055</v>
      </c>
      <c r="J122" s="511">
        <f>+'q12'!$I$8</f>
        <v>138839</v>
      </c>
      <c r="K122" s="511">
        <f>+'q12'!$J$8</f>
        <v>141395</v>
      </c>
      <c r="L122" s="511">
        <f>+'q12'!$K$8</f>
        <v>153121</v>
      </c>
      <c r="M122" s="511">
        <f>+'q12'!$L$8</f>
        <v>160086</v>
      </c>
      <c r="AU122" s="526"/>
      <c r="AV122" s="526"/>
      <c r="AW122" s="526"/>
      <c r="AX122" s="526"/>
      <c r="AY122" s="526"/>
      <c r="AZ122" s="526"/>
      <c r="CJ122" s="689"/>
      <c r="CK122" s="689"/>
      <c r="CL122" s="689"/>
      <c r="CM122" s="689"/>
      <c r="CN122" s="689"/>
      <c r="CO122" s="689"/>
    </row>
    <row r="123" spans="1:93">
      <c r="A123" s="500"/>
      <c r="B123" s="500" t="str">
        <f>+'q12'!$A$9</f>
        <v>Ave</v>
      </c>
      <c r="C123" s="511">
        <f>+'q12'!$B$9</f>
        <v>121303</v>
      </c>
      <c r="D123" s="511">
        <f>+'q12'!$C$9</f>
        <v>125966</v>
      </c>
      <c r="E123" s="511">
        <f>+'q12'!$D$9</f>
        <v>131033.00000000001</v>
      </c>
      <c r="F123" s="511">
        <f>+'q12'!$E$9</f>
        <v>136891</v>
      </c>
      <c r="G123" s="511">
        <f>+'q12'!$F$9</f>
        <v>141727</v>
      </c>
      <c r="H123" s="511">
        <f>+'q12'!$G$9</f>
        <v>145043</v>
      </c>
      <c r="I123" s="511">
        <f>+'q12'!$H$9</f>
        <v>138907.99999999997</v>
      </c>
      <c r="J123" s="511">
        <f>+'q12'!$I$9</f>
        <v>141053.99999999997</v>
      </c>
      <c r="K123" s="511">
        <f>+'q12'!$J$9</f>
        <v>141116.99999999997</v>
      </c>
      <c r="L123" s="511">
        <f>+'q12'!$K$9</f>
        <v>149246</v>
      </c>
      <c r="M123" s="511">
        <f>+'q12'!$L$9</f>
        <v>150333</v>
      </c>
      <c r="CJ123" s="689"/>
      <c r="CK123" s="689"/>
      <c r="CL123" s="689"/>
      <c r="CM123" s="689"/>
      <c r="CN123" s="689"/>
      <c r="CO123" s="689"/>
    </row>
    <row r="124" spans="1:93">
      <c r="A124" s="500"/>
      <c r="B124" s="500" t="str">
        <f>+'q12'!$A$10</f>
        <v>Área Metropolitana do Porto</v>
      </c>
      <c r="C124" s="511">
        <f>+'q12'!$B$10</f>
        <v>484471</v>
      </c>
      <c r="D124" s="511">
        <f>+'q12'!$C$10</f>
        <v>501063.99999999994</v>
      </c>
      <c r="E124" s="511">
        <f>+'q12'!$D$10</f>
        <v>519452</v>
      </c>
      <c r="F124" s="511">
        <f>+'q12'!$E$10</f>
        <v>537773</v>
      </c>
      <c r="G124" s="511">
        <f>+'q12'!$F$10</f>
        <v>569098</v>
      </c>
      <c r="H124" s="511">
        <f>+'q12'!$G$10</f>
        <v>581232</v>
      </c>
      <c r="I124" s="511">
        <f>+'q12'!$H$10</f>
        <v>596772</v>
      </c>
      <c r="J124" s="511">
        <f>+'q12'!$I$10</f>
        <v>586860.00000000012</v>
      </c>
      <c r="K124" s="511">
        <f>+'q12'!$J$10</f>
        <v>588688</v>
      </c>
      <c r="L124" s="511">
        <f>+'q12'!$K$10</f>
        <v>633694</v>
      </c>
      <c r="M124" s="511">
        <f>+'q12'!$L$10</f>
        <v>658882.00000000012</v>
      </c>
      <c r="CJ124" s="689"/>
      <c r="CK124" s="689"/>
      <c r="CL124" s="689"/>
      <c r="CM124" s="689"/>
      <c r="CN124" s="689"/>
      <c r="CO124" s="689"/>
    </row>
    <row r="125" spans="1:93">
      <c r="A125" s="500"/>
      <c r="B125" s="500" t="str">
        <f>+'q12'!$A$11</f>
        <v>Alto Tâmega e Barroso</v>
      </c>
      <c r="C125" s="511">
        <f>+'q12'!$B$11</f>
        <v>12212.999999999998</v>
      </c>
      <c r="D125" s="511">
        <f>+'q12'!$C$11</f>
        <v>12481</v>
      </c>
      <c r="E125" s="511">
        <f>+'q12'!$D$11</f>
        <v>12990</v>
      </c>
      <c r="F125" s="511">
        <f>+'q12'!$E$11</f>
        <v>13302</v>
      </c>
      <c r="G125" s="511">
        <f>+'q12'!$F$11</f>
        <v>14461</v>
      </c>
      <c r="H125" s="511">
        <f>+'q12'!$G$11</f>
        <v>14799</v>
      </c>
      <c r="I125" s="511">
        <f>+'q12'!$H$11</f>
        <v>15061.000000000002</v>
      </c>
      <c r="J125" s="511">
        <f>+'q12'!$I$11</f>
        <v>14649</v>
      </c>
      <c r="K125" s="511">
        <f>+'q12'!$J$11</f>
        <v>14857.000000000002</v>
      </c>
      <c r="L125" s="511">
        <f>+'q12'!$K$11</f>
        <v>15757.000000000002</v>
      </c>
      <c r="M125" s="511">
        <f>+'q12'!$L$11</f>
        <v>16238</v>
      </c>
      <c r="CJ125" s="689"/>
      <c r="CK125" s="689"/>
      <c r="CL125" s="689"/>
      <c r="CM125" s="689"/>
      <c r="CN125" s="689"/>
      <c r="CO125" s="689"/>
    </row>
    <row r="126" spans="1:93">
      <c r="A126" s="500"/>
      <c r="B126" s="500" t="str">
        <f>+'q12'!$A$12</f>
        <v>Tâmega e Sousa</v>
      </c>
      <c r="C126" s="511">
        <f>+'q12'!$B$12</f>
        <v>105008.99999999999</v>
      </c>
      <c r="D126" s="511">
        <f>+'q12'!$C$12</f>
        <v>109577</v>
      </c>
      <c r="E126" s="511">
        <f>+'q12'!$D$12</f>
        <v>113797.99999999999</v>
      </c>
      <c r="F126" s="511">
        <f>+'q12'!$E$12</f>
        <v>117764.99999999999</v>
      </c>
      <c r="G126" s="511">
        <f>+'q12'!$F$12</f>
        <v>121423</v>
      </c>
      <c r="H126" s="511">
        <f>+'q12'!$G$12</f>
        <v>124176</v>
      </c>
      <c r="I126" s="511">
        <f>+'q12'!$H$12</f>
        <v>123941</v>
      </c>
      <c r="J126" s="511">
        <f>+'q12'!$I$12</f>
        <v>124025</v>
      </c>
      <c r="K126" s="511">
        <f>+'q12'!$J$12</f>
        <v>127874.00000000001</v>
      </c>
      <c r="L126" s="511">
        <f>+'q12'!$K$12</f>
        <v>134241</v>
      </c>
      <c r="M126" s="511">
        <f>+'q12'!$L$12</f>
        <v>138339</v>
      </c>
      <c r="CJ126" s="689"/>
      <c r="CK126" s="689"/>
      <c r="CL126" s="689"/>
      <c r="CM126" s="689"/>
      <c r="CN126" s="689"/>
      <c r="CO126" s="689"/>
    </row>
    <row r="127" spans="1:93">
      <c r="A127" s="500"/>
      <c r="B127" s="500" t="str">
        <f>+'q12'!$A$13</f>
        <v>Douro</v>
      </c>
      <c r="C127" s="511">
        <f>+'q12'!$B$13</f>
        <v>32813</v>
      </c>
      <c r="D127" s="511">
        <f>+'q12'!$C$13</f>
        <v>32882.000000000007</v>
      </c>
      <c r="E127" s="511">
        <f>+'q12'!$D$13</f>
        <v>33847</v>
      </c>
      <c r="F127" s="511">
        <f>+'q12'!$E$13</f>
        <v>34594.999999999993</v>
      </c>
      <c r="G127" s="511">
        <f>+'q12'!$F$13</f>
        <v>35335</v>
      </c>
      <c r="H127" s="511">
        <f>+'q12'!$G$13</f>
        <v>36289.000000000007</v>
      </c>
      <c r="I127" s="511">
        <f>+'q12'!$H$13</f>
        <v>36417</v>
      </c>
      <c r="J127" s="511">
        <f>+'q12'!$I$13</f>
        <v>37413</v>
      </c>
      <c r="K127" s="511">
        <f>+'q12'!$J$13</f>
        <v>38175.000000000015</v>
      </c>
      <c r="L127" s="511">
        <f>+'q12'!$K$13</f>
        <v>40025.000000000007</v>
      </c>
      <c r="M127" s="511">
        <f>+'q12'!$L$13</f>
        <v>42126.999999999993</v>
      </c>
      <c r="CJ127" s="689"/>
      <c r="CK127" s="689"/>
      <c r="CL127" s="689"/>
      <c r="CM127" s="689"/>
      <c r="CN127" s="689"/>
      <c r="CO127" s="689"/>
    </row>
    <row r="128" spans="1:93">
      <c r="A128" s="500"/>
      <c r="B128" s="500" t="str">
        <f>+'q12'!$A$14</f>
        <v>Terras de Trás-os-Montes</v>
      </c>
      <c r="C128" s="511">
        <f>+'q12'!$B$14</f>
        <v>16888</v>
      </c>
      <c r="D128" s="511">
        <f>+'q12'!$C$14</f>
        <v>17417</v>
      </c>
      <c r="E128" s="511">
        <f>+'q12'!$D$14</f>
        <v>17956.000000000004</v>
      </c>
      <c r="F128" s="511">
        <f>+'q12'!$E$14</f>
        <v>18472</v>
      </c>
      <c r="G128" s="511">
        <f>+'q12'!$F$14</f>
        <v>18943</v>
      </c>
      <c r="H128" s="511">
        <f>+'q12'!$G$14</f>
        <v>19367.000000000004</v>
      </c>
      <c r="I128" s="511">
        <f>+'q12'!$H$14</f>
        <v>19367</v>
      </c>
      <c r="J128" s="511">
        <f>+'q12'!$I$14</f>
        <v>19886</v>
      </c>
      <c r="K128" s="511">
        <f>+'q12'!$J$14</f>
        <v>20217.999999999996</v>
      </c>
      <c r="L128" s="511">
        <f>+'q12'!$K$14</f>
        <v>20667.999999999996</v>
      </c>
      <c r="M128" s="511">
        <f>+'q12'!$L$14</f>
        <v>21461.999999999993</v>
      </c>
    </row>
    <row r="129" spans="1:52">
      <c r="A129" s="500"/>
      <c r="B129" s="500" t="str">
        <f>+'q12'!$A$16</f>
        <v>Região de Aveiro</v>
      </c>
      <c r="C129" s="511">
        <f>+'q12'!$B$16</f>
        <v>101729.00000000001</v>
      </c>
      <c r="D129" s="511">
        <f>+'q12'!$C$16</f>
        <v>105834</v>
      </c>
      <c r="E129" s="511">
        <f>+'q12'!$D$16</f>
        <v>108508</v>
      </c>
      <c r="F129" s="511">
        <f>+'q12'!$E$16</f>
        <v>114017</v>
      </c>
      <c r="G129" s="511">
        <f>+'q12'!$F$16</f>
        <v>118713.00000000001</v>
      </c>
      <c r="H129" s="511">
        <f>+'q12'!$G$16</f>
        <v>125109.00000000001</v>
      </c>
      <c r="I129" s="511">
        <f>+'q12'!$H$16</f>
        <v>126163.00000000001</v>
      </c>
      <c r="J129" s="511">
        <f>+'q12'!$I$16</f>
        <v>127075</v>
      </c>
      <c r="K129" s="511">
        <f>+'q12'!$J$16</f>
        <v>124894</v>
      </c>
      <c r="L129" s="511">
        <f>+'q12'!$K$16</f>
        <v>135023</v>
      </c>
      <c r="M129" s="511">
        <f>+'q12'!$L$16</f>
        <v>139483</v>
      </c>
    </row>
    <row r="130" spans="1:52">
      <c r="A130" s="500"/>
      <c r="B130" s="500" t="str">
        <f>+'q12'!$A$17</f>
        <v>Região de Coimbra</v>
      </c>
      <c r="C130" s="511">
        <f>+'q12'!$B$17</f>
        <v>99480</v>
      </c>
      <c r="D130" s="511">
        <f>+'q12'!$C$17</f>
        <v>98821</v>
      </c>
      <c r="E130" s="511">
        <f>+'q12'!$D$17</f>
        <v>101551</v>
      </c>
      <c r="F130" s="511">
        <f>+'q12'!$E$17</f>
        <v>103167.00000000001</v>
      </c>
      <c r="G130" s="511">
        <f>+'q12'!$F$17</f>
        <v>107820.00000000001</v>
      </c>
      <c r="H130" s="511">
        <f>+'q12'!$G$17</f>
        <v>109081.99999999999</v>
      </c>
      <c r="I130" s="511">
        <f>+'q12'!$H$17</f>
        <v>110360.99999999999</v>
      </c>
      <c r="J130" s="511">
        <f>+'q12'!$I$17</f>
        <v>111631.00000000001</v>
      </c>
      <c r="K130" s="511">
        <f>+'q12'!$J$17</f>
        <v>111741.99999999999</v>
      </c>
      <c r="L130" s="511">
        <f>+'q12'!$K$17</f>
        <v>119330.00000000001</v>
      </c>
      <c r="M130" s="511">
        <f>+'q12'!$L$17</f>
        <v>122152</v>
      </c>
    </row>
    <row r="131" spans="1:52">
      <c r="A131" s="500"/>
      <c r="B131" s="500" t="str">
        <f>+'q12'!$A$18</f>
        <v>Região de Leiria</v>
      </c>
      <c r="C131" s="511">
        <f>+'q12'!$B$18</f>
        <v>84147</v>
      </c>
      <c r="D131" s="511">
        <f>+'q12'!$C$18</f>
        <v>88098.000000000015</v>
      </c>
      <c r="E131" s="511">
        <f>+'q12'!$D$18</f>
        <v>90173</v>
      </c>
      <c r="F131" s="511">
        <f>+'q12'!$E$18</f>
        <v>93302</v>
      </c>
      <c r="G131" s="511">
        <f>+'q12'!$F$18</f>
        <v>96838</v>
      </c>
      <c r="H131" s="511">
        <f>+'q12'!$G$18</f>
        <v>98908</v>
      </c>
      <c r="I131" s="511">
        <f>+'q12'!$H$18</f>
        <v>99524.000000000015</v>
      </c>
      <c r="J131" s="511">
        <f>+'q12'!$I$18</f>
        <v>99673</v>
      </c>
      <c r="K131" s="511">
        <f>+'q12'!$J$18</f>
        <v>101975</v>
      </c>
      <c r="L131" s="511">
        <f>+'q12'!$K$18</f>
        <v>105680</v>
      </c>
      <c r="M131" s="511">
        <f>+'q12'!$L$18</f>
        <v>109519</v>
      </c>
    </row>
    <row r="132" spans="1:52">
      <c r="A132" s="500"/>
      <c r="B132" s="500" t="str">
        <f>+'q12'!$A$19</f>
        <v>Viseu Dão Lafões</v>
      </c>
      <c r="C132" s="511">
        <f>+'q12'!$B$19</f>
        <v>57790</v>
      </c>
      <c r="D132" s="511">
        <f>+'q12'!$C$19</f>
        <v>59194.999999999985</v>
      </c>
      <c r="E132" s="511">
        <f>+'q12'!$D$19</f>
        <v>60825.999999999993</v>
      </c>
      <c r="F132" s="511">
        <f>+'q12'!$E$19</f>
        <v>62720.000000000015</v>
      </c>
      <c r="G132" s="511">
        <f>+'q12'!$F$19</f>
        <v>65047.999999999993</v>
      </c>
      <c r="H132" s="511">
        <f>+'q12'!$G$19</f>
        <v>68123</v>
      </c>
      <c r="I132" s="511">
        <f>+'q12'!$H$19</f>
        <v>69618</v>
      </c>
      <c r="J132" s="511">
        <f>+'q12'!$I$19</f>
        <v>69458</v>
      </c>
      <c r="K132" s="511">
        <f>+'q12'!$J$19</f>
        <v>69853</v>
      </c>
      <c r="L132" s="511">
        <f>+'q12'!$K$19</f>
        <v>74206</v>
      </c>
      <c r="M132" s="511">
        <f>+'q12'!$L$19</f>
        <v>77276</v>
      </c>
    </row>
    <row r="133" spans="1:52">
      <c r="A133" s="500"/>
      <c r="B133" s="500" t="str">
        <f>+'q12'!$A$20</f>
        <v>Beira Baixa</v>
      </c>
      <c r="C133" s="511">
        <f>+'q12'!$B$20</f>
        <v>19693</v>
      </c>
      <c r="D133" s="511">
        <f>+'q12'!$C$20</f>
        <v>20702</v>
      </c>
      <c r="E133" s="511">
        <f>+'q12'!$D$20</f>
        <v>20362</v>
      </c>
      <c r="F133" s="511">
        <f>+'q12'!$E$20</f>
        <v>20449</v>
      </c>
      <c r="G133" s="511">
        <f>+'q12'!$F$20</f>
        <v>20492</v>
      </c>
      <c r="H133" s="511">
        <f>+'q12'!$G$20</f>
        <v>22102</v>
      </c>
      <c r="I133" s="511">
        <f>+'q12'!$H$20</f>
        <v>21918</v>
      </c>
      <c r="J133" s="511">
        <f>+'q12'!$I$20</f>
        <v>21929</v>
      </c>
      <c r="K133" s="511">
        <f>+'q12'!$J$20</f>
        <v>21615</v>
      </c>
      <c r="L133" s="511">
        <f>+'q12'!$K$20</f>
        <v>22628</v>
      </c>
      <c r="M133" s="511">
        <f>+'q12'!$L$20</f>
        <v>23604</v>
      </c>
    </row>
    <row r="134" spans="1:52">
      <c r="A134" s="500"/>
      <c r="B134" s="500" t="str">
        <f>+'q12'!$A$21</f>
        <v>Beiras e Serra da Estrela</v>
      </c>
      <c r="C134" s="511">
        <f>+'q12'!$B$21</f>
        <v>43057.999999999993</v>
      </c>
      <c r="D134" s="511">
        <f>+'q12'!$C$21</f>
        <v>44158</v>
      </c>
      <c r="E134" s="511">
        <f>+'q12'!$D$21</f>
        <v>44765</v>
      </c>
      <c r="F134" s="511">
        <f>+'q12'!$E$21</f>
        <v>45284</v>
      </c>
      <c r="G134" s="511">
        <f>+'q12'!$F$21</f>
        <v>46740.000000000007</v>
      </c>
      <c r="H134" s="511">
        <f>+'q12'!$G$21</f>
        <v>47904</v>
      </c>
      <c r="I134" s="511">
        <f>+'q12'!$H$21</f>
        <v>46651</v>
      </c>
      <c r="J134" s="511">
        <f>+'q12'!$I$21</f>
        <v>46640</v>
      </c>
      <c r="K134" s="511">
        <f>+'q12'!$J$21</f>
        <v>47210</v>
      </c>
      <c r="L134" s="511">
        <f>+'q12'!$K$21</f>
        <v>49443</v>
      </c>
      <c r="M134" s="511">
        <f>+'q12'!$L$21</f>
        <v>52184</v>
      </c>
    </row>
    <row r="135" spans="1:52">
      <c r="A135" s="500"/>
      <c r="B135" s="500" t="str">
        <f>+'q12'!$A$23</f>
        <v>Oeste</v>
      </c>
      <c r="C135" s="511">
        <f>+'q12'!$B$23</f>
        <v>79682</v>
      </c>
      <c r="D135" s="511">
        <f>+'q12'!$C$23</f>
        <v>83007</v>
      </c>
      <c r="E135" s="511">
        <f>+'q12'!$D$23</f>
        <v>85074</v>
      </c>
      <c r="F135" s="511">
        <f>+'q12'!$E$23</f>
        <v>87605.999999999985</v>
      </c>
      <c r="G135" s="511">
        <f>+'q12'!$F$23</f>
        <v>92480</v>
      </c>
      <c r="H135" s="511">
        <f>+'q12'!$G$23</f>
        <v>100447</v>
      </c>
      <c r="I135" s="511">
        <f>+'q12'!$H$23</f>
        <v>102230.00000000001</v>
      </c>
      <c r="J135" s="511">
        <f>+'q12'!$I$23</f>
        <v>101028.99999999999</v>
      </c>
      <c r="K135" s="511">
        <f>+'q12'!$J$23</f>
        <v>99264.999999999985</v>
      </c>
      <c r="L135" s="511">
        <f>+'q12'!$K$23</f>
        <v>105262</v>
      </c>
      <c r="M135" s="511">
        <f>+'q12'!$L$23</f>
        <v>111666</v>
      </c>
      <c r="AU135" s="526"/>
      <c r="AV135" s="526"/>
      <c r="AW135" s="526"/>
      <c r="AX135" s="526"/>
      <c r="AY135" s="526"/>
      <c r="AZ135" s="526"/>
    </row>
    <row r="136" spans="1:52">
      <c r="A136" s="500"/>
      <c r="B136" s="500" t="str">
        <f>+'q12'!$A$24</f>
        <v>Médio Tejo</v>
      </c>
      <c r="C136" s="511">
        <f>+'q12'!$B$24</f>
        <v>49139</v>
      </c>
      <c r="D136" s="511">
        <f>+'q12'!$C$24</f>
        <v>49897</v>
      </c>
      <c r="E136" s="511">
        <f>+'q12'!$D$24</f>
        <v>51350</v>
      </c>
      <c r="F136" s="511">
        <f>+'q12'!$E$24</f>
        <v>51114</v>
      </c>
      <c r="G136" s="511">
        <f>+'q12'!$F$24</f>
        <v>53556</v>
      </c>
      <c r="H136" s="511">
        <f>+'q12'!$G$24</f>
        <v>54546.999999999993</v>
      </c>
      <c r="I136" s="511">
        <f>+'q12'!$H$24</f>
        <v>55892</v>
      </c>
      <c r="J136" s="511">
        <f>+'q12'!$I$24</f>
        <v>55002</v>
      </c>
      <c r="K136" s="511">
        <f>+'q12'!$J$24</f>
        <v>54352.000000000007</v>
      </c>
      <c r="L136" s="511">
        <f>+'q12'!$K$24</f>
        <v>58043.999999999993</v>
      </c>
      <c r="M136" s="511">
        <f>+'q12'!$L$24</f>
        <v>59990</v>
      </c>
      <c r="AU136" s="526"/>
      <c r="AV136" s="526"/>
      <c r="AW136" s="526"/>
      <c r="AX136" s="526"/>
      <c r="AY136" s="526"/>
      <c r="AZ136" s="526"/>
    </row>
    <row r="137" spans="1:52">
      <c r="A137" s="500"/>
      <c r="B137" s="500" t="str">
        <f>+'q12'!$A$25</f>
        <v>Lezíria do Tejo</v>
      </c>
      <c r="C137" s="511">
        <f>+'q12'!$B$25</f>
        <v>53158.999999999993</v>
      </c>
      <c r="D137" s="511">
        <f>+'q12'!$C$25</f>
        <v>54260</v>
      </c>
      <c r="E137" s="511">
        <f>+'q12'!$D$25</f>
        <v>55003</v>
      </c>
      <c r="F137" s="511">
        <f>+'q12'!$E$25</f>
        <v>57238.000000000007</v>
      </c>
      <c r="G137" s="511">
        <f>+'q12'!$F$25</f>
        <v>61082</v>
      </c>
      <c r="H137" s="511">
        <f>+'q12'!$G$25</f>
        <v>63366.999999999993</v>
      </c>
      <c r="I137" s="511">
        <f>+'q12'!$H$25</f>
        <v>64381</v>
      </c>
      <c r="J137" s="511">
        <f>+'q12'!$I$25</f>
        <v>66472</v>
      </c>
      <c r="K137" s="511">
        <f>+'q12'!$J$25</f>
        <v>66608</v>
      </c>
      <c r="L137" s="511">
        <f>+'q12'!$K$25</f>
        <v>70357</v>
      </c>
      <c r="M137" s="511">
        <f>+'q12'!$L$25</f>
        <v>73041</v>
      </c>
      <c r="AU137" s="526"/>
      <c r="AV137" s="526"/>
      <c r="AW137" s="526"/>
      <c r="AX137" s="526"/>
      <c r="AY137" s="526"/>
      <c r="AZ137" s="526"/>
    </row>
    <row r="138" spans="1:52">
      <c r="A138" s="500"/>
      <c r="B138" s="500" t="str">
        <f>+'q12'!$A$26</f>
        <v>Grande Lisboa</v>
      </c>
      <c r="C138" s="511">
        <f>+'q12'!$B$26</f>
        <v>692704</v>
      </c>
      <c r="D138" s="511">
        <f>+'q12'!$C$26</f>
        <v>715126</v>
      </c>
      <c r="E138" s="511">
        <f>+'q12'!$D$26</f>
        <v>730551</v>
      </c>
      <c r="F138" s="511">
        <f>+'q12'!$E$26</f>
        <v>765222</v>
      </c>
      <c r="G138" s="511">
        <f>+'q12'!$F$26</f>
        <v>790694</v>
      </c>
      <c r="H138" s="511">
        <f>+'q12'!$G$26</f>
        <v>826919</v>
      </c>
      <c r="I138" s="511">
        <f>+'q12'!$H$26</f>
        <v>845336</v>
      </c>
      <c r="J138" s="511">
        <f>+'q12'!$I$26</f>
        <v>835460</v>
      </c>
      <c r="K138" s="511">
        <f>+'q12'!$J$26</f>
        <v>838586</v>
      </c>
      <c r="L138" s="511">
        <f>+'q12'!$K$26</f>
        <v>915180</v>
      </c>
      <c r="M138" s="511">
        <f>+'q12'!$L$26</f>
        <v>969558</v>
      </c>
      <c r="AU138" s="526"/>
      <c r="AV138" s="526"/>
      <c r="AW138" s="526"/>
      <c r="AX138" s="526"/>
      <c r="AY138" s="526"/>
      <c r="AZ138" s="526"/>
    </row>
    <row r="139" spans="1:52">
      <c r="A139" s="500"/>
      <c r="B139" s="500" t="str">
        <f>+'q12'!$A$27</f>
        <v>Península de Setúbal</v>
      </c>
      <c r="C139" s="511">
        <f>+'q12'!$B$27</f>
        <v>128055</v>
      </c>
      <c r="D139" s="511">
        <f>+'q12'!$C$27</f>
        <v>129592</v>
      </c>
      <c r="E139" s="511">
        <f>+'q12'!$D$27</f>
        <v>132359</v>
      </c>
      <c r="F139" s="511">
        <f>+'q12'!$E$27</f>
        <v>135968</v>
      </c>
      <c r="G139" s="511">
        <f>+'q12'!$F$27</f>
        <v>143619</v>
      </c>
      <c r="H139" s="511">
        <f>+'q12'!$G$27</f>
        <v>152137</v>
      </c>
      <c r="I139" s="511">
        <f>+'q12'!$H$27</f>
        <v>155943</v>
      </c>
      <c r="J139" s="511">
        <f>+'q12'!$I$27</f>
        <v>156000</v>
      </c>
      <c r="K139" s="511">
        <f>+'q12'!$J$27</f>
        <v>157437</v>
      </c>
      <c r="L139" s="511">
        <f>+'q12'!$K$27</f>
        <v>168606.00000000003</v>
      </c>
      <c r="M139" s="511">
        <f>+'q12'!$L$27</f>
        <v>173313</v>
      </c>
      <c r="AU139" s="526"/>
      <c r="AV139" s="526"/>
      <c r="AW139" s="526"/>
      <c r="AX139" s="526"/>
      <c r="AY139" s="526"/>
      <c r="AZ139" s="526"/>
    </row>
    <row r="140" spans="1:52">
      <c r="A140" s="500"/>
      <c r="B140" s="500" t="str">
        <f>+'q12'!$A$29</f>
        <v>Alentejo Litoral</v>
      </c>
      <c r="C140" s="511">
        <f>+'q12'!$B$29</f>
        <v>21618</v>
      </c>
      <c r="D140" s="511">
        <f>+'q12'!$C$29</f>
        <v>21990</v>
      </c>
      <c r="E140" s="511">
        <f>+'q12'!$D$29</f>
        <v>23369</v>
      </c>
      <c r="F140" s="511">
        <f>+'q12'!$E$29</f>
        <v>24792</v>
      </c>
      <c r="G140" s="511">
        <f>+'q12'!$F$29</f>
        <v>26345</v>
      </c>
      <c r="H140" s="511">
        <f>+'q12'!$G$29</f>
        <v>27966</v>
      </c>
      <c r="I140" s="511">
        <f>+'q12'!$H$29</f>
        <v>29548</v>
      </c>
      <c r="J140" s="511">
        <f>+'q12'!$I$29</f>
        <v>33057</v>
      </c>
      <c r="K140" s="511">
        <f>+'q12'!$J$29</f>
        <v>33366</v>
      </c>
      <c r="L140" s="511">
        <f>+'q12'!$K$29</f>
        <v>35947</v>
      </c>
      <c r="M140" s="511">
        <f>+'q12'!$L$29</f>
        <v>37881</v>
      </c>
      <c r="AU140" s="526"/>
      <c r="AV140" s="526"/>
      <c r="AW140" s="526"/>
      <c r="AX140" s="526"/>
      <c r="AY140" s="526"/>
      <c r="AZ140" s="526"/>
    </row>
    <row r="141" spans="1:52">
      <c r="A141" s="500"/>
      <c r="B141" s="500" t="str">
        <f>+'q12'!$A$30</f>
        <v>Baixo Alentejo</v>
      </c>
      <c r="C141" s="511">
        <f>+'q12'!$B$30</f>
        <v>23564</v>
      </c>
      <c r="D141" s="511">
        <f>+'q12'!$C$30</f>
        <v>23979.999999999996</v>
      </c>
      <c r="E141" s="511">
        <f>+'q12'!$D$30</f>
        <v>24788</v>
      </c>
      <c r="F141" s="511">
        <f>+'q12'!$E$30</f>
        <v>25090</v>
      </c>
      <c r="G141" s="511">
        <f>+'q12'!$F$30</f>
        <v>26560</v>
      </c>
      <c r="H141" s="511">
        <f>+'q12'!$G$30</f>
        <v>26946.000000000004</v>
      </c>
      <c r="I141" s="511">
        <f>+'q12'!$H$30</f>
        <v>26981</v>
      </c>
      <c r="J141" s="511">
        <f>+'q12'!$I$30</f>
        <v>26942</v>
      </c>
      <c r="K141" s="511">
        <f>+'q12'!$J$30</f>
        <v>27020.999999999993</v>
      </c>
      <c r="L141" s="511">
        <f>+'q12'!$K$30</f>
        <v>29984</v>
      </c>
      <c r="M141" s="511">
        <f>+'q12'!$L$30</f>
        <v>31710.000000000004</v>
      </c>
      <c r="AU141" s="526"/>
      <c r="AV141" s="526"/>
      <c r="AW141" s="526"/>
      <c r="AX141" s="526"/>
      <c r="AY141" s="526"/>
      <c r="AZ141" s="526"/>
    </row>
    <row r="142" spans="1:52">
      <c r="A142" s="500"/>
      <c r="B142" s="500" t="str">
        <f>+'q12'!$A$31</f>
        <v>Alto Alentejo</v>
      </c>
      <c r="C142" s="511">
        <f>+'q12'!$B$31</f>
        <v>20094</v>
      </c>
      <c r="D142" s="511">
        <f>+'q12'!$C$31</f>
        <v>20497.000000000004</v>
      </c>
      <c r="E142" s="511">
        <f>+'q12'!$D$31</f>
        <v>20703.999999999996</v>
      </c>
      <c r="F142" s="511">
        <f>+'q12'!$E$31</f>
        <v>21614.000000000004</v>
      </c>
      <c r="G142" s="511">
        <f>+'q12'!$F$31</f>
        <v>22068</v>
      </c>
      <c r="H142" s="511">
        <f>+'q12'!$G$31</f>
        <v>22055.999999999996</v>
      </c>
      <c r="I142" s="511">
        <f>+'q12'!$H$31</f>
        <v>22201.000000000004</v>
      </c>
      <c r="J142" s="511">
        <f>+'q12'!$I$31</f>
        <v>22475</v>
      </c>
      <c r="K142" s="511">
        <f>+'q12'!$J$31</f>
        <v>21854</v>
      </c>
      <c r="L142" s="511">
        <f>+'q12'!$K$31</f>
        <v>23056</v>
      </c>
      <c r="M142" s="511">
        <f>+'q12'!$L$31</f>
        <v>24444.000000000004</v>
      </c>
      <c r="AU142" s="526"/>
      <c r="AV142" s="526"/>
      <c r="AW142" s="526"/>
      <c r="AX142" s="526"/>
      <c r="AY142" s="526"/>
      <c r="AZ142" s="526"/>
    </row>
    <row r="143" spans="1:52">
      <c r="A143" s="500"/>
      <c r="B143" s="500" t="str">
        <f>+'q12'!$A$32</f>
        <v>Alentejo Central</v>
      </c>
      <c r="C143" s="511">
        <f>+'q12'!$B$32</f>
        <v>34466</v>
      </c>
      <c r="D143" s="511">
        <f>+'q12'!$C$32</f>
        <v>35478</v>
      </c>
      <c r="E143" s="511">
        <f>+'q12'!$D$32</f>
        <v>36817</v>
      </c>
      <c r="F143" s="511">
        <f>+'q12'!$E$32</f>
        <v>38198</v>
      </c>
      <c r="G143" s="511">
        <f>+'q12'!$F$32</f>
        <v>39028.999999999993</v>
      </c>
      <c r="H143" s="511">
        <f>+'q12'!$G$32</f>
        <v>40741</v>
      </c>
      <c r="I143" s="511">
        <f>+'q12'!$H$32</f>
        <v>40943.999999999993</v>
      </c>
      <c r="J143" s="511">
        <f>+'q12'!$I$32</f>
        <v>40465</v>
      </c>
      <c r="K143" s="511">
        <f>+'q12'!$J$32</f>
        <v>40724.999999999993</v>
      </c>
      <c r="L143" s="511">
        <f>+'q12'!$K$32</f>
        <v>43523</v>
      </c>
      <c r="M143" s="511">
        <f>+'q12'!$L$32</f>
        <v>45228</v>
      </c>
      <c r="AU143" s="526"/>
      <c r="AV143" s="526"/>
      <c r="AW143" s="526"/>
      <c r="AX143" s="526"/>
      <c r="AY143" s="526"/>
      <c r="AZ143" s="526"/>
    </row>
    <row r="144" spans="1:52">
      <c r="A144" s="500"/>
      <c r="B144" s="500" t="str">
        <f>+'q12'!$A$33</f>
        <v>Algarve</v>
      </c>
      <c r="C144" s="511">
        <f>+'q12'!$B$33</f>
        <v>114172.00000000001</v>
      </c>
      <c r="D144" s="511">
        <f>+'q12'!$C$33</f>
        <v>119459</v>
      </c>
      <c r="E144" s="511">
        <f>+'q12'!$D$33</f>
        <v>126979.99999999999</v>
      </c>
      <c r="F144" s="511">
        <f>+'q12'!$E$33</f>
        <v>135848.00000000003</v>
      </c>
      <c r="G144" s="511">
        <f>+'q12'!$F$33</f>
        <v>145770.00000000003</v>
      </c>
      <c r="H144" s="511">
        <f>+'q12'!$G$33</f>
        <v>154417</v>
      </c>
      <c r="I144" s="511">
        <f>+'q12'!$H$33</f>
        <v>160288</v>
      </c>
      <c r="J144" s="511">
        <f>+'q12'!$I$33</f>
        <v>144667.99999999997</v>
      </c>
      <c r="K144" s="511">
        <f>+'q12'!$J$33</f>
        <v>148406</v>
      </c>
      <c r="L144" s="511">
        <f>+'q12'!$K$33</f>
        <v>165503</v>
      </c>
      <c r="M144" s="511">
        <f>+'q12'!$L$33</f>
        <v>178434</v>
      </c>
    </row>
    <row r="145" spans="1:47">
      <c r="B145" s="500" t="s">
        <v>14</v>
      </c>
      <c r="C145" s="511">
        <f>+'q12'!$B$5</f>
        <v>2555676</v>
      </c>
      <c r="D145" s="511">
        <f>+'q12'!$C$5</f>
        <v>2636881</v>
      </c>
      <c r="E145" s="511">
        <f>+'q12'!$D$5</f>
        <v>2716011</v>
      </c>
      <c r="F145" s="511">
        <f>+'q12'!$E$5</f>
        <v>2819978</v>
      </c>
      <c r="G145" s="511">
        <f>+'q12'!$F$5</f>
        <v>2946903</v>
      </c>
      <c r="H145" s="511">
        <f>+'q12'!$G$5</f>
        <v>3060489</v>
      </c>
      <c r="I145" s="511">
        <f>+'q12'!$H$5</f>
        <v>3110949</v>
      </c>
      <c r="J145" s="511">
        <f>+'q12'!$I$5</f>
        <v>3085566</v>
      </c>
      <c r="K145" s="511">
        <f>+'q12'!$J$5</f>
        <v>3102345</v>
      </c>
      <c r="L145" s="511">
        <f>+'q12'!$K$5</f>
        <v>3337082</v>
      </c>
      <c r="M145" s="511">
        <f>+'q12'!$L$5</f>
        <v>3489582.9999999995</v>
      </c>
    </row>
    <row r="146" spans="1:47">
      <c r="AU146" s="499">
        <f>LEN(AU135)</f>
        <v>0</v>
      </c>
    </row>
    <row r="149" spans="1:47">
      <c r="A149" s="500" t="s">
        <v>593</v>
      </c>
      <c r="D149" s="501"/>
    </row>
    <row r="150" spans="1:47">
      <c r="A150" s="631" t="s">
        <v>185</v>
      </c>
      <c r="C150" s="500">
        <f>+'q16'!$B$4</f>
        <v>2013</v>
      </c>
      <c r="D150" s="500">
        <f>+'q16'!$C$4</f>
        <v>2014</v>
      </c>
      <c r="E150" s="500">
        <f>+'q16'!$D$4</f>
        <v>2015</v>
      </c>
      <c r="F150" s="500">
        <f>+'q16'!$E$4</f>
        <v>2016</v>
      </c>
      <c r="G150" s="500">
        <f>+'q16'!$F$4</f>
        <v>2017</v>
      </c>
      <c r="H150" s="500">
        <f>+'q16'!$G$4</f>
        <v>2018</v>
      </c>
      <c r="I150" s="500">
        <f>+'q16'!$H$4</f>
        <v>2019</v>
      </c>
      <c r="J150" s="500">
        <f>+'q16'!$I$4</f>
        <v>2020</v>
      </c>
      <c r="K150" s="500">
        <f>+'q16'!$J$4</f>
        <v>2021</v>
      </c>
      <c r="L150" s="500">
        <f>+'q16'!$K$4</f>
        <v>2022</v>
      </c>
      <c r="M150" s="500">
        <f>+'q16'!$L$4</f>
        <v>2023</v>
      </c>
    </row>
    <row r="151" spans="1:47">
      <c r="A151" s="500" t="s">
        <v>579</v>
      </c>
      <c r="B151" s="500" t="str">
        <f>+'q16'!$A$6</f>
        <v>Norte</v>
      </c>
      <c r="C151" s="511">
        <f>+'q16'!$B$6</f>
        <v>867596</v>
      </c>
      <c r="D151" s="511">
        <f>+'q16'!$C$6</f>
        <v>898201.00000000035</v>
      </c>
      <c r="E151" s="511">
        <f>+'q16'!$D$6</f>
        <v>934106</v>
      </c>
      <c r="F151" s="511">
        <f>+'q16'!$E$6</f>
        <v>969358.00000000047</v>
      </c>
      <c r="G151" s="511">
        <f>+'q16'!$F$6</f>
        <v>1020482.9999999999</v>
      </c>
      <c r="H151" s="511">
        <f>+'q16'!$G$6</f>
        <v>1048977.9999999998</v>
      </c>
      <c r="I151" s="511">
        <f>+'q16'!$H$6</f>
        <v>1063143</v>
      </c>
      <c r="J151" s="511">
        <f>+'q16'!$I$6</f>
        <v>1057089.9999999993</v>
      </c>
      <c r="K151" s="511">
        <f>+'q16'!$J$6</f>
        <v>1067824.0000000007</v>
      </c>
      <c r="L151" s="511">
        <f>+'q16'!$K$6</f>
        <v>1142574.9999999998</v>
      </c>
      <c r="M151" s="511">
        <f>+'q16'!$L$6</f>
        <v>1186032</v>
      </c>
    </row>
    <row r="152" spans="1:47">
      <c r="A152" s="500"/>
      <c r="B152" s="500" t="str">
        <f>+'q16'!$A$15</f>
        <v>Centro</v>
      </c>
      <c r="C152" s="511">
        <f>+'q16'!$B$15</f>
        <v>375479.00000000012</v>
      </c>
      <c r="D152" s="511">
        <f>+'q16'!$C$15</f>
        <v>385062.00000000006</v>
      </c>
      <c r="E152" s="511">
        <f>+'q16'!$D$15</f>
        <v>394749.00000000006</v>
      </c>
      <c r="F152" s="511">
        <f>+'q16'!$E$15</f>
        <v>407291</v>
      </c>
      <c r="G152" s="511">
        <f>+'q16'!$F$15</f>
        <v>423923.00000000012</v>
      </c>
      <c r="H152" s="511">
        <f>+'q16'!$G$15</f>
        <v>439199</v>
      </c>
      <c r="I152" s="511">
        <f>+'q16'!$H$15</f>
        <v>442560.99999999988</v>
      </c>
      <c r="J152" s="511">
        <f>+'q16'!$I$15</f>
        <v>444343.99999999994</v>
      </c>
      <c r="K152" s="511">
        <f>+'q16'!$J$15</f>
        <v>445473.00000000006</v>
      </c>
      <c r="L152" s="511">
        <f>+'q16'!$K$15</f>
        <v>473399</v>
      </c>
      <c r="M152" s="511">
        <f>+'q16'!$L$15</f>
        <v>490775.99999999988</v>
      </c>
    </row>
    <row r="153" spans="1:47">
      <c r="A153" s="500"/>
      <c r="B153" s="500" t="str">
        <f>+'q16'!$A$22</f>
        <v>Oeste e Vale do Tejo</v>
      </c>
      <c r="C153" s="511">
        <f>+'q16'!$B$22</f>
        <v>167401.00000000006</v>
      </c>
      <c r="D153" s="511">
        <f>+'q16'!$C$22</f>
        <v>172345.99999999997</v>
      </c>
      <c r="E153" s="511">
        <f>+'q16'!$D$22</f>
        <v>176637</v>
      </c>
      <c r="F153" s="511">
        <f>+'q16'!$E$22</f>
        <v>181245.00000000003</v>
      </c>
      <c r="G153" s="511">
        <f>+'q16'!$F$22</f>
        <v>192179</v>
      </c>
      <c r="H153" s="511">
        <f>+'q16'!$G$22</f>
        <v>203271.00000000003</v>
      </c>
      <c r="I153" s="511">
        <f>+'q16'!$H$22</f>
        <v>207475</v>
      </c>
      <c r="J153" s="511">
        <f>+'q16'!$I$22</f>
        <v>207244</v>
      </c>
      <c r="K153" s="511">
        <f>+'q16'!$J$22</f>
        <v>205139.99999999994</v>
      </c>
      <c r="L153" s="511">
        <f>+'q16'!$K$22</f>
        <v>217876.00000000006</v>
      </c>
      <c r="M153" s="511">
        <f>+'q16'!$L$22</f>
        <v>228581.00000000006</v>
      </c>
    </row>
    <row r="154" spans="1:47">
      <c r="A154" s="500"/>
      <c r="B154" s="500" t="str">
        <f>+'q16'!$A$26</f>
        <v>Grande Lisboa</v>
      </c>
      <c r="C154" s="511">
        <f>+'q16'!$B$26</f>
        <v>656569.99999999988</v>
      </c>
      <c r="D154" s="511">
        <f>+'q16'!$C$26</f>
        <v>677265</v>
      </c>
      <c r="E154" s="511">
        <f>+'q16'!$D$26</f>
        <v>692513</v>
      </c>
      <c r="F154" s="511">
        <f>+'q16'!$E$26</f>
        <v>728120</v>
      </c>
      <c r="G154" s="511">
        <f>+'q16'!$F$26</f>
        <v>753266.00000000012</v>
      </c>
      <c r="H154" s="511">
        <f>+'q16'!$G$26</f>
        <v>788380.00000000012</v>
      </c>
      <c r="I154" s="511">
        <f>+'q16'!$H$26</f>
        <v>807855</v>
      </c>
      <c r="J154" s="511">
        <f>+'q16'!$I$26</f>
        <v>797460</v>
      </c>
      <c r="K154" s="511">
        <f>+'q16'!$J$26</f>
        <v>801493</v>
      </c>
      <c r="L154" s="511">
        <f>+'q16'!$K$26</f>
        <v>875584</v>
      </c>
      <c r="M154" s="511">
        <f>+'q16'!$L$26</f>
        <v>928991</v>
      </c>
    </row>
    <row r="155" spans="1:47">
      <c r="A155" s="500"/>
      <c r="B155" s="500" t="str">
        <f>+'q16'!$A$27</f>
        <v>Península de Setúbal</v>
      </c>
      <c r="C155" s="511">
        <f>+'q16'!$B$27</f>
        <v>119320</v>
      </c>
      <c r="D155" s="511">
        <f>+'q16'!$C$27</f>
        <v>120734</v>
      </c>
      <c r="E155" s="511">
        <f>+'q16'!$D$27</f>
        <v>123784.00000000001</v>
      </c>
      <c r="F155" s="511">
        <f>+'q16'!$E$27</f>
        <v>127295</v>
      </c>
      <c r="G155" s="511">
        <f>+'q16'!$F$27</f>
        <v>134832.00000000003</v>
      </c>
      <c r="H155" s="511">
        <f>+'q16'!$G$27</f>
        <v>143332</v>
      </c>
      <c r="I155" s="511">
        <f>+'q16'!$H$27</f>
        <v>147144.00000000003</v>
      </c>
      <c r="J155" s="511">
        <f>+'q16'!$I$27</f>
        <v>146898</v>
      </c>
      <c r="K155" s="511">
        <f>+'q16'!$J$27</f>
        <v>148398</v>
      </c>
      <c r="L155" s="511">
        <f>+'q16'!$K$27</f>
        <v>158898</v>
      </c>
      <c r="M155" s="511">
        <f>+'q16'!$L$27</f>
        <v>163331</v>
      </c>
    </row>
    <row r="156" spans="1:47">
      <c r="A156" s="500"/>
      <c r="B156" s="500" t="str">
        <f>+'q16'!$A$28</f>
        <v>Alentejo</v>
      </c>
      <c r="C156" s="511">
        <f>+'q16'!$B$28</f>
        <v>92817</v>
      </c>
      <c r="D156" s="511">
        <f>+'q16'!$C$28</f>
        <v>94632.999999999971</v>
      </c>
      <c r="E156" s="511">
        <f>+'q16'!$D$28</f>
        <v>98629.999999999985</v>
      </c>
      <c r="F156" s="511">
        <f>+'q16'!$E$28</f>
        <v>102620</v>
      </c>
      <c r="G156" s="511">
        <f>+'q16'!$F$28</f>
        <v>106989.99999999999</v>
      </c>
      <c r="H156" s="511">
        <f>+'q16'!$G$28</f>
        <v>110648.00000000001</v>
      </c>
      <c r="I156" s="511">
        <f>+'q16'!$H$28</f>
        <v>112693</v>
      </c>
      <c r="J156" s="511">
        <f>+'q16'!$I$28</f>
        <v>115844.99999999997</v>
      </c>
      <c r="K156" s="511">
        <f>+'q16'!$J$28</f>
        <v>116079.00000000004</v>
      </c>
      <c r="L156" s="511">
        <f>+'q16'!$K$28</f>
        <v>125145.00000000001</v>
      </c>
      <c r="M156" s="511">
        <f>+'q16'!$L$28</f>
        <v>131628.99999999994</v>
      </c>
    </row>
    <row r="157" spans="1:47">
      <c r="A157" s="500"/>
      <c r="B157" s="500" t="str">
        <f>+'q16'!$A$33</f>
        <v>Algarve</v>
      </c>
      <c r="C157" s="511">
        <f>+'q16'!$B$33</f>
        <v>104938</v>
      </c>
      <c r="D157" s="511">
        <f>+'q16'!$C$33</f>
        <v>109922</v>
      </c>
      <c r="E157" s="511">
        <f>+'q16'!$D$33</f>
        <v>117234</v>
      </c>
      <c r="F157" s="511">
        <f>+'q16'!$E$33</f>
        <v>125989.99999999999</v>
      </c>
      <c r="G157" s="511">
        <f>+'q16'!$F$33</f>
        <v>135848</v>
      </c>
      <c r="H157" s="511">
        <f>+'q16'!$G$33</f>
        <v>144110</v>
      </c>
      <c r="I157" s="511">
        <f>+'q16'!$H$33</f>
        <v>149611</v>
      </c>
      <c r="J157" s="511">
        <f>+'q16'!$I$33</f>
        <v>133943.99999999997</v>
      </c>
      <c r="K157" s="511">
        <f>+'q16'!$J$33</f>
        <v>137936</v>
      </c>
      <c r="L157" s="511">
        <f>+'q16'!$K$33</f>
        <v>154669.99999999997</v>
      </c>
      <c r="M157" s="511">
        <f>+'q16'!$L$33</f>
        <v>166794.00000000003</v>
      </c>
    </row>
    <row r="158" spans="1:47">
      <c r="B158" s="500" t="s">
        <v>14</v>
      </c>
      <c r="C158" s="511">
        <f>+'q16'!$B$5</f>
        <v>2384121</v>
      </c>
      <c r="D158" s="511">
        <f>+'q16'!$C$5</f>
        <v>2458163</v>
      </c>
      <c r="E158" s="511">
        <f>+'q16'!$D$5</f>
        <v>2537653.0000000028</v>
      </c>
      <c r="F158" s="511">
        <f>+'q16'!$E$5</f>
        <v>2641918.9999999977</v>
      </c>
      <c r="G158" s="511">
        <f>+'q16'!$F$5</f>
        <v>2767520.9999999977</v>
      </c>
      <c r="H158" s="511">
        <f>+'q16'!$G$5</f>
        <v>2877918.0000000005</v>
      </c>
      <c r="I158" s="511">
        <f>+'q16'!$H$5</f>
        <v>2930481.9999999995</v>
      </c>
      <c r="J158" s="511">
        <f>+'q16'!$I$5</f>
        <v>2902824.9999999981</v>
      </c>
      <c r="K158" s="511">
        <f>+'q16'!$J$5</f>
        <v>2922343.0000000014</v>
      </c>
      <c r="L158" s="511">
        <f>+'q16'!$K$5</f>
        <v>3148146.9999999995</v>
      </c>
      <c r="M158" s="511">
        <f>+'q16'!$L$5</f>
        <v>3296133.9999999981</v>
      </c>
    </row>
    <row r="159" spans="1:47">
      <c r="B159" s="500"/>
      <c r="C159" s="511"/>
      <c r="D159" s="511"/>
      <c r="E159" s="511"/>
      <c r="F159" s="511"/>
      <c r="G159" s="511"/>
      <c r="H159" s="511"/>
      <c r="I159" s="511"/>
      <c r="J159" s="511"/>
      <c r="K159" s="511"/>
      <c r="L159" s="511"/>
      <c r="M159" s="511"/>
    </row>
    <row r="160" spans="1:47">
      <c r="C160" s="500">
        <f>+C150</f>
        <v>2013</v>
      </c>
      <c r="D160" s="500">
        <f t="shared" ref="D160:M160" si="64">+D150</f>
        <v>2014</v>
      </c>
      <c r="E160" s="500">
        <f t="shared" si="64"/>
        <v>2015</v>
      </c>
      <c r="F160" s="500">
        <f t="shared" si="64"/>
        <v>2016</v>
      </c>
      <c r="G160" s="500">
        <f t="shared" si="64"/>
        <v>2017</v>
      </c>
      <c r="H160" s="500">
        <f t="shared" si="64"/>
        <v>2018</v>
      </c>
      <c r="I160" s="500">
        <f t="shared" si="64"/>
        <v>2019</v>
      </c>
      <c r="J160" s="500">
        <f t="shared" si="64"/>
        <v>2020</v>
      </c>
      <c r="K160" s="500">
        <f t="shared" si="64"/>
        <v>2021</v>
      </c>
      <c r="L160" s="500">
        <f t="shared" si="64"/>
        <v>2022</v>
      </c>
      <c r="M160" s="500">
        <f t="shared" si="64"/>
        <v>2023</v>
      </c>
    </row>
    <row r="161" spans="1:13">
      <c r="A161" s="500" t="s">
        <v>580</v>
      </c>
      <c r="B161" s="500" t="str">
        <f>+'q16'!$A$7</f>
        <v>Alto Minho</v>
      </c>
      <c r="C161" s="511">
        <f>+'q16'!$B$7</f>
        <v>48872.999999999993</v>
      </c>
      <c r="D161" s="511">
        <f>+'q16'!$C$7</f>
        <v>50225</v>
      </c>
      <c r="E161" s="511">
        <f>+'q16'!$D$7</f>
        <v>52609</v>
      </c>
      <c r="F161" s="511">
        <f>+'q16'!$E$7</f>
        <v>52622.000000000007</v>
      </c>
      <c r="G161" s="511">
        <f>+'q16'!$F$7</f>
        <v>55356</v>
      </c>
      <c r="H161" s="511">
        <f>+'q16'!$G$7</f>
        <v>58686</v>
      </c>
      <c r="I161" s="511">
        <f>+'q16'!$H$7</f>
        <v>59295.000000000007</v>
      </c>
      <c r="J161" s="511">
        <f>+'q16'!$I$7</f>
        <v>60629</v>
      </c>
      <c r="K161" s="511">
        <f>+'q16'!$J$7</f>
        <v>60893</v>
      </c>
      <c r="L161" s="511">
        <f>+'q16'!$K$7</f>
        <v>64187</v>
      </c>
      <c r="M161" s="511">
        <f>+'q16'!$L$7</f>
        <v>68117</v>
      </c>
    </row>
    <row r="162" spans="1:13">
      <c r="A162" s="500"/>
      <c r="B162" s="500" t="str">
        <f>+'q16'!$A$8</f>
        <v>Cávado</v>
      </c>
      <c r="C162" s="511">
        <f>+'q16'!$B$8</f>
        <v>99096</v>
      </c>
      <c r="D162" s="511">
        <f>+'q16'!$C$8</f>
        <v>104058</v>
      </c>
      <c r="E162" s="511">
        <f>+'q16'!$D$8</f>
        <v>107920</v>
      </c>
      <c r="F162" s="511">
        <f>+'q16'!$E$8</f>
        <v>113517</v>
      </c>
      <c r="G162" s="511">
        <f>+'q16'!$F$8</f>
        <v>120158.00000000001</v>
      </c>
      <c r="H162" s="511">
        <f>+'q16'!$G$8</f>
        <v>126435</v>
      </c>
      <c r="I162" s="511">
        <f>+'q16'!$H$8</f>
        <v>129738.99999999999</v>
      </c>
      <c r="J162" s="511">
        <f>+'q16'!$I$8</f>
        <v>129449</v>
      </c>
      <c r="K162" s="511">
        <f>+'q16'!$J$8</f>
        <v>132064</v>
      </c>
      <c r="L162" s="511">
        <f>+'q16'!$K$8</f>
        <v>143159</v>
      </c>
      <c r="M162" s="511">
        <f>+'q16'!$L$8</f>
        <v>149790</v>
      </c>
    </row>
    <row r="163" spans="1:13">
      <c r="A163" s="500"/>
      <c r="B163" s="500" t="str">
        <f>+'q16'!$A$9</f>
        <v>Ave</v>
      </c>
      <c r="C163" s="511">
        <f>+'q16'!$B$9</f>
        <v>113206.00000000001</v>
      </c>
      <c r="D163" s="511">
        <f>+'q16'!$C$9</f>
        <v>117573.99999999999</v>
      </c>
      <c r="E163" s="511">
        <f>+'q16'!$D$9</f>
        <v>122620.00000000001</v>
      </c>
      <c r="F163" s="511">
        <f>+'q16'!$E$9</f>
        <v>128328</v>
      </c>
      <c r="G163" s="511">
        <f>+'q16'!$F$9</f>
        <v>132997</v>
      </c>
      <c r="H163" s="511">
        <f>+'q16'!$G$9</f>
        <v>136304</v>
      </c>
      <c r="I163" s="511">
        <f>+'q16'!$H$9</f>
        <v>130389.99999999999</v>
      </c>
      <c r="J163" s="511">
        <f>+'q16'!$I$9</f>
        <v>132409.00000000003</v>
      </c>
      <c r="K163" s="511">
        <f>+'q16'!$J$9</f>
        <v>132536</v>
      </c>
      <c r="L163" s="511">
        <f>+'q16'!$K$9</f>
        <v>140262</v>
      </c>
      <c r="M163" s="511">
        <f>+'q16'!$L$9</f>
        <v>141278</v>
      </c>
    </row>
    <row r="164" spans="1:13">
      <c r="A164" s="500"/>
      <c r="B164" s="500" t="str">
        <f>+'q16'!$A$10</f>
        <v>Área Metropolitana do Porto</v>
      </c>
      <c r="C164" s="511">
        <f>+'q16'!$B$10</f>
        <v>451487.99999999994</v>
      </c>
      <c r="D164" s="511">
        <f>+'q16'!$C$10</f>
        <v>466468</v>
      </c>
      <c r="E164" s="511">
        <f>+'q16'!$D$10</f>
        <v>484890</v>
      </c>
      <c r="F164" s="511">
        <f>+'q16'!$E$10</f>
        <v>503447</v>
      </c>
      <c r="G164" s="511">
        <f>+'q16'!$F$10</f>
        <v>534642</v>
      </c>
      <c r="H164" s="511">
        <f>+'q16'!$G$10</f>
        <v>546000</v>
      </c>
      <c r="I164" s="511">
        <f>+'q16'!$H$10</f>
        <v>561884</v>
      </c>
      <c r="J164" s="511">
        <f>+'q16'!$I$10</f>
        <v>551846</v>
      </c>
      <c r="K164" s="511">
        <f>+'q16'!$J$10</f>
        <v>554585</v>
      </c>
      <c r="L164" s="511">
        <f>+'q16'!$K$10</f>
        <v>598036</v>
      </c>
      <c r="M164" s="511">
        <f>+'q16'!$L$10</f>
        <v>622620</v>
      </c>
    </row>
    <row r="165" spans="1:13">
      <c r="A165" s="500"/>
      <c r="B165" s="500" t="str">
        <f>+'q16'!$A$11</f>
        <v>Alto Tâmega e Barroso</v>
      </c>
      <c r="C165" s="511">
        <f>+'q16'!$B$11</f>
        <v>11107</v>
      </c>
      <c r="D165" s="511">
        <f>+'q16'!$C$11</f>
        <v>11285</v>
      </c>
      <c r="E165" s="511">
        <f>+'q16'!$D$11</f>
        <v>11800</v>
      </c>
      <c r="F165" s="511">
        <f>+'q16'!$E$11</f>
        <v>12071</v>
      </c>
      <c r="G165" s="511">
        <f>+'q16'!$F$11</f>
        <v>13249.000000000002</v>
      </c>
      <c r="H165" s="511">
        <f>+'q16'!$G$11</f>
        <v>13543.999999999998</v>
      </c>
      <c r="I165" s="511">
        <f>+'q16'!$H$11</f>
        <v>13822.999999999998</v>
      </c>
      <c r="J165" s="511">
        <f>+'q16'!$I$11</f>
        <v>13398</v>
      </c>
      <c r="K165" s="511">
        <f>+'q16'!$J$11</f>
        <v>13653</v>
      </c>
      <c r="L165" s="511">
        <f>+'q16'!$K$11</f>
        <v>14446</v>
      </c>
      <c r="M165" s="511">
        <f>+'q16'!$L$11</f>
        <v>14953</v>
      </c>
    </row>
    <row r="166" spans="1:13">
      <c r="A166" s="500"/>
      <c r="B166" s="500" t="str">
        <f>+'q16'!$A$12</f>
        <v>Tâmega e Sousa</v>
      </c>
      <c r="C166" s="511">
        <f>+'q16'!$B$12</f>
        <v>98223.000000000015</v>
      </c>
      <c r="D166" s="511">
        <f>+'q16'!$C$12</f>
        <v>102491</v>
      </c>
      <c r="E166" s="511">
        <f>+'q16'!$D$12</f>
        <v>106598</v>
      </c>
      <c r="F166" s="511">
        <f>+'q16'!$E$12</f>
        <v>110512</v>
      </c>
      <c r="G166" s="511">
        <f>+'q16'!$F$12</f>
        <v>114101</v>
      </c>
      <c r="H166" s="511">
        <f>+'q16'!$G$12</f>
        <v>116671</v>
      </c>
      <c r="I166" s="511">
        <f>+'q16'!$H$12</f>
        <v>116470.00000000001</v>
      </c>
      <c r="J166" s="511">
        <f>+'q16'!$I$12</f>
        <v>116377</v>
      </c>
      <c r="K166" s="511">
        <f>+'q16'!$J$12</f>
        <v>120140</v>
      </c>
      <c r="L166" s="511">
        <f>+'q16'!$K$12</f>
        <v>126317.99999999999</v>
      </c>
      <c r="M166" s="511">
        <f>+'q16'!$L$12</f>
        <v>130339.99999999999</v>
      </c>
    </row>
    <row r="167" spans="1:13">
      <c r="A167" s="500"/>
      <c r="B167" s="500" t="str">
        <f>+'q16'!$A$13</f>
        <v>Douro</v>
      </c>
      <c r="C167" s="511">
        <f>+'q16'!$B$13</f>
        <v>30393</v>
      </c>
      <c r="D167" s="511">
        <f>+'q16'!$C$13</f>
        <v>30403.000000000004</v>
      </c>
      <c r="E167" s="511">
        <f>+'q16'!$D$13</f>
        <v>31414</v>
      </c>
      <c r="F167" s="511">
        <f>+'q16'!$E$13</f>
        <v>32095.000000000004</v>
      </c>
      <c r="G167" s="511">
        <f>+'q16'!$F$13</f>
        <v>32842</v>
      </c>
      <c r="H167" s="511">
        <f>+'q16'!$G$13</f>
        <v>33778.999999999993</v>
      </c>
      <c r="I167" s="511">
        <f>+'q16'!$H$13</f>
        <v>33925</v>
      </c>
      <c r="J167" s="511">
        <f>+'q16'!$I$13</f>
        <v>34875.000000000007</v>
      </c>
      <c r="K167" s="511">
        <f>+'q16'!$J$13</f>
        <v>35549.000000000007</v>
      </c>
      <c r="L167" s="511">
        <f>+'q16'!$K$13</f>
        <v>37314</v>
      </c>
      <c r="M167" s="511">
        <f>+'q16'!$L$13</f>
        <v>39343</v>
      </c>
    </row>
    <row r="168" spans="1:13">
      <c r="A168" s="500"/>
      <c r="B168" s="500" t="str">
        <f>+'q16'!$A$14</f>
        <v>Terras de Trás-os-Montes</v>
      </c>
      <c r="C168" s="511">
        <f>+'q16'!$B$14</f>
        <v>15209.999999999998</v>
      </c>
      <c r="D168" s="511">
        <f>+'q16'!$C$14</f>
        <v>15696.999999999998</v>
      </c>
      <c r="E168" s="511">
        <f>+'q16'!$D$14</f>
        <v>16254.999999999998</v>
      </c>
      <c r="F168" s="511">
        <f>+'q16'!$E$14</f>
        <v>16766</v>
      </c>
      <c r="G168" s="511">
        <f>+'q16'!$F$14</f>
        <v>17138.000000000004</v>
      </c>
      <c r="H168" s="511">
        <f>+'q16'!$G$14</f>
        <v>17559</v>
      </c>
      <c r="I168" s="511">
        <f>+'q16'!$H$14</f>
        <v>17617</v>
      </c>
      <c r="J168" s="511">
        <f>+'q16'!$I$14</f>
        <v>18107</v>
      </c>
      <c r="K168" s="511">
        <f>+'q16'!$J$14</f>
        <v>18404</v>
      </c>
      <c r="L168" s="511">
        <f>+'q16'!$K$14</f>
        <v>18853</v>
      </c>
      <c r="M168" s="511">
        <f>+'q16'!$L$14</f>
        <v>19591</v>
      </c>
    </row>
    <row r="169" spans="1:13">
      <c r="A169" s="500"/>
      <c r="B169" s="500" t="str">
        <f>+'q16'!$A$16</f>
        <v>Região de Aveiro</v>
      </c>
      <c r="C169" s="511">
        <f>+'q16'!$B$16</f>
        <v>94576</v>
      </c>
      <c r="D169" s="511">
        <f>+'q16'!$C$16</f>
        <v>98368.000000000015</v>
      </c>
      <c r="E169" s="511">
        <f>+'q16'!$D$16</f>
        <v>101027</v>
      </c>
      <c r="F169" s="511">
        <f>+'q16'!$E$16</f>
        <v>106482</v>
      </c>
      <c r="G169" s="511">
        <f>+'q16'!$F$16</f>
        <v>111036</v>
      </c>
      <c r="H169" s="511">
        <f>+'q16'!$G$16</f>
        <v>117298</v>
      </c>
      <c r="I169" s="511">
        <f>+'q16'!$H$16</f>
        <v>118388.99999999999</v>
      </c>
      <c r="J169" s="511">
        <f>+'q16'!$I$16</f>
        <v>119180</v>
      </c>
      <c r="K169" s="511">
        <f>+'q16'!$J$16</f>
        <v>117165.99999999999</v>
      </c>
      <c r="L169" s="511">
        <f>+'q16'!$K$16</f>
        <v>127100</v>
      </c>
      <c r="M169" s="511">
        <f>+'q16'!$L$16</f>
        <v>131410.00000000003</v>
      </c>
    </row>
    <row r="170" spans="1:13">
      <c r="A170" s="500"/>
      <c r="B170" s="500" t="str">
        <f>+'q16'!$A$17</f>
        <v>Região de Coimbra</v>
      </c>
      <c r="C170" s="511">
        <f>+'q16'!$B$17</f>
        <v>92022.000000000015</v>
      </c>
      <c r="D170" s="511">
        <f>+'q16'!$C$17</f>
        <v>91037</v>
      </c>
      <c r="E170" s="511">
        <f>+'q16'!$D$17</f>
        <v>93998.000000000015</v>
      </c>
      <c r="F170" s="511">
        <f>+'q16'!$E$17</f>
        <v>95633</v>
      </c>
      <c r="G170" s="511">
        <f>+'q16'!$F$17</f>
        <v>100266.00000000001</v>
      </c>
      <c r="H170" s="511">
        <f>+'q16'!$G$17</f>
        <v>101543</v>
      </c>
      <c r="I170" s="511">
        <f>+'q16'!$H$17</f>
        <v>102855.99999999999</v>
      </c>
      <c r="J170" s="511">
        <f>+'q16'!$I$17</f>
        <v>103974.99999999999</v>
      </c>
      <c r="K170" s="511">
        <f>+'q16'!$J$17</f>
        <v>104161.00000000001</v>
      </c>
      <c r="L170" s="511">
        <f>+'q16'!$K$17</f>
        <v>111437</v>
      </c>
      <c r="M170" s="511">
        <f>+'q16'!$L$17</f>
        <v>114228</v>
      </c>
    </row>
    <row r="171" spans="1:13">
      <c r="A171" s="500"/>
      <c r="B171" s="500" t="str">
        <f>+'q16'!$A$18</f>
        <v>Região de Leiria</v>
      </c>
      <c r="C171" s="511">
        <f>+'q16'!$B$18</f>
        <v>77335</v>
      </c>
      <c r="D171" s="511">
        <f>+'q16'!$C$18</f>
        <v>81138</v>
      </c>
      <c r="E171" s="511">
        <f>+'q16'!$D$18</f>
        <v>83217</v>
      </c>
      <c r="F171" s="511">
        <f>+'q16'!$E$18</f>
        <v>86265</v>
      </c>
      <c r="G171" s="511">
        <f>+'q16'!$F$18</f>
        <v>89775</v>
      </c>
      <c r="H171" s="511">
        <f>+'q16'!$G$18</f>
        <v>91777</v>
      </c>
      <c r="I171" s="511">
        <f>+'q16'!$H$18</f>
        <v>92356.999999999985</v>
      </c>
      <c r="J171" s="511">
        <f>+'q16'!$I$18</f>
        <v>92504</v>
      </c>
      <c r="K171" s="511">
        <f>+'q16'!$J$18</f>
        <v>94709.000000000015</v>
      </c>
      <c r="L171" s="511">
        <f>+'q16'!$K$18</f>
        <v>98098</v>
      </c>
      <c r="M171" s="511">
        <f>+'q16'!$L$18</f>
        <v>101701</v>
      </c>
    </row>
    <row r="172" spans="1:13">
      <c r="A172" s="500"/>
      <c r="B172" s="500" t="str">
        <f>+'q16'!$A$19</f>
        <v>Viseu Dão Lafões</v>
      </c>
      <c r="C172" s="511">
        <f>+'q16'!$B$19</f>
        <v>53553</v>
      </c>
      <c r="D172" s="511">
        <f>+'q16'!$C$19</f>
        <v>54665</v>
      </c>
      <c r="E172" s="511">
        <f>+'q16'!$D$19</f>
        <v>56306</v>
      </c>
      <c r="F172" s="511">
        <f>+'q16'!$E$19</f>
        <v>58117.000000000007</v>
      </c>
      <c r="G172" s="511">
        <f>+'q16'!$F$19</f>
        <v>60427.000000000007</v>
      </c>
      <c r="H172" s="511">
        <f>+'q16'!$G$19</f>
        <v>63457.999999999993</v>
      </c>
      <c r="I172" s="511">
        <f>+'q16'!$H$19</f>
        <v>65071</v>
      </c>
      <c r="J172" s="511">
        <f>+'q16'!$I$19</f>
        <v>64891</v>
      </c>
      <c r="K172" s="511">
        <f>+'q16'!$J$19</f>
        <v>65303</v>
      </c>
      <c r="L172" s="511">
        <f>+'q16'!$K$19</f>
        <v>69493</v>
      </c>
      <c r="M172" s="511">
        <f>+'q16'!$L$19</f>
        <v>72453</v>
      </c>
    </row>
    <row r="173" spans="1:13">
      <c r="A173" s="500"/>
      <c r="B173" s="500" t="str">
        <f>+'q16'!$A$20</f>
        <v>Beira Baixa</v>
      </c>
      <c r="C173" s="511">
        <f>+'q16'!$B$20</f>
        <v>18295</v>
      </c>
      <c r="D173" s="511">
        <f>+'q16'!$C$20</f>
        <v>19205</v>
      </c>
      <c r="E173" s="511">
        <f>+'q16'!$D$20</f>
        <v>18862</v>
      </c>
      <c r="F173" s="511">
        <f>+'q16'!$E$20</f>
        <v>18976</v>
      </c>
      <c r="G173" s="511">
        <f>+'q16'!$F$20</f>
        <v>19074</v>
      </c>
      <c r="H173" s="511">
        <f>+'q16'!$G$20</f>
        <v>20595</v>
      </c>
      <c r="I173" s="511">
        <f>+'q16'!$H$20</f>
        <v>20454</v>
      </c>
      <c r="J173" s="511">
        <f>+'q16'!$I$20</f>
        <v>20429</v>
      </c>
      <c r="K173" s="511">
        <f>+'q16'!$J$20</f>
        <v>20093</v>
      </c>
      <c r="L173" s="511">
        <f>+'q16'!$K$20</f>
        <v>21005</v>
      </c>
      <c r="M173" s="511">
        <f>+'q16'!$L$20</f>
        <v>21994</v>
      </c>
    </row>
    <row r="174" spans="1:13">
      <c r="A174" s="500"/>
      <c r="B174" s="500" t="str">
        <f>+'q16'!$A$21</f>
        <v>Beiras e Serra da Estrela</v>
      </c>
      <c r="C174" s="511">
        <f>+'q16'!$B$21</f>
        <v>39698.000000000007</v>
      </c>
      <c r="D174" s="511">
        <f>+'q16'!$C$21</f>
        <v>40649</v>
      </c>
      <c r="E174" s="511">
        <f>+'q16'!$D$21</f>
        <v>41339</v>
      </c>
      <c r="F174" s="511">
        <f>+'q16'!$E$21</f>
        <v>41818.000000000007</v>
      </c>
      <c r="G174" s="511">
        <f>+'q16'!$F$21</f>
        <v>43345</v>
      </c>
      <c r="H174" s="511">
        <f>+'q16'!$G$21</f>
        <v>44527.999999999993</v>
      </c>
      <c r="I174" s="511">
        <f>+'q16'!$H$21</f>
        <v>43434.000000000007</v>
      </c>
      <c r="J174" s="511">
        <f>+'q16'!$I$21</f>
        <v>43365</v>
      </c>
      <c r="K174" s="511">
        <f>+'q16'!$J$21</f>
        <v>44041.000000000007</v>
      </c>
      <c r="L174" s="511">
        <f>+'q16'!$K$21</f>
        <v>46266</v>
      </c>
      <c r="M174" s="511">
        <f>+'q16'!$L$21</f>
        <v>48989.999999999993</v>
      </c>
    </row>
    <row r="175" spans="1:13">
      <c r="A175" s="500"/>
      <c r="B175" s="500" t="str">
        <f>+'q16'!$A$23</f>
        <v>Oeste</v>
      </c>
      <c r="C175" s="511">
        <f>+'q16'!$B$23</f>
        <v>72876.000000000015</v>
      </c>
      <c r="D175" s="511">
        <f>+'q16'!$C$23</f>
        <v>76041</v>
      </c>
      <c r="E175" s="511">
        <f>+'q16'!$D$23</f>
        <v>78135</v>
      </c>
      <c r="F175" s="511">
        <f>+'q16'!$E$23</f>
        <v>80561</v>
      </c>
      <c r="G175" s="511">
        <f>+'q16'!$F$23</f>
        <v>85296.999999999985</v>
      </c>
      <c r="H175" s="511">
        <f>+'q16'!$G$23</f>
        <v>93248</v>
      </c>
      <c r="I175" s="511">
        <f>+'q16'!$H$23</f>
        <v>94993</v>
      </c>
      <c r="J175" s="511">
        <f>+'q16'!$I$23</f>
        <v>93635</v>
      </c>
      <c r="K175" s="511">
        <f>+'q16'!$J$23</f>
        <v>91960</v>
      </c>
      <c r="L175" s="511">
        <f>+'q16'!$K$23</f>
        <v>97506</v>
      </c>
      <c r="M175" s="511">
        <f>+'q16'!$L$23</f>
        <v>103758</v>
      </c>
    </row>
    <row r="176" spans="1:13">
      <c r="A176" s="500"/>
      <c r="B176" s="500" t="str">
        <f>+'q16'!$A$24</f>
        <v>Médio Tejo</v>
      </c>
      <c r="C176" s="511">
        <f>+'q16'!$B$24</f>
        <v>45178</v>
      </c>
      <c r="D176" s="511">
        <f>+'q16'!$C$24</f>
        <v>45874.999999999993</v>
      </c>
      <c r="E176" s="511">
        <f>+'q16'!$D$24</f>
        <v>47312</v>
      </c>
      <c r="F176" s="511">
        <f>+'q16'!$E$24</f>
        <v>47227.000000000007</v>
      </c>
      <c r="G176" s="511">
        <f>+'q16'!$F$24</f>
        <v>49621</v>
      </c>
      <c r="H176" s="511">
        <f>+'q16'!$G$24</f>
        <v>50555</v>
      </c>
      <c r="I176" s="511">
        <f>+'q16'!$H$24</f>
        <v>51812</v>
      </c>
      <c r="J176" s="511">
        <f>+'q16'!$I$24</f>
        <v>50877</v>
      </c>
      <c r="K176" s="511">
        <f>+'q16'!$J$24</f>
        <v>50282</v>
      </c>
      <c r="L176" s="511">
        <f>+'q16'!$K$24</f>
        <v>53904.000000000007</v>
      </c>
      <c r="M176" s="511">
        <f>+'q16'!$L$24</f>
        <v>55728</v>
      </c>
    </row>
    <row r="177" spans="1:13">
      <c r="A177" s="500"/>
      <c r="B177" s="500" t="str">
        <f>+'q16'!$A$25</f>
        <v>Lezíria do Tejo</v>
      </c>
      <c r="C177" s="511">
        <f>+'q16'!$B$25</f>
        <v>49347</v>
      </c>
      <c r="D177" s="511">
        <f>+'q16'!$C$25</f>
        <v>50430.000000000007</v>
      </c>
      <c r="E177" s="511">
        <f>+'q16'!$D$25</f>
        <v>51190</v>
      </c>
      <c r="F177" s="511">
        <f>+'q16'!$E$25</f>
        <v>53456.999999999993</v>
      </c>
      <c r="G177" s="511">
        <f>+'q16'!$F$25</f>
        <v>57260.999999999993</v>
      </c>
      <c r="H177" s="511">
        <f>+'q16'!$G$25</f>
        <v>59468</v>
      </c>
      <c r="I177" s="511">
        <f>+'q16'!$H$25</f>
        <v>60669.999999999993</v>
      </c>
      <c r="J177" s="511">
        <f>+'q16'!$I$25</f>
        <v>62731.999999999993</v>
      </c>
      <c r="K177" s="511">
        <f>+'q16'!$J$25</f>
        <v>62898</v>
      </c>
      <c r="L177" s="511">
        <f>+'q16'!$K$25</f>
        <v>66465.999999999985</v>
      </c>
      <c r="M177" s="511">
        <f>+'q16'!$L$25</f>
        <v>69095</v>
      </c>
    </row>
    <row r="178" spans="1:13">
      <c r="A178" s="500"/>
      <c r="B178" s="500" t="str">
        <f>+'q16'!$A$26</f>
        <v>Grande Lisboa</v>
      </c>
      <c r="C178" s="511">
        <f>+'q16'!$B$26</f>
        <v>656569.99999999988</v>
      </c>
      <c r="D178" s="511">
        <f>+'q16'!$C$26</f>
        <v>677265</v>
      </c>
      <c r="E178" s="511">
        <f>+'q16'!$D$26</f>
        <v>692513</v>
      </c>
      <c r="F178" s="511">
        <f>+'q16'!$E$26</f>
        <v>728120</v>
      </c>
      <c r="G178" s="511">
        <f>+'q16'!$F$26</f>
        <v>753266.00000000012</v>
      </c>
      <c r="H178" s="511">
        <f>+'q16'!$G$26</f>
        <v>788380.00000000012</v>
      </c>
      <c r="I178" s="511">
        <f>+'q16'!$H$26</f>
        <v>807855</v>
      </c>
      <c r="J178" s="511">
        <f>+'q16'!$I$26</f>
        <v>797460</v>
      </c>
      <c r="K178" s="511">
        <f>+'q16'!$J$26</f>
        <v>801493</v>
      </c>
      <c r="L178" s="511">
        <f>+'q16'!$K$26</f>
        <v>875584</v>
      </c>
      <c r="M178" s="511">
        <f>+'q16'!$L$26</f>
        <v>928991</v>
      </c>
    </row>
    <row r="179" spans="1:13">
      <c r="A179" s="500"/>
      <c r="B179" s="500" t="str">
        <f>+'q16'!$A$27</f>
        <v>Península de Setúbal</v>
      </c>
      <c r="C179" s="511">
        <f>+'q16'!$B$27</f>
        <v>119320</v>
      </c>
      <c r="D179" s="511">
        <f>+'q16'!$C$27</f>
        <v>120734</v>
      </c>
      <c r="E179" s="511">
        <f>+'q16'!$D$27</f>
        <v>123784.00000000001</v>
      </c>
      <c r="F179" s="511">
        <f>+'q16'!$E$27</f>
        <v>127295</v>
      </c>
      <c r="G179" s="511">
        <f>+'q16'!$F$27</f>
        <v>134832.00000000003</v>
      </c>
      <c r="H179" s="511">
        <f>+'q16'!$G$27</f>
        <v>143332</v>
      </c>
      <c r="I179" s="511">
        <f>+'q16'!$H$27</f>
        <v>147144.00000000003</v>
      </c>
      <c r="J179" s="511">
        <f>+'q16'!$I$27</f>
        <v>146898</v>
      </c>
      <c r="K179" s="511">
        <f>+'q16'!$J$27</f>
        <v>148398</v>
      </c>
      <c r="L179" s="511">
        <f>+'q16'!$K$27</f>
        <v>158898</v>
      </c>
      <c r="M179" s="511">
        <f>+'q16'!$L$27</f>
        <v>163331</v>
      </c>
    </row>
    <row r="180" spans="1:13">
      <c r="A180" s="500"/>
      <c r="B180" s="500" t="str">
        <f>+'q16'!$A$29</f>
        <v>Alentejo Litoral</v>
      </c>
      <c r="C180" s="511">
        <f>+'q16'!$B$29</f>
        <v>20360</v>
      </c>
      <c r="D180" s="511">
        <f>+'q16'!$C$29</f>
        <v>20669</v>
      </c>
      <c r="E180" s="511">
        <f>+'q16'!$D$29</f>
        <v>22067</v>
      </c>
      <c r="F180" s="511">
        <f>+'q16'!$E$29</f>
        <v>23455</v>
      </c>
      <c r="G180" s="511">
        <f>+'q16'!$F$29</f>
        <v>25004</v>
      </c>
      <c r="H180" s="511">
        <f>+'q16'!$G$29</f>
        <v>26593</v>
      </c>
      <c r="I180" s="511">
        <f>+'q16'!$H$29</f>
        <v>28106</v>
      </c>
      <c r="J180" s="511">
        <f>+'q16'!$I$29</f>
        <v>31575</v>
      </c>
      <c r="K180" s="511">
        <f>+'q16'!$J$29</f>
        <v>31890</v>
      </c>
      <c r="L180" s="511">
        <f>+'q16'!$K$29</f>
        <v>34475</v>
      </c>
      <c r="M180" s="511">
        <f>+'q16'!$L$29</f>
        <v>36327</v>
      </c>
    </row>
    <row r="181" spans="1:13">
      <c r="A181" s="500"/>
      <c r="B181" s="500" t="str">
        <f>+'q16'!$A$30</f>
        <v>Baixo Alentejo</v>
      </c>
      <c r="C181" s="511">
        <f>+'q16'!$B$30</f>
        <v>22085.999999999996</v>
      </c>
      <c r="D181" s="511">
        <f>+'q16'!$C$30</f>
        <v>22425.999999999996</v>
      </c>
      <c r="E181" s="511">
        <f>+'q16'!$D$30</f>
        <v>23238.999999999996</v>
      </c>
      <c r="F181" s="511">
        <f>+'q16'!$E$30</f>
        <v>23619.000000000004</v>
      </c>
      <c r="G181" s="511">
        <f>+'q16'!$F$30</f>
        <v>25024</v>
      </c>
      <c r="H181" s="511">
        <f>+'q16'!$G$30</f>
        <v>25408</v>
      </c>
      <c r="I181" s="511">
        <f>+'q16'!$H$30</f>
        <v>25504</v>
      </c>
      <c r="J181" s="511">
        <f>+'q16'!$I$30</f>
        <v>25388.999999999996</v>
      </c>
      <c r="K181" s="511">
        <f>+'q16'!$J$30</f>
        <v>25463.000000000004</v>
      </c>
      <c r="L181" s="511">
        <f>+'q16'!$K$30</f>
        <v>28355.999999999996</v>
      </c>
      <c r="M181" s="511">
        <f>+'q16'!$L$30</f>
        <v>29927.999999999993</v>
      </c>
    </row>
    <row r="182" spans="1:13">
      <c r="A182" s="500"/>
      <c r="B182" s="500" t="str">
        <f>+'q16'!$A$31</f>
        <v>Alto Alentejo</v>
      </c>
      <c r="C182" s="511">
        <f>+'q16'!$B$31</f>
        <v>18653.000000000004</v>
      </c>
      <c r="D182" s="511">
        <f>+'q16'!$C$31</f>
        <v>19009</v>
      </c>
      <c r="E182" s="511">
        <f>+'q16'!$D$31</f>
        <v>19293</v>
      </c>
      <c r="F182" s="511">
        <f>+'q16'!$E$31</f>
        <v>20176.000000000004</v>
      </c>
      <c r="G182" s="511">
        <f>+'q16'!$F$31</f>
        <v>20664</v>
      </c>
      <c r="H182" s="511">
        <f>+'q16'!$G$31</f>
        <v>20619.999999999996</v>
      </c>
      <c r="I182" s="511">
        <f>+'q16'!$H$31</f>
        <v>20826</v>
      </c>
      <c r="J182" s="511">
        <f>+'q16'!$I$31</f>
        <v>21098</v>
      </c>
      <c r="K182" s="511">
        <f>+'q16'!$J$31</f>
        <v>20537</v>
      </c>
      <c r="L182" s="511">
        <f>+'q16'!$K$31</f>
        <v>21623.000000000007</v>
      </c>
      <c r="M182" s="511">
        <f>+'q16'!$L$31</f>
        <v>22968</v>
      </c>
    </row>
    <row r="183" spans="1:13">
      <c r="A183" s="500"/>
      <c r="B183" s="500" t="str">
        <f>+'q16'!$A$32</f>
        <v>Alentejo Central</v>
      </c>
      <c r="C183" s="511">
        <f>+'q16'!$B$32</f>
        <v>31718.000000000004</v>
      </c>
      <c r="D183" s="511">
        <f>+'q16'!$C$32</f>
        <v>32529</v>
      </c>
      <c r="E183" s="511">
        <f>+'q16'!$D$32</f>
        <v>34030.999999999993</v>
      </c>
      <c r="F183" s="511">
        <f>+'q16'!$E$32</f>
        <v>35370</v>
      </c>
      <c r="G183" s="511">
        <f>+'q16'!$F$32</f>
        <v>36298.000000000007</v>
      </c>
      <c r="H183" s="511">
        <f>+'q16'!$G$32</f>
        <v>38027.000000000015</v>
      </c>
      <c r="I183" s="511">
        <f>+'q16'!$H$32</f>
        <v>38257</v>
      </c>
      <c r="J183" s="511">
        <f>+'q16'!$I$32</f>
        <v>37783</v>
      </c>
      <c r="K183" s="511">
        <f>+'q16'!$J$32</f>
        <v>38189</v>
      </c>
      <c r="L183" s="511">
        <f>+'q16'!$K$32</f>
        <v>40691</v>
      </c>
      <c r="M183" s="511">
        <f>+'q16'!$L$32</f>
        <v>42405.999999999993</v>
      </c>
    </row>
    <row r="184" spans="1:13">
      <c r="A184" s="500"/>
      <c r="B184" s="500" t="str">
        <f>+'q16'!$A$33</f>
        <v>Algarve</v>
      </c>
      <c r="C184" s="511">
        <f>+'q16'!$B$33</f>
        <v>104938</v>
      </c>
      <c r="D184" s="511">
        <f>+'q16'!$C$33</f>
        <v>109922</v>
      </c>
      <c r="E184" s="511">
        <f>+'q16'!$D$33</f>
        <v>117234</v>
      </c>
      <c r="F184" s="511">
        <f>+'q16'!$E$33</f>
        <v>125989.99999999999</v>
      </c>
      <c r="G184" s="511">
        <f>+'q16'!$F$33</f>
        <v>135848</v>
      </c>
      <c r="H184" s="511">
        <f>+'q16'!$G$33</f>
        <v>144110</v>
      </c>
      <c r="I184" s="511">
        <f>+'q16'!$H$33</f>
        <v>149611</v>
      </c>
      <c r="J184" s="511">
        <f>+'q16'!$I$33</f>
        <v>133943.99999999997</v>
      </c>
      <c r="K184" s="511">
        <f>+'q16'!$J$33</f>
        <v>137936</v>
      </c>
      <c r="L184" s="511">
        <f>+'q16'!$K$33</f>
        <v>154669.99999999997</v>
      </c>
      <c r="M184" s="511">
        <f>+'q16'!$L$33</f>
        <v>166794.00000000003</v>
      </c>
    </row>
    <row r="185" spans="1:13">
      <c r="B185" s="500" t="s">
        <v>14</v>
      </c>
      <c r="C185" s="511">
        <f>+'q16'!$B$5</f>
        <v>2384121</v>
      </c>
      <c r="D185" s="511">
        <f>+'q16'!$C$5</f>
        <v>2458163</v>
      </c>
      <c r="E185" s="511">
        <f>+'q16'!$D$5</f>
        <v>2537653.0000000028</v>
      </c>
      <c r="F185" s="511">
        <f>+'q16'!$E$5</f>
        <v>2641918.9999999977</v>
      </c>
      <c r="G185" s="511">
        <f>+'q16'!$F$5</f>
        <v>2767520.9999999977</v>
      </c>
      <c r="H185" s="511">
        <f>+'q16'!$G$5</f>
        <v>2877918.0000000005</v>
      </c>
      <c r="I185" s="511">
        <f>+'q16'!$H$5</f>
        <v>2930481.9999999995</v>
      </c>
      <c r="J185" s="511">
        <f>+'q16'!$I$5</f>
        <v>2902824.9999999981</v>
      </c>
      <c r="K185" s="511">
        <f>+'q16'!$J$5</f>
        <v>2922343.0000000014</v>
      </c>
      <c r="L185" s="511">
        <f>+'q16'!$K$5</f>
        <v>3148146.9999999995</v>
      </c>
      <c r="M185" s="511">
        <f>+'q16'!$L$5</f>
        <v>3296133.9999999981</v>
      </c>
    </row>
    <row r="189" spans="1:13">
      <c r="A189" s="500" t="s">
        <v>594</v>
      </c>
      <c r="D189" s="501"/>
    </row>
    <row r="190" spans="1:13">
      <c r="A190" s="631" t="s">
        <v>302</v>
      </c>
      <c r="C190" s="500">
        <f>+'q25'!$B$4</f>
        <v>2013</v>
      </c>
      <c r="D190" s="500">
        <f>+'q25'!$C$4</f>
        <v>2014</v>
      </c>
      <c r="E190" s="500">
        <f>+'q25'!$D$4</f>
        <v>2015</v>
      </c>
      <c r="F190" s="500">
        <f>+'q25'!$E$4</f>
        <v>2016</v>
      </c>
      <c r="G190" s="500">
        <f>+'q25'!$F$4</f>
        <v>2017</v>
      </c>
      <c r="H190" s="500">
        <f>+'q25'!$G$4</f>
        <v>2018</v>
      </c>
      <c r="I190" s="500">
        <f>+'q25'!$H$4</f>
        <v>2019</v>
      </c>
      <c r="J190" s="500">
        <f>+'q25'!$I$4</f>
        <v>2020</v>
      </c>
      <c r="K190" s="500">
        <f>+'q25'!$J$4</f>
        <v>2021</v>
      </c>
      <c r="L190" s="500">
        <f>+'q25'!$K$4</f>
        <v>2022</v>
      </c>
      <c r="M190" s="500">
        <f>+'q25'!$L$4</f>
        <v>2023</v>
      </c>
    </row>
    <row r="191" spans="1:13">
      <c r="A191" s="500" t="s">
        <v>579</v>
      </c>
      <c r="B191" s="500" t="str">
        <f>+'q25'!$A$6</f>
        <v>Norte</v>
      </c>
      <c r="C191" s="682">
        <f>+'q25'!$B$6</f>
        <v>809.5</v>
      </c>
      <c r="D191" s="682">
        <f>+'q25'!$C$6</f>
        <v>812.01</v>
      </c>
      <c r="E191" s="682">
        <f>+'q25'!$D$6</f>
        <v>820.07</v>
      </c>
      <c r="F191" s="682">
        <f>+'q25'!$E$6</f>
        <v>834.01</v>
      </c>
      <c r="G191" s="682">
        <f>+'q25'!$F$6</f>
        <v>854.76</v>
      </c>
      <c r="H191" s="682">
        <f>+'q25'!$G$6</f>
        <v>887.44</v>
      </c>
      <c r="I191" s="682">
        <f>+'q25'!$H$6</f>
        <v>924.5</v>
      </c>
      <c r="J191" s="682">
        <f>+'q25'!$I$6</f>
        <v>965.76</v>
      </c>
      <c r="K191" s="682">
        <f>+'q25'!$J$6</f>
        <v>1006.75</v>
      </c>
      <c r="L191" s="682">
        <f>+'q25'!$K$6</f>
        <v>1063.21</v>
      </c>
      <c r="M191" s="682">
        <f>+'q25'!$L$6</f>
        <v>1137.22</v>
      </c>
    </row>
    <row r="192" spans="1:13">
      <c r="A192" s="500"/>
      <c r="B192" s="500" t="str">
        <f>+'q25'!$A$15</f>
        <v>Centro</v>
      </c>
      <c r="C192" s="682">
        <f>+'q25'!$B$15</f>
        <v>790.3</v>
      </c>
      <c r="D192" s="682">
        <f>+'q25'!$C$15</f>
        <v>791.69</v>
      </c>
      <c r="E192" s="682">
        <f>+'q25'!$D$15</f>
        <v>797.26</v>
      </c>
      <c r="F192" s="682">
        <f>+'q25'!$E$15</f>
        <v>811.52</v>
      </c>
      <c r="G192" s="682">
        <f>+'q25'!$F$15</f>
        <v>830.13</v>
      </c>
      <c r="H192" s="682">
        <f>+'q25'!$G$15</f>
        <v>859.11</v>
      </c>
      <c r="I192" s="682">
        <f>+'q25'!$H$15</f>
        <v>891.47</v>
      </c>
      <c r="J192" s="682">
        <f>+'q25'!$I$15</f>
        <v>920.01</v>
      </c>
      <c r="K192" s="682">
        <f>+'q25'!$J$15</f>
        <v>961.02</v>
      </c>
      <c r="L192" s="682">
        <f>+'q25'!$K$15</f>
        <v>1007.64</v>
      </c>
      <c r="M192" s="682">
        <f>+'q25'!$L$15</f>
        <v>1075.43</v>
      </c>
    </row>
    <row r="193" spans="1:13">
      <c r="A193" s="500"/>
      <c r="B193" s="500" t="str">
        <f>+'q25'!$A$22</f>
        <v>Oeste e Vale do Tejo</v>
      </c>
      <c r="C193" s="682">
        <f>+'q25'!$B$22</f>
        <v>783.15</v>
      </c>
      <c r="D193" s="682">
        <f>+'q25'!$C$22</f>
        <v>784.39</v>
      </c>
      <c r="E193" s="682">
        <f>+'q25'!$D$22</f>
        <v>787.42</v>
      </c>
      <c r="F193" s="682">
        <f>+'q25'!$E$22</f>
        <v>795.81</v>
      </c>
      <c r="G193" s="682">
        <f>+'q25'!$F$22</f>
        <v>813.34</v>
      </c>
      <c r="H193" s="682">
        <f>+'q25'!$G$22</f>
        <v>833.08</v>
      </c>
      <c r="I193" s="682">
        <f>+'q25'!$H$22</f>
        <v>857.96</v>
      </c>
      <c r="J193" s="682">
        <f>+'q25'!$I$22</f>
        <v>892.06</v>
      </c>
      <c r="K193" s="682">
        <f>+'q25'!$J$22</f>
        <v>929.27</v>
      </c>
      <c r="L193" s="682">
        <f>+'q25'!$K$22</f>
        <v>969.17</v>
      </c>
      <c r="M193" s="682">
        <f>+'q25'!$L$22</f>
        <v>1035.0899999999999</v>
      </c>
    </row>
    <row r="194" spans="1:13">
      <c r="A194" s="500"/>
      <c r="B194" s="500" t="str">
        <f>+'q25'!$A$26</f>
        <v>Grande Lisboa</v>
      </c>
      <c r="C194" s="682">
        <f>+'q25'!$B$26</f>
        <v>1184.3399999999999</v>
      </c>
      <c r="D194" s="682">
        <f>+'q25'!$C$26</f>
        <v>1174.23</v>
      </c>
      <c r="E194" s="682">
        <f>+'q25'!$D$26</f>
        <v>1175.57</v>
      </c>
      <c r="F194" s="682">
        <f>+'q25'!$E$26</f>
        <v>1179.78</v>
      </c>
      <c r="G194" s="682">
        <f>+'q25'!$F$26</f>
        <v>1197.4000000000001</v>
      </c>
      <c r="H194" s="682">
        <f>+'q25'!$G$26</f>
        <v>1219.74</v>
      </c>
      <c r="I194" s="682">
        <f>+'q25'!$H$26</f>
        <v>1255.78</v>
      </c>
      <c r="J194" s="682">
        <f>+'q25'!$I$26</f>
        <v>1293.07</v>
      </c>
      <c r="K194" s="682">
        <f>+'q25'!$J$26</f>
        <v>1339.8</v>
      </c>
      <c r="L194" s="682">
        <f>+'q25'!$K$26</f>
        <v>1418.39</v>
      </c>
      <c r="M194" s="682">
        <f>+'q25'!$L$26</f>
        <v>1505.99</v>
      </c>
    </row>
    <row r="195" spans="1:13">
      <c r="A195" s="500"/>
      <c r="B195" s="500" t="str">
        <f>+'q25'!$A$27</f>
        <v>Península de Setúbal</v>
      </c>
      <c r="C195" s="682">
        <f>+'q25'!$B$27</f>
        <v>947.19</v>
      </c>
      <c r="D195" s="682">
        <f>+'q25'!$C$27</f>
        <v>942.29</v>
      </c>
      <c r="E195" s="682">
        <f>+'q25'!$D$27</f>
        <v>958.82</v>
      </c>
      <c r="F195" s="682">
        <f>+'q25'!$E$27</f>
        <v>981.55</v>
      </c>
      <c r="G195" s="682">
        <f>+'q25'!$F$27</f>
        <v>991.49</v>
      </c>
      <c r="H195" s="682">
        <f>+'q25'!$G$27</f>
        <v>1000.7</v>
      </c>
      <c r="I195" s="682">
        <f>+'q25'!$H$27</f>
        <v>1025.8699999999999</v>
      </c>
      <c r="J195" s="682">
        <f>+'q25'!$I$27</f>
        <v>1059.8599999999999</v>
      </c>
      <c r="K195" s="682">
        <f>+'q25'!$J$27</f>
        <v>1079.49</v>
      </c>
      <c r="L195" s="682">
        <f>+'q25'!$K$27</f>
        <v>1126.71</v>
      </c>
      <c r="M195" s="682">
        <f>+'q25'!$L$27</f>
        <v>1188.27</v>
      </c>
    </row>
    <row r="196" spans="1:13">
      <c r="A196" s="500"/>
      <c r="B196" s="500" t="str">
        <f>+'q25'!$A$28</f>
        <v>Alentejo</v>
      </c>
      <c r="C196" s="682">
        <f>+'q25'!$B$28</f>
        <v>806.92</v>
      </c>
      <c r="D196" s="682">
        <f>+'q25'!$C$28</f>
        <v>805.21</v>
      </c>
      <c r="E196" s="682">
        <f>+'q25'!$D$28</f>
        <v>807.44</v>
      </c>
      <c r="F196" s="682">
        <f>+'q25'!$E$28</f>
        <v>813.39</v>
      </c>
      <c r="G196" s="682">
        <f>+'q25'!$F$28</f>
        <v>830.83</v>
      </c>
      <c r="H196" s="682">
        <f>+'q25'!$G$28</f>
        <v>854.15</v>
      </c>
      <c r="I196" s="682">
        <f>+'q25'!$H$28</f>
        <v>874.15</v>
      </c>
      <c r="J196" s="682">
        <f>+'q25'!$I$28</f>
        <v>908.53</v>
      </c>
      <c r="K196" s="682">
        <f>+'q25'!$J$28</f>
        <v>942.08</v>
      </c>
      <c r="L196" s="682">
        <f>+'q25'!$K$28</f>
        <v>988.91</v>
      </c>
      <c r="M196" s="682">
        <f>+'q25'!$L$28</f>
        <v>1053.06</v>
      </c>
    </row>
    <row r="197" spans="1:13">
      <c r="A197" s="500"/>
      <c r="B197" s="500" t="str">
        <f>+'q25'!$A$33</f>
        <v>Algarve</v>
      </c>
      <c r="C197" s="682">
        <f>+'q25'!$B$33</f>
        <v>785.87</v>
      </c>
      <c r="D197" s="682">
        <f>+'q25'!$C$33</f>
        <v>780.52</v>
      </c>
      <c r="E197" s="682">
        <f>+'q25'!$D$33</f>
        <v>781.12</v>
      </c>
      <c r="F197" s="682">
        <f>+'q25'!$E$33</f>
        <v>793.76</v>
      </c>
      <c r="G197" s="682">
        <f>+'q25'!$F$33</f>
        <v>810.99</v>
      </c>
      <c r="H197" s="682">
        <f>+'q25'!$G$33</f>
        <v>836.09</v>
      </c>
      <c r="I197" s="682">
        <f>+'q25'!$H$33</f>
        <v>861.15</v>
      </c>
      <c r="J197" s="682">
        <f>+'q25'!$I$33</f>
        <v>897.18</v>
      </c>
      <c r="K197" s="682">
        <f>+'q25'!$J$33</f>
        <v>928.44</v>
      </c>
      <c r="L197" s="682">
        <f>+'q25'!$K$33</f>
        <v>965.83</v>
      </c>
      <c r="M197" s="682">
        <f>+'q25'!$L$33</f>
        <v>1031.25</v>
      </c>
    </row>
    <row r="198" spans="1:13">
      <c r="B198" s="500" t="s">
        <v>14</v>
      </c>
      <c r="C198" s="682">
        <f>+'q25'!$B$5</f>
        <v>912.18</v>
      </c>
      <c r="D198" s="682">
        <f>+'q25'!$C$5</f>
        <v>909.49</v>
      </c>
      <c r="E198" s="682">
        <f>+'q25'!$D$5</f>
        <v>913.93</v>
      </c>
      <c r="F198" s="682">
        <f>+'q25'!$E$5</f>
        <v>924.94</v>
      </c>
      <c r="G198" s="682">
        <f>+'q25'!$F$5</f>
        <v>943</v>
      </c>
      <c r="H198" s="682">
        <f>+'q25'!$G$5</f>
        <v>970.42</v>
      </c>
      <c r="I198" s="682">
        <f>+'q25'!$H$5</f>
        <v>1005.09</v>
      </c>
      <c r="J198" s="682">
        <f>+'q25'!$I$5</f>
        <v>1041.99</v>
      </c>
      <c r="K198" s="682">
        <f>+'q25'!$J$5</f>
        <v>1082.77</v>
      </c>
      <c r="L198" s="682">
        <f>+'q25'!$K$5</f>
        <v>1143.45</v>
      </c>
      <c r="M198" s="682">
        <f>+'q25'!$L$5</f>
        <v>1219.8699999999999</v>
      </c>
    </row>
    <row r="199" spans="1:13">
      <c r="B199" s="500"/>
      <c r="C199" s="511"/>
      <c r="D199" s="511"/>
      <c r="E199" s="511"/>
      <c r="F199" s="511"/>
      <c r="G199" s="511"/>
      <c r="H199" s="511"/>
      <c r="I199" s="511"/>
      <c r="J199" s="511"/>
      <c r="K199" s="511"/>
      <c r="L199" s="511"/>
      <c r="M199" s="511"/>
    </row>
    <row r="200" spans="1:13">
      <c r="C200" s="500">
        <f>+C190</f>
        <v>2013</v>
      </c>
      <c r="D200" s="500">
        <f t="shared" ref="D200:M200" si="65">+D190</f>
        <v>2014</v>
      </c>
      <c r="E200" s="500">
        <f t="shared" si="65"/>
        <v>2015</v>
      </c>
      <c r="F200" s="500">
        <f t="shared" si="65"/>
        <v>2016</v>
      </c>
      <c r="G200" s="500">
        <f t="shared" si="65"/>
        <v>2017</v>
      </c>
      <c r="H200" s="500">
        <f t="shared" si="65"/>
        <v>2018</v>
      </c>
      <c r="I200" s="500">
        <f t="shared" si="65"/>
        <v>2019</v>
      </c>
      <c r="J200" s="500">
        <f t="shared" si="65"/>
        <v>2020</v>
      </c>
      <c r="K200" s="500">
        <f t="shared" si="65"/>
        <v>2021</v>
      </c>
      <c r="L200" s="500">
        <f t="shared" si="65"/>
        <v>2022</v>
      </c>
      <c r="M200" s="500">
        <f t="shared" si="65"/>
        <v>2023</v>
      </c>
    </row>
    <row r="201" spans="1:13">
      <c r="A201" s="500" t="s">
        <v>580</v>
      </c>
      <c r="B201" s="500" t="str">
        <f>+'q25'!$A$7</f>
        <v>Alto Minho</v>
      </c>
      <c r="C201" s="682">
        <f>+'q25'!$B$7</f>
        <v>726.57</v>
      </c>
      <c r="D201" s="682">
        <f>+'q25'!$C$7</f>
        <v>729.89</v>
      </c>
      <c r="E201" s="682">
        <f>+'q25'!$D$7</f>
        <v>741.65</v>
      </c>
      <c r="F201" s="682">
        <f>+'q25'!$E$7</f>
        <v>746.72</v>
      </c>
      <c r="G201" s="682">
        <f>+'q25'!$F$7</f>
        <v>782.27</v>
      </c>
      <c r="H201" s="682">
        <f>+'q25'!$G$7</f>
        <v>802.92</v>
      </c>
      <c r="I201" s="682">
        <f>+'q25'!$H$7</f>
        <v>834.97</v>
      </c>
      <c r="J201" s="682">
        <f>+'q25'!$I$7</f>
        <v>865.76</v>
      </c>
      <c r="K201" s="682">
        <f>+'q25'!$J$7</f>
        <v>907.38</v>
      </c>
      <c r="L201" s="682">
        <f>+'q25'!$K$7</f>
        <v>955.67</v>
      </c>
      <c r="M201" s="682">
        <f>+'q25'!$L$7</f>
        <v>1022.16</v>
      </c>
    </row>
    <row r="202" spans="1:13">
      <c r="A202" s="500"/>
      <c r="B202" s="500" t="str">
        <f>+'q25'!$A$8</f>
        <v>Cávado</v>
      </c>
      <c r="C202" s="682">
        <f>+'q25'!$B$8</f>
        <v>755.28</v>
      </c>
      <c r="D202" s="682">
        <f>+'q25'!$C$8</f>
        <v>759.84</v>
      </c>
      <c r="E202" s="682">
        <f>+'q25'!$D$8</f>
        <v>761.41</v>
      </c>
      <c r="F202" s="682">
        <f>+'q25'!$E$8</f>
        <v>779.14</v>
      </c>
      <c r="G202" s="682">
        <f>+'q25'!$F$8</f>
        <v>804.2</v>
      </c>
      <c r="H202" s="682">
        <f>+'q25'!$G$8</f>
        <v>837.41</v>
      </c>
      <c r="I202" s="682">
        <f>+'q25'!$H$8</f>
        <v>882.73</v>
      </c>
      <c r="J202" s="682">
        <f>+'q25'!$I$8</f>
        <v>926.11</v>
      </c>
      <c r="K202" s="682">
        <f>+'q25'!$J$8</f>
        <v>973.97</v>
      </c>
      <c r="L202" s="682">
        <f>+'q25'!$K$8</f>
        <v>1014.07</v>
      </c>
      <c r="M202" s="682">
        <f>+'q25'!$L$8</f>
        <v>1092.31</v>
      </c>
    </row>
    <row r="203" spans="1:13">
      <c r="A203" s="500"/>
      <c r="B203" s="500" t="str">
        <f>+'q25'!$A$9</f>
        <v>Ave</v>
      </c>
      <c r="C203" s="682">
        <f>+'q25'!$B$9</f>
        <v>713.05</v>
      </c>
      <c r="D203" s="682">
        <f>+'q25'!$C$9</f>
        <v>721.62</v>
      </c>
      <c r="E203" s="682">
        <f>+'q25'!$D$9</f>
        <v>730.34</v>
      </c>
      <c r="F203" s="682">
        <f>+'q25'!$E$9</f>
        <v>747.36</v>
      </c>
      <c r="G203" s="682">
        <f>+'q25'!$F$9</f>
        <v>775.08</v>
      </c>
      <c r="H203" s="682">
        <f>+'q25'!$G$9</f>
        <v>802.78</v>
      </c>
      <c r="I203" s="682">
        <f>+'q25'!$H$9</f>
        <v>830.45</v>
      </c>
      <c r="J203" s="682">
        <f>+'q25'!$I$9</f>
        <v>871.56</v>
      </c>
      <c r="K203" s="682">
        <f>+'q25'!$J$9</f>
        <v>916.46</v>
      </c>
      <c r="L203" s="682">
        <f>+'q25'!$K$9</f>
        <v>964.07</v>
      </c>
      <c r="M203" s="682">
        <f>+'q25'!$L$9</f>
        <v>1028.49</v>
      </c>
    </row>
    <row r="204" spans="1:13">
      <c r="A204" s="500"/>
      <c r="B204" s="500" t="str">
        <f>+'q25'!$A$10</f>
        <v>Área Metropolitana do Porto</v>
      </c>
      <c r="C204" s="682">
        <f>+'q25'!$B$10</f>
        <v>899.1</v>
      </c>
      <c r="D204" s="682">
        <f>+'q25'!$C$10</f>
        <v>899.59</v>
      </c>
      <c r="E204" s="682">
        <f>+'q25'!$D$10</f>
        <v>909.44</v>
      </c>
      <c r="F204" s="682">
        <f>+'q25'!$E$10</f>
        <v>922.09</v>
      </c>
      <c r="G204" s="682">
        <f>+'q25'!$F$10</f>
        <v>937.69</v>
      </c>
      <c r="H204" s="682">
        <f>+'q25'!$G$10</f>
        <v>975.29</v>
      </c>
      <c r="I204" s="682">
        <f>+'q25'!$H$10</f>
        <v>1012.56</v>
      </c>
      <c r="J204" s="682">
        <f>+'q25'!$I$10</f>
        <v>1057.6600000000001</v>
      </c>
      <c r="K204" s="682">
        <f>+'q25'!$J$10</f>
        <v>1099.93</v>
      </c>
      <c r="L204" s="682">
        <f>+'q25'!$K$10</f>
        <v>1165.44</v>
      </c>
      <c r="M204" s="682">
        <f>+'q25'!$L$10</f>
        <v>1242.23</v>
      </c>
    </row>
    <row r="205" spans="1:13">
      <c r="A205" s="500"/>
      <c r="B205" s="500" t="str">
        <f>+'q25'!$A$11</f>
        <v>Alto Tâmega e Barroso</v>
      </c>
      <c r="C205" s="682">
        <f>+'q25'!$B$11</f>
        <v>686.55</v>
      </c>
      <c r="D205" s="682">
        <f>+'q25'!$C$11</f>
        <v>689.68</v>
      </c>
      <c r="E205" s="682">
        <f>+'q25'!$D$11</f>
        <v>689.75</v>
      </c>
      <c r="F205" s="682">
        <f>+'q25'!$E$11</f>
        <v>723.25</v>
      </c>
      <c r="G205" s="682">
        <f>+'q25'!$F$11</f>
        <v>757.29</v>
      </c>
      <c r="H205" s="682">
        <f>+'q25'!$G$11</f>
        <v>779.47</v>
      </c>
      <c r="I205" s="682">
        <f>+'q25'!$H$11</f>
        <v>802.55</v>
      </c>
      <c r="J205" s="682">
        <f>+'q25'!$I$11</f>
        <v>831.23</v>
      </c>
      <c r="K205" s="682">
        <f>+'q25'!$J$11</f>
        <v>852.76</v>
      </c>
      <c r="L205" s="682">
        <f>+'q25'!$K$11</f>
        <v>892.27</v>
      </c>
      <c r="M205" s="682">
        <f>+'q25'!$L$11</f>
        <v>964</v>
      </c>
    </row>
    <row r="206" spans="1:13">
      <c r="A206" s="500"/>
      <c r="B206" s="500" t="str">
        <f>+'q25'!$A$12</f>
        <v>Tâmega e Sousa</v>
      </c>
      <c r="C206" s="682">
        <f>+'q25'!$B$12</f>
        <v>650.83000000000004</v>
      </c>
      <c r="D206" s="682">
        <f>+'q25'!$C$12</f>
        <v>661.46</v>
      </c>
      <c r="E206" s="682">
        <f>+'q25'!$D$12</f>
        <v>668.83</v>
      </c>
      <c r="F206" s="682">
        <f>+'q25'!$E$12</f>
        <v>685.64</v>
      </c>
      <c r="G206" s="682">
        <f>+'q25'!$F$12</f>
        <v>704.33</v>
      </c>
      <c r="H206" s="682">
        <f>+'q25'!$G$12</f>
        <v>733.18</v>
      </c>
      <c r="I206" s="682">
        <f>+'q25'!$H$12</f>
        <v>764.65</v>
      </c>
      <c r="J206" s="682">
        <f>+'q25'!$I$12</f>
        <v>802.58</v>
      </c>
      <c r="K206" s="682">
        <f>+'q25'!$J$12</f>
        <v>845.09</v>
      </c>
      <c r="L206" s="682">
        <f>+'q25'!$K$12</f>
        <v>885.57</v>
      </c>
      <c r="M206" s="682">
        <f>+'q25'!$L$12</f>
        <v>949.32</v>
      </c>
    </row>
    <row r="207" spans="1:13">
      <c r="A207" s="500"/>
      <c r="B207" s="500" t="str">
        <f>+'q25'!$A$13</f>
        <v>Douro</v>
      </c>
      <c r="C207" s="682">
        <f>+'q25'!$B$13</f>
        <v>744.16</v>
      </c>
      <c r="D207" s="682">
        <f>+'q25'!$C$13</f>
        <v>745.33</v>
      </c>
      <c r="E207" s="682">
        <f>+'q25'!$D$13</f>
        <v>747.62</v>
      </c>
      <c r="F207" s="682">
        <f>+'q25'!$E$13</f>
        <v>750.66</v>
      </c>
      <c r="G207" s="682">
        <f>+'q25'!$F$13</f>
        <v>766.74</v>
      </c>
      <c r="H207" s="682">
        <f>+'q25'!$G$13</f>
        <v>789.36</v>
      </c>
      <c r="I207" s="682">
        <f>+'q25'!$H$13</f>
        <v>816.21</v>
      </c>
      <c r="J207" s="682">
        <f>+'q25'!$I$13</f>
        <v>838.94</v>
      </c>
      <c r="K207" s="682">
        <f>+'q25'!$J$13</f>
        <v>872.95</v>
      </c>
      <c r="L207" s="682">
        <f>+'q25'!$K$13</f>
        <v>922.59</v>
      </c>
      <c r="M207" s="682">
        <f>+'q25'!$L$13</f>
        <v>988.16</v>
      </c>
    </row>
    <row r="208" spans="1:13">
      <c r="A208" s="500"/>
      <c r="B208" s="500" t="str">
        <f>+'q25'!$A$14</f>
        <v>Terras de Trás-os-Montes</v>
      </c>
      <c r="C208" s="682">
        <f>+'q25'!$B$14</f>
        <v>705.28</v>
      </c>
      <c r="D208" s="682">
        <f>+'q25'!$C$14</f>
        <v>702.36</v>
      </c>
      <c r="E208" s="682">
        <f>+'q25'!$D$14</f>
        <v>711.04</v>
      </c>
      <c r="F208" s="682">
        <f>+'q25'!$E$14</f>
        <v>732.9</v>
      </c>
      <c r="G208" s="682">
        <f>+'q25'!$F$14</f>
        <v>751.28</v>
      </c>
      <c r="H208" s="682">
        <f>+'q25'!$G$14</f>
        <v>770.98</v>
      </c>
      <c r="I208" s="682">
        <f>+'q25'!$H$14</f>
        <v>799.16</v>
      </c>
      <c r="J208" s="682">
        <f>+'q25'!$I$14</f>
        <v>833.66</v>
      </c>
      <c r="K208" s="682">
        <f>+'q25'!$J$14</f>
        <v>864.26</v>
      </c>
      <c r="L208" s="682">
        <f>+'q25'!$K$14</f>
        <v>899.68</v>
      </c>
      <c r="M208" s="682">
        <f>+'q25'!$L$14</f>
        <v>965.83</v>
      </c>
    </row>
    <row r="209" spans="1:13">
      <c r="A209" s="500"/>
      <c r="B209" s="500" t="str">
        <f>+'q25'!$A$16</f>
        <v>Região de Aveiro</v>
      </c>
      <c r="C209" s="682">
        <f>+'q25'!$B$16</f>
        <v>833.28</v>
      </c>
      <c r="D209" s="682">
        <f>+'q25'!$C$16</f>
        <v>840.87</v>
      </c>
      <c r="E209" s="682">
        <f>+'q25'!$D$16</f>
        <v>850.11</v>
      </c>
      <c r="F209" s="682">
        <f>+'q25'!$E$16</f>
        <v>860.22</v>
      </c>
      <c r="G209" s="682">
        <f>+'q25'!$F$16</f>
        <v>876.7</v>
      </c>
      <c r="H209" s="682">
        <f>+'q25'!$G$16</f>
        <v>907.62</v>
      </c>
      <c r="I209" s="682">
        <f>+'q25'!$H$16</f>
        <v>947.58</v>
      </c>
      <c r="J209" s="682">
        <f>+'q25'!$I$16</f>
        <v>970.59</v>
      </c>
      <c r="K209" s="682">
        <f>+'q25'!$J$16</f>
        <v>1011.7</v>
      </c>
      <c r="L209" s="682">
        <f>+'q25'!$K$16</f>
        <v>1065.4100000000001</v>
      </c>
      <c r="M209" s="682">
        <f>+'q25'!$L$16</f>
        <v>1142.06</v>
      </c>
    </row>
    <row r="210" spans="1:13">
      <c r="A210" s="500"/>
      <c r="B210" s="500" t="str">
        <f>+'q25'!$A$17</f>
        <v>Região de Coimbra</v>
      </c>
      <c r="C210" s="682">
        <f>+'q25'!$B$17</f>
        <v>811.27</v>
      </c>
      <c r="D210" s="682">
        <f>+'q25'!$C$17</f>
        <v>798.25</v>
      </c>
      <c r="E210" s="682">
        <f>+'q25'!$D$17</f>
        <v>798.23</v>
      </c>
      <c r="F210" s="682">
        <f>+'q25'!$E$17</f>
        <v>813.19</v>
      </c>
      <c r="G210" s="682">
        <f>+'q25'!$F$17</f>
        <v>831.44</v>
      </c>
      <c r="H210" s="682">
        <f>+'q25'!$G$17</f>
        <v>860.34</v>
      </c>
      <c r="I210" s="682">
        <f>+'q25'!$H$17</f>
        <v>892.77</v>
      </c>
      <c r="J210" s="682">
        <f>+'q25'!$I$17</f>
        <v>921.46</v>
      </c>
      <c r="K210" s="682">
        <f>+'q25'!$J$17</f>
        <v>964.52</v>
      </c>
      <c r="L210" s="682">
        <f>+'q25'!$K$17</f>
        <v>1011.46</v>
      </c>
      <c r="M210" s="682">
        <f>+'q25'!$L$17</f>
        <v>1081.05</v>
      </c>
    </row>
    <row r="211" spans="1:13">
      <c r="A211" s="500"/>
      <c r="B211" s="500" t="str">
        <f>+'q25'!$A$18</f>
        <v>Região de Leiria</v>
      </c>
      <c r="C211" s="682">
        <f>+'q25'!$B$18</f>
        <v>809.51</v>
      </c>
      <c r="D211" s="682">
        <f>+'q25'!$C$18</f>
        <v>816.84</v>
      </c>
      <c r="E211" s="682">
        <f>+'q25'!$D$18</f>
        <v>825.07</v>
      </c>
      <c r="F211" s="682">
        <f>+'q25'!$E$18</f>
        <v>839.81</v>
      </c>
      <c r="G211" s="682">
        <f>+'q25'!$F$18</f>
        <v>859.07</v>
      </c>
      <c r="H211" s="682">
        <f>+'q25'!$G$18</f>
        <v>894</v>
      </c>
      <c r="I211" s="682">
        <f>+'q25'!$H$18</f>
        <v>921.39</v>
      </c>
      <c r="J211" s="682">
        <f>+'q25'!$I$18</f>
        <v>947.75</v>
      </c>
      <c r="K211" s="682">
        <f>+'q25'!$J$18</f>
        <v>986.61</v>
      </c>
      <c r="L211" s="682">
        <f>+'q25'!$K$18</f>
        <v>1034.0899999999999</v>
      </c>
      <c r="M211" s="682">
        <f>+'q25'!$L$18</f>
        <v>1096.77</v>
      </c>
    </row>
    <row r="212" spans="1:13">
      <c r="A212" s="500"/>
      <c r="B212" s="500" t="str">
        <f>+'q25'!$A$19</f>
        <v>Viseu Dão Lafões</v>
      </c>
      <c r="C212" s="682">
        <f>+'q25'!$B$19</f>
        <v>744.87</v>
      </c>
      <c r="D212" s="682">
        <f>+'q25'!$C$19</f>
        <v>742.83</v>
      </c>
      <c r="E212" s="682">
        <f>+'q25'!$D$19</f>
        <v>745.16</v>
      </c>
      <c r="F212" s="682">
        <f>+'q25'!$E$19</f>
        <v>757.72</v>
      </c>
      <c r="G212" s="682">
        <f>+'q25'!$F$19</f>
        <v>777.17</v>
      </c>
      <c r="H212" s="682">
        <f>+'q25'!$G$19</f>
        <v>802.22</v>
      </c>
      <c r="I212" s="682">
        <f>+'q25'!$H$19</f>
        <v>830.2</v>
      </c>
      <c r="J212" s="682">
        <f>+'q25'!$I$19</f>
        <v>862.87</v>
      </c>
      <c r="K212" s="682">
        <f>+'q25'!$J$19</f>
        <v>906.83</v>
      </c>
      <c r="L212" s="682">
        <f>+'q25'!$K$19</f>
        <v>944.07</v>
      </c>
      <c r="M212" s="682">
        <f>+'q25'!$L$19</f>
        <v>1009.72</v>
      </c>
    </row>
    <row r="213" spans="1:13">
      <c r="A213" s="500"/>
      <c r="B213" s="500" t="str">
        <f>+'q25'!$A$20</f>
        <v>Beira Baixa</v>
      </c>
      <c r="C213" s="682">
        <f>+'q25'!$B$20</f>
        <v>723.64</v>
      </c>
      <c r="D213" s="682">
        <f>+'q25'!$C$20</f>
        <v>726.57</v>
      </c>
      <c r="E213" s="682">
        <f>+'q25'!$D$20</f>
        <v>730.63</v>
      </c>
      <c r="F213" s="682">
        <f>+'q25'!$E$20</f>
        <v>750.33</v>
      </c>
      <c r="G213" s="682">
        <f>+'q25'!$F$20</f>
        <v>767.59</v>
      </c>
      <c r="H213" s="682">
        <f>+'q25'!$G$20</f>
        <v>786.68</v>
      </c>
      <c r="I213" s="682">
        <f>+'q25'!$H$20</f>
        <v>812.51</v>
      </c>
      <c r="J213" s="682">
        <f>+'q25'!$I$20</f>
        <v>851.68</v>
      </c>
      <c r="K213" s="682">
        <f>+'q25'!$J$20</f>
        <v>894.93</v>
      </c>
      <c r="L213" s="682">
        <f>+'q25'!$K$20</f>
        <v>926.52</v>
      </c>
      <c r="M213" s="682">
        <f>+'q25'!$L$20</f>
        <v>990.62</v>
      </c>
    </row>
    <row r="214" spans="1:13">
      <c r="A214" s="500"/>
      <c r="B214" s="500" t="str">
        <f>+'q25'!$A$21</f>
        <v>Beiras e Serra da Estrela</v>
      </c>
      <c r="C214" s="682">
        <f>+'q25'!$B$21</f>
        <v>696.02</v>
      </c>
      <c r="D214" s="682">
        <f>+'q25'!$C$21</f>
        <v>706.7</v>
      </c>
      <c r="E214" s="682">
        <f>+'q25'!$D$21</f>
        <v>713.67</v>
      </c>
      <c r="F214" s="682">
        <f>+'q25'!$E$21</f>
        <v>731.12</v>
      </c>
      <c r="G214" s="682">
        <f>+'q25'!$F$21</f>
        <v>752.07</v>
      </c>
      <c r="H214" s="682">
        <f>+'q25'!$G$21</f>
        <v>776.5</v>
      </c>
      <c r="I214" s="682">
        <f>+'q25'!$H$21</f>
        <v>807.38</v>
      </c>
      <c r="J214" s="682">
        <f>+'q25'!$I$21</f>
        <v>841.02</v>
      </c>
      <c r="K214" s="682">
        <f>+'q25'!$J$21</f>
        <v>877.51</v>
      </c>
      <c r="L214" s="682">
        <f>+'q25'!$K$21</f>
        <v>921.32</v>
      </c>
      <c r="M214" s="682">
        <f>+'q25'!$L$21</f>
        <v>979.61</v>
      </c>
    </row>
    <row r="215" spans="1:13">
      <c r="A215" s="500"/>
      <c r="B215" s="500" t="str">
        <f>+'q25'!$A$23</f>
        <v>Oeste</v>
      </c>
      <c r="C215" s="682">
        <f>+'q25'!$B$23</f>
        <v>770.77</v>
      </c>
      <c r="D215" s="682">
        <f>+'q25'!$C$23</f>
        <v>771.78</v>
      </c>
      <c r="E215" s="682">
        <f>+'q25'!$D$23</f>
        <v>770.07</v>
      </c>
      <c r="F215" s="682">
        <f>+'q25'!$E$23</f>
        <v>785.59</v>
      </c>
      <c r="G215" s="682">
        <f>+'q25'!$F$23</f>
        <v>801.29</v>
      </c>
      <c r="H215" s="682">
        <f>+'q25'!$G$23</f>
        <v>821.95</v>
      </c>
      <c r="I215" s="682">
        <f>+'q25'!$H$23</f>
        <v>848.7</v>
      </c>
      <c r="J215" s="682">
        <f>+'q25'!$I$23</f>
        <v>884.55</v>
      </c>
      <c r="K215" s="682">
        <f>+'q25'!$J$23</f>
        <v>926.96</v>
      </c>
      <c r="L215" s="682">
        <f>+'q25'!$K$23</f>
        <v>966.4</v>
      </c>
      <c r="M215" s="682">
        <f>+'q25'!$L$23</f>
        <v>1033.98</v>
      </c>
    </row>
    <row r="216" spans="1:13">
      <c r="A216" s="500"/>
      <c r="B216" s="500" t="str">
        <f>+'q25'!$A$24</f>
        <v>Médio Tejo</v>
      </c>
      <c r="C216" s="682">
        <f>+'q25'!$B$24</f>
        <v>783.59</v>
      </c>
      <c r="D216" s="682">
        <f>+'q25'!$C$24</f>
        <v>785.86</v>
      </c>
      <c r="E216" s="682">
        <f>+'q25'!$D$24</f>
        <v>791.65</v>
      </c>
      <c r="F216" s="682">
        <f>+'q25'!$E$24</f>
        <v>795.89</v>
      </c>
      <c r="G216" s="682">
        <f>+'q25'!$F$24</f>
        <v>823.17</v>
      </c>
      <c r="H216" s="682">
        <f>+'q25'!$G$24</f>
        <v>843.09</v>
      </c>
      <c r="I216" s="682">
        <f>+'q25'!$H$24</f>
        <v>873.51</v>
      </c>
      <c r="J216" s="682">
        <f>+'q25'!$I$24</f>
        <v>905.27</v>
      </c>
      <c r="K216" s="682">
        <f>+'q25'!$J$24</f>
        <v>935.38</v>
      </c>
      <c r="L216" s="682">
        <f>+'q25'!$K$24</f>
        <v>969.05</v>
      </c>
      <c r="M216" s="682">
        <f>+'q25'!$L$24</f>
        <v>1035.3900000000001</v>
      </c>
    </row>
    <row r="217" spans="1:13">
      <c r="A217" s="500"/>
      <c r="B217" s="500" t="str">
        <f>+'q25'!$A$25</f>
        <v>Lezíria do Tejo</v>
      </c>
      <c r="C217" s="682">
        <f>+'q25'!$B$25</f>
        <v>801.77</v>
      </c>
      <c r="D217" s="682">
        <f>+'q25'!$C$25</f>
        <v>802.58</v>
      </c>
      <c r="E217" s="682">
        <f>+'q25'!$D$25</f>
        <v>810.85</v>
      </c>
      <c r="F217" s="682">
        <f>+'q25'!$E$25</f>
        <v>811.7</v>
      </c>
      <c r="G217" s="682">
        <f>+'q25'!$F$25</f>
        <v>823.12</v>
      </c>
      <c r="H217" s="682">
        <f>+'q25'!$G$25</f>
        <v>841.64</v>
      </c>
      <c r="I217" s="682">
        <f>+'q25'!$H$25</f>
        <v>858.78</v>
      </c>
      <c r="J217" s="682">
        <f>+'q25'!$I$25</f>
        <v>892.52</v>
      </c>
      <c r="K217" s="682">
        <f>+'q25'!$J$25</f>
        <v>927.76</v>
      </c>
      <c r="L217" s="682">
        <f>+'q25'!$K$25</f>
        <v>973.65</v>
      </c>
      <c r="M217" s="682">
        <f>+'q25'!$L$25</f>
        <v>1036.5899999999999</v>
      </c>
    </row>
    <row r="218" spans="1:13">
      <c r="A218" s="500"/>
      <c r="B218" s="500" t="str">
        <f>+'q25'!$A$26</f>
        <v>Grande Lisboa</v>
      </c>
      <c r="C218" s="682">
        <f>+'q25'!$B$26</f>
        <v>1184.3399999999999</v>
      </c>
      <c r="D218" s="682">
        <f>+'q25'!$C$26</f>
        <v>1174.23</v>
      </c>
      <c r="E218" s="682">
        <f>+'q25'!$D$26</f>
        <v>1175.57</v>
      </c>
      <c r="F218" s="682">
        <f>+'q25'!$E$26</f>
        <v>1179.78</v>
      </c>
      <c r="G218" s="682">
        <f>+'q25'!$F$26</f>
        <v>1197.4000000000001</v>
      </c>
      <c r="H218" s="682">
        <f>+'q25'!$G$26</f>
        <v>1219.74</v>
      </c>
      <c r="I218" s="682">
        <f>+'q25'!$H$26</f>
        <v>1255.78</v>
      </c>
      <c r="J218" s="682">
        <f>+'q25'!$I$26</f>
        <v>1293.07</v>
      </c>
      <c r="K218" s="682">
        <f>+'q25'!$J$26</f>
        <v>1339.8</v>
      </c>
      <c r="L218" s="682">
        <f>+'q25'!$K$26</f>
        <v>1418.39</v>
      </c>
      <c r="M218" s="682">
        <f>+'q25'!$L$26</f>
        <v>1505.99</v>
      </c>
    </row>
    <row r="219" spans="1:13">
      <c r="A219" s="500"/>
      <c r="B219" s="500" t="str">
        <f>+'q25'!$A$27</f>
        <v>Península de Setúbal</v>
      </c>
      <c r="C219" s="682">
        <f>+'q25'!$B$27</f>
        <v>947.19</v>
      </c>
      <c r="D219" s="682">
        <f>+'q25'!$C$27</f>
        <v>942.29</v>
      </c>
      <c r="E219" s="682">
        <f>+'q25'!$D$27</f>
        <v>958.82</v>
      </c>
      <c r="F219" s="682">
        <f>+'q25'!$E$27</f>
        <v>981.55</v>
      </c>
      <c r="G219" s="682">
        <f>+'q25'!$F$27</f>
        <v>991.49</v>
      </c>
      <c r="H219" s="682">
        <f>+'q25'!$G$27</f>
        <v>1000.7</v>
      </c>
      <c r="I219" s="682">
        <f>+'q25'!$H$27</f>
        <v>1025.8699999999999</v>
      </c>
      <c r="J219" s="682">
        <f>+'q25'!$I$27</f>
        <v>1059.8599999999999</v>
      </c>
      <c r="K219" s="682">
        <f>+'q25'!$J$27</f>
        <v>1079.49</v>
      </c>
      <c r="L219" s="682">
        <f>+'q25'!$K$27</f>
        <v>1126.71</v>
      </c>
      <c r="M219" s="682">
        <f>+'q25'!$L$27</f>
        <v>1188.27</v>
      </c>
    </row>
    <row r="220" spans="1:13">
      <c r="A220" s="500"/>
      <c r="B220" s="500" t="str">
        <f>+'q25'!$A$29</f>
        <v>Alentejo Litoral</v>
      </c>
      <c r="C220" s="682">
        <f>+'q25'!$B$29</f>
        <v>908.99</v>
      </c>
      <c r="D220" s="682">
        <f>+'q25'!$C$29</f>
        <v>893.32</v>
      </c>
      <c r="E220" s="682">
        <f>+'q25'!$D$29</f>
        <v>884.28</v>
      </c>
      <c r="F220" s="682">
        <f>+'q25'!$E$29</f>
        <v>882.81</v>
      </c>
      <c r="G220" s="682">
        <f>+'q25'!$F$29</f>
        <v>894.34</v>
      </c>
      <c r="H220" s="682">
        <f>+'q25'!$G$29</f>
        <v>914.74</v>
      </c>
      <c r="I220" s="682">
        <f>+'q25'!$H$29</f>
        <v>916.54</v>
      </c>
      <c r="J220" s="682">
        <f>+'q25'!$I$29</f>
        <v>952</v>
      </c>
      <c r="K220" s="682">
        <f>+'q25'!$J$29</f>
        <v>976.17</v>
      </c>
      <c r="L220" s="682">
        <f>+'q25'!$K$29</f>
        <v>1023.18</v>
      </c>
      <c r="M220" s="682">
        <f>+'q25'!$L$29</f>
        <v>1108.18</v>
      </c>
    </row>
    <row r="221" spans="1:13">
      <c r="A221" s="500"/>
      <c r="B221" s="500" t="str">
        <f>+'q25'!$A$30</f>
        <v>Baixo Alentejo</v>
      </c>
      <c r="C221" s="682">
        <f>+'q25'!$B$30</f>
        <v>786.72</v>
      </c>
      <c r="D221" s="682">
        <f>+'q25'!$C$30</f>
        <v>786.13</v>
      </c>
      <c r="E221" s="682">
        <f>+'q25'!$D$30</f>
        <v>793.32</v>
      </c>
      <c r="F221" s="682">
        <f>+'q25'!$E$30</f>
        <v>797.44</v>
      </c>
      <c r="G221" s="682">
        <f>+'q25'!$F$30</f>
        <v>822.89</v>
      </c>
      <c r="H221" s="682">
        <f>+'q25'!$G$30</f>
        <v>852.59</v>
      </c>
      <c r="I221" s="682">
        <f>+'q25'!$H$30</f>
        <v>885.25</v>
      </c>
      <c r="J221" s="682">
        <f>+'q25'!$I$30</f>
        <v>911.63</v>
      </c>
      <c r="K221" s="682">
        <f>+'q25'!$J$30</f>
        <v>950.68</v>
      </c>
      <c r="L221" s="682">
        <f>+'q25'!$K$30</f>
        <v>994.2</v>
      </c>
      <c r="M221" s="682">
        <f>+'q25'!$L$30</f>
        <v>1044.58</v>
      </c>
    </row>
    <row r="222" spans="1:13">
      <c r="A222" s="500"/>
      <c r="B222" s="500" t="str">
        <f>+'q25'!$A$31</f>
        <v>Alto Alentejo</v>
      </c>
      <c r="C222" s="682">
        <f>+'q25'!$B$31</f>
        <v>750.15</v>
      </c>
      <c r="D222" s="682">
        <f>+'q25'!$C$31</f>
        <v>754.22</v>
      </c>
      <c r="E222" s="682">
        <f>+'q25'!$D$31</f>
        <v>755.71</v>
      </c>
      <c r="F222" s="682">
        <f>+'q25'!$E$31</f>
        <v>767.83</v>
      </c>
      <c r="G222" s="682">
        <f>+'q25'!$F$31</f>
        <v>783.59</v>
      </c>
      <c r="H222" s="682">
        <f>+'q25'!$G$31</f>
        <v>805.96</v>
      </c>
      <c r="I222" s="682">
        <f>+'q25'!$H$31</f>
        <v>828.76</v>
      </c>
      <c r="J222" s="682">
        <f>+'q25'!$I$31</f>
        <v>863.38</v>
      </c>
      <c r="K222" s="682">
        <f>+'q25'!$J$31</f>
        <v>899.36</v>
      </c>
      <c r="L222" s="682">
        <f>+'q25'!$K$31</f>
        <v>939.13</v>
      </c>
      <c r="M222" s="682">
        <f>+'q25'!$L$31</f>
        <v>990.36</v>
      </c>
    </row>
    <row r="223" spans="1:13">
      <c r="A223" s="500"/>
      <c r="B223" s="500" t="str">
        <f>+'q25'!$A$32</f>
        <v>Alentejo Central</v>
      </c>
      <c r="C223" s="682">
        <f>+'q25'!$B$32</f>
        <v>789.17</v>
      </c>
      <c r="D223" s="682">
        <f>+'q25'!$C$32</f>
        <v>791.91</v>
      </c>
      <c r="E223" s="682">
        <f>+'q25'!$D$32</f>
        <v>796.55</v>
      </c>
      <c r="F223" s="682">
        <f>+'q25'!$E$32</f>
        <v>804.02</v>
      </c>
      <c r="G223" s="682">
        <f>+'q25'!$F$32</f>
        <v>819.6</v>
      </c>
      <c r="H223" s="682">
        <f>+'q25'!$G$32</f>
        <v>839.16</v>
      </c>
      <c r="I223" s="682">
        <f>+'q25'!$H$32</f>
        <v>861.13</v>
      </c>
      <c r="J223" s="682">
        <f>+'q25'!$I$32</f>
        <v>898.01</v>
      </c>
      <c r="K223" s="682">
        <f>+'q25'!$J$32</f>
        <v>931.83</v>
      </c>
      <c r="L223" s="682">
        <f>+'q25'!$K$32</f>
        <v>984.11</v>
      </c>
      <c r="M223" s="682">
        <f>+'q25'!$L$32</f>
        <v>1049.8499999999999</v>
      </c>
    </row>
    <row r="224" spans="1:13">
      <c r="A224" s="500"/>
      <c r="B224" s="500" t="str">
        <f>+'q25'!$A$33</f>
        <v>Algarve</v>
      </c>
      <c r="C224" s="682">
        <f>+'q25'!$B$33</f>
        <v>785.87</v>
      </c>
      <c r="D224" s="682">
        <f>+'q25'!$C$33</f>
        <v>780.52</v>
      </c>
      <c r="E224" s="682">
        <f>+'q25'!$D$33</f>
        <v>781.12</v>
      </c>
      <c r="F224" s="682">
        <f>+'q25'!$E$33</f>
        <v>793.76</v>
      </c>
      <c r="G224" s="682">
        <f>+'q25'!$F$33</f>
        <v>810.99</v>
      </c>
      <c r="H224" s="682">
        <f>+'q25'!$G$33</f>
        <v>836.09</v>
      </c>
      <c r="I224" s="682">
        <f>+'q25'!$H$33</f>
        <v>861.15</v>
      </c>
      <c r="J224" s="682">
        <f>+'q25'!$I$33</f>
        <v>897.18</v>
      </c>
      <c r="K224" s="682">
        <f>+'q25'!$J$33</f>
        <v>928.44</v>
      </c>
      <c r="L224" s="682">
        <f>+'q25'!$K$33</f>
        <v>965.83</v>
      </c>
      <c r="M224" s="682">
        <f>+'q25'!$L$33</f>
        <v>1031.25</v>
      </c>
    </row>
    <row r="225" spans="1:13">
      <c r="B225" s="500" t="s">
        <v>14</v>
      </c>
      <c r="C225" s="682">
        <f>+'q25'!$B$5</f>
        <v>912.18</v>
      </c>
      <c r="D225" s="682">
        <f>+'q25'!$C$5</f>
        <v>909.49</v>
      </c>
      <c r="E225" s="682">
        <f>+'q25'!$D$5</f>
        <v>913.93</v>
      </c>
      <c r="F225" s="682">
        <f>+'q25'!$E$5</f>
        <v>924.94</v>
      </c>
      <c r="G225" s="682">
        <f>+'q25'!$F$5</f>
        <v>943</v>
      </c>
      <c r="H225" s="682">
        <f>+'q25'!$G$5</f>
        <v>970.42</v>
      </c>
      <c r="I225" s="682">
        <f>+'q25'!$H$5</f>
        <v>1005.09</v>
      </c>
      <c r="J225" s="682">
        <f>+'q25'!$I$5</f>
        <v>1041.99</v>
      </c>
      <c r="K225" s="682">
        <f>+'q25'!$J$5</f>
        <v>1082.77</v>
      </c>
      <c r="L225" s="682">
        <f>+'q25'!$K$5</f>
        <v>1143.45</v>
      </c>
      <c r="M225" s="682">
        <f>+'q25'!$L$5</f>
        <v>1219.8699999999999</v>
      </c>
    </row>
    <row r="229" spans="1:13">
      <c r="A229" s="500" t="s">
        <v>595</v>
      </c>
      <c r="D229" s="501"/>
    </row>
    <row r="230" spans="1:13">
      <c r="A230" s="631" t="s">
        <v>303</v>
      </c>
      <c r="C230" s="500">
        <f>+'q36'!$B$4</f>
        <v>2013</v>
      </c>
      <c r="D230" s="500">
        <f>+'q36'!$C$4</f>
        <v>2014</v>
      </c>
      <c r="E230" s="500">
        <f>+'q36'!$D$4</f>
        <v>2015</v>
      </c>
      <c r="F230" s="500">
        <f>+'q36'!$E$4</f>
        <v>2016</v>
      </c>
      <c r="G230" s="500">
        <f>+'q36'!$F$4</f>
        <v>2017</v>
      </c>
      <c r="H230" s="500">
        <f>+'q36'!$G$4</f>
        <v>2018</v>
      </c>
      <c r="I230" s="500">
        <f>+'q36'!$H$4</f>
        <v>2019</v>
      </c>
      <c r="J230" s="500">
        <f>+'q36'!$I$4</f>
        <v>2020</v>
      </c>
      <c r="K230" s="500">
        <f>+'q36'!$J$4</f>
        <v>2021</v>
      </c>
      <c r="L230" s="500">
        <f>+'q36'!$K$4</f>
        <v>2022</v>
      </c>
      <c r="M230" s="500">
        <f>+'q36'!$L$4</f>
        <v>2023</v>
      </c>
    </row>
    <row r="231" spans="1:13">
      <c r="A231" s="500" t="s">
        <v>579</v>
      </c>
      <c r="B231" s="500" t="str">
        <f>+'q36'!$A$6</f>
        <v>Norte</v>
      </c>
      <c r="C231" s="682">
        <f>+'q36'!$B$6</f>
        <v>963.43</v>
      </c>
      <c r="D231" s="682">
        <f>+'q36'!$C$6</f>
        <v>967.2</v>
      </c>
      <c r="E231" s="682">
        <f>+'q36'!$D$6</f>
        <v>975.01</v>
      </c>
      <c r="F231" s="682">
        <f>+'q36'!$E$6</f>
        <v>986.93</v>
      </c>
      <c r="G231" s="682">
        <f>+'q36'!$F$6</f>
        <v>1015.58</v>
      </c>
      <c r="H231" s="682">
        <f>+'q36'!$G$6</f>
        <v>1056.5999999999999</v>
      </c>
      <c r="I231" s="682">
        <f>+'q36'!$H$6</f>
        <v>1100.44</v>
      </c>
      <c r="J231" s="682">
        <f>+'q36'!$I$6</f>
        <v>1145.23</v>
      </c>
      <c r="K231" s="682">
        <f>+'q36'!$J$6</f>
        <v>1187.19</v>
      </c>
      <c r="L231" s="682">
        <f>+'q36'!$K$6</f>
        <v>1253.46</v>
      </c>
      <c r="M231" s="682">
        <f>+'q36'!$L$6</f>
        <v>1348.66</v>
      </c>
    </row>
    <row r="232" spans="1:13">
      <c r="A232" s="500"/>
      <c r="B232" s="500" t="str">
        <f>+'q36'!$A$15</f>
        <v>Centro</v>
      </c>
      <c r="C232" s="682">
        <f>+'q36'!$B$15</f>
        <v>945.21</v>
      </c>
      <c r="D232" s="682">
        <f>+'q36'!$C$15</f>
        <v>949.89</v>
      </c>
      <c r="E232" s="682">
        <f>+'q36'!$D$15</f>
        <v>956.66</v>
      </c>
      <c r="F232" s="682">
        <f>+'q36'!$E$15</f>
        <v>972.23</v>
      </c>
      <c r="G232" s="682">
        <f>+'q36'!$F$15</f>
        <v>1002.79</v>
      </c>
      <c r="H232" s="682">
        <f>+'q36'!$G$15</f>
        <v>1042.94</v>
      </c>
      <c r="I232" s="682">
        <f>+'q36'!$H$15</f>
        <v>1082.1199999999999</v>
      </c>
      <c r="J232" s="682">
        <f>+'q36'!$I$15</f>
        <v>1113.26</v>
      </c>
      <c r="K232" s="682">
        <f>+'q36'!$J$15</f>
        <v>1157.6300000000001</v>
      </c>
      <c r="L232" s="682">
        <f>+'q36'!$K$15</f>
        <v>1218.07</v>
      </c>
      <c r="M232" s="682">
        <f>+'q36'!$L$15</f>
        <v>1305.72</v>
      </c>
    </row>
    <row r="233" spans="1:13">
      <c r="A233" s="500"/>
      <c r="B233" s="500" t="str">
        <f>+'q36'!$A$22</f>
        <v>Oeste e Vale do Tejo</v>
      </c>
      <c r="C233" s="682">
        <f>+'q36'!$B$22</f>
        <v>936.58</v>
      </c>
      <c r="D233" s="682">
        <f>+'q36'!$C$22</f>
        <v>941.8</v>
      </c>
      <c r="E233" s="682">
        <f>+'q36'!$D$22</f>
        <v>944.36</v>
      </c>
      <c r="F233" s="682">
        <f>+'q36'!$E$22</f>
        <v>955.71</v>
      </c>
      <c r="G233" s="682">
        <f>+'q36'!$F$22</f>
        <v>976.46</v>
      </c>
      <c r="H233" s="682">
        <f>+'q36'!$G$22</f>
        <v>1005.57</v>
      </c>
      <c r="I233" s="682">
        <f>+'q36'!$H$22</f>
        <v>1035.81</v>
      </c>
      <c r="J233" s="682">
        <f>+'q36'!$I$22</f>
        <v>1074.8599999999999</v>
      </c>
      <c r="K233" s="682">
        <f>+'q36'!$J$22</f>
        <v>1115.56</v>
      </c>
      <c r="L233" s="682">
        <f>+'q36'!$K$22</f>
        <v>1165.73</v>
      </c>
      <c r="M233" s="682">
        <f>+'q36'!$L$22</f>
        <v>1249.77</v>
      </c>
    </row>
    <row r="234" spans="1:13">
      <c r="A234" s="500"/>
      <c r="B234" s="500" t="str">
        <f>+'q36'!$A$26</f>
        <v>Grande Lisboa</v>
      </c>
      <c r="C234" s="682">
        <f>+'q36'!$B$26</f>
        <v>1427.96</v>
      </c>
      <c r="D234" s="682">
        <f>+'q36'!$C$26</f>
        <v>1421.25</v>
      </c>
      <c r="E234" s="682">
        <f>+'q36'!$D$26</f>
        <v>1420.24</v>
      </c>
      <c r="F234" s="682">
        <f>+'q36'!$E$26</f>
        <v>1424.28</v>
      </c>
      <c r="G234" s="682">
        <f>+'q36'!$F$26</f>
        <v>1447.51</v>
      </c>
      <c r="H234" s="682">
        <f>+'q36'!$G$26</f>
        <v>1480.76</v>
      </c>
      <c r="I234" s="682">
        <f>+'q36'!$H$26</f>
        <v>1518.6</v>
      </c>
      <c r="J234" s="682">
        <f>+'q36'!$I$26</f>
        <v>1558.34</v>
      </c>
      <c r="K234" s="682">
        <f>+'q36'!$J$26</f>
        <v>1609.14</v>
      </c>
      <c r="L234" s="682">
        <f>+'q36'!$K$26</f>
        <v>1705.14</v>
      </c>
      <c r="M234" s="682">
        <f>+'q36'!$L$26</f>
        <v>1817.17</v>
      </c>
    </row>
    <row r="235" spans="1:13">
      <c r="A235" s="500"/>
      <c r="B235" s="500" t="str">
        <f>+'q36'!$A$27</f>
        <v>Península de Setúbal</v>
      </c>
      <c r="C235" s="682">
        <f>+'q36'!$B$27</f>
        <v>1134.6400000000001</v>
      </c>
      <c r="D235" s="682">
        <f>+'q36'!$C$27</f>
        <v>1132.8499999999999</v>
      </c>
      <c r="E235" s="682">
        <f>+'q36'!$D$27</f>
        <v>1148.9000000000001</v>
      </c>
      <c r="F235" s="682">
        <f>+'q36'!$E$27</f>
        <v>1180.1199999999999</v>
      </c>
      <c r="G235" s="682">
        <f>+'q36'!$F$27</f>
        <v>1199.6600000000001</v>
      </c>
      <c r="H235" s="682">
        <f>+'q36'!$G$27</f>
        <v>1208.21</v>
      </c>
      <c r="I235" s="682">
        <f>+'q36'!$H$27</f>
        <v>1239.43</v>
      </c>
      <c r="J235" s="682">
        <f>+'q36'!$I$27</f>
        <v>1283.04</v>
      </c>
      <c r="K235" s="682">
        <f>+'q36'!$J$27</f>
        <v>1296.72</v>
      </c>
      <c r="L235" s="682">
        <f>+'q36'!$K$27</f>
        <v>1361.01</v>
      </c>
      <c r="M235" s="682">
        <f>+'q36'!$L$27</f>
        <v>1433.11</v>
      </c>
    </row>
    <row r="236" spans="1:13">
      <c r="A236" s="500"/>
      <c r="B236" s="500" t="str">
        <f>+'q36'!$A$28</f>
        <v>Alentejo</v>
      </c>
      <c r="C236" s="682">
        <f>+'q36'!$B$28</f>
        <v>1008.37</v>
      </c>
      <c r="D236" s="682">
        <f>+'q36'!$C$28</f>
        <v>1002.5</v>
      </c>
      <c r="E236" s="682">
        <f>+'q36'!$D$28</f>
        <v>1002.63</v>
      </c>
      <c r="F236" s="682">
        <f>+'q36'!$E$28</f>
        <v>1008.46</v>
      </c>
      <c r="G236" s="682">
        <f>+'q36'!$F$28</f>
        <v>1030.52</v>
      </c>
      <c r="H236" s="682">
        <f>+'q36'!$G$28</f>
        <v>1069.43</v>
      </c>
      <c r="I236" s="682">
        <f>+'q36'!$H$28</f>
        <v>1083.6300000000001</v>
      </c>
      <c r="J236" s="682">
        <f>+'q36'!$I$28</f>
        <v>1124.75</v>
      </c>
      <c r="K236" s="682">
        <f>+'q36'!$J$28</f>
        <v>1171.17</v>
      </c>
      <c r="L236" s="682">
        <f>+'q36'!$K$28</f>
        <v>1225.05</v>
      </c>
      <c r="M236" s="682">
        <f>+'q36'!$L$28</f>
        <v>1326.13</v>
      </c>
    </row>
    <row r="237" spans="1:13">
      <c r="A237" s="500"/>
      <c r="B237" s="500" t="str">
        <f>+'q36'!$A$33</f>
        <v>Algarve</v>
      </c>
      <c r="C237" s="682">
        <f>+'q36'!$B$33</f>
        <v>930.97</v>
      </c>
      <c r="D237" s="682">
        <f>+'q36'!$C$33</f>
        <v>927.58</v>
      </c>
      <c r="E237" s="682">
        <f>+'q36'!$D$33</f>
        <v>926.13</v>
      </c>
      <c r="F237" s="682">
        <f>+'q36'!$E$33</f>
        <v>942.73</v>
      </c>
      <c r="G237" s="682">
        <f>+'q36'!$F$33</f>
        <v>968.19</v>
      </c>
      <c r="H237" s="682">
        <f>+'q36'!$G$33</f>
        <v>999.05</v>
      </c>
      <c r="I237" s="682">
        <f>+'q36'!$H$33</f>
        <v>1029.01</v>
      </c>
      <c r="J237" s="682">
        <f>+'q36'!$I$33</f>
        <v>1070.96</v>
      </c>
      <c r="K237" s="682">
        <f>+'q36'!$J$33</f>
        <v>1106.32</v>
      </c>
      <c r="L237" s="682">
        <f>+'q36'!$K$33</f>
        <v>1150.81</v>
      </c>
      <c r="M237" s="682">
        <f>+'q36'!$L$33</f>
        <v>1238.68</v>
      </c>
    </row>
    <row r="238" spans="1:13">
      <c r="B238" s="500" t="s">
        <v>14</v>
      </c>
      <c r="C238" s="682">
        <f>+'q36'!$B$5</f>
        <v>1093.82</v>
      </c>
      <c r="D238" s="682">
        <f>+'q36'!$C$5</f>
        <v>1093.21</v>
      </c>
      <c r="E238" s="682">
        <f>+'q36'!$D$5</f>
        <v>1096.6600000000001</v>
      </c>
      <c r="F238" s="682">
        <f>+'q36'!$E$5</f>
        <v>1107.8599999999999</v>
      </c>
      <c r="G238" s="682">
        <f>+'q36'!$F$5</f>
        <v>1133.3399999999999</v>
      </c>
      <c r="H238" s="682">
        <f>+'q36'!$G$5</f>
        <v>1170.25</v>
      </c>
      <c r="I238" s="682">
        <f>+'q36'!$H$5</f>
        <v>1209.94</v>
      </c>
      <c r="J238" s="682">
        <f>+'q36'!$I$5</f>
        <v>1250.75</v>
      </c>
      <c r="K238" s="682">
        <f>+'q36'!$J$5</f>
        <v>1294.1099999999999</v>
      </c>
      <c r="L238" s="682">
        <f>+'q36'!$K$5</f>
        <v>1368</v>
      </c>
      <c r="M238" s="682">
        <f>+'q36'!$L$5</f>
        <v>1466.66</v>
      </c>
    </row>
    <row r="239" spans="1:13">
      <c r="B239" s="500"/>
      <c r="C239" s="511"/>
      <c r="D239" s="511"/>
      <c r="E239" s="511"/>
      <c r="F239" s="511"/>
      <c r="G239" s="511"/>
      <c r="H239" s="511"/>
      <c r="I239" s="511"/>
      <c r="J239" s="511"/>
      <c r="K239" s="511"/>
      <c r="L239" s="511"/>
      <c r="M239" s="511"/>
    </row>
    <row r="240" spans="1:13">
      <c r="C240" s="500">
        <f>+C230</f>
        <v>2013</v>
      </c>
      <c r="D240" s="500">
        <f t="shared" ref="D240:M240" si="66">+D230</f>
        <v>2014</v>
      </c>
      <c r="E240" s="500">
        <f t="shared" si="66"/>
        <v>2015</v>
      </c>
      <c r="F240" s="500">
        <f t="shared" si="66"/>
        <v>2016</v>
      </c>
      <c r="G240" s="500">
        <f t="shared" si="66"/>
        <v>2017</v>
      </c>
      <c r="H240" s="500">
        <f t="shared" si="66"/>
        <v>2018</v>
      </c>
      <c r="I240" s="500">
        <f t="shared" si="66"/>
        <v>2019</v>
      </c>
      <c r="J240" s="500">
        <f t="shared" si="66"/>
        <v>2020</v>
      </c>
      <c r="K240" s="500">
        <f t="shared" si="66"/>
        <v>2021</v>
      </c>
      <c r="L240" s="500">
        <f t="shared" si="66"/>
        <v>2022</v>
      </c>
      <c r="M240" s="500">
        <f t="shared" si="66"/>
        <v>2023</v>
      </c>
    </row>
    <row r="241" spans="1:13">
      <c r="A241" s="500" t="s">
        <v>580</v>
      </c>
      <c r="B241" s="500" t="str">
        <f>+'q36'!$A$7</f>
        <v>Alto Minho</v>
      </c>
      <c r="C241" s="682">
        <f>+'q36'!$B$7</f>
        <v>878.85</v>
      </c>
      <c r="D241" s="682">
        <f>+'q36'!$C$7</f>
        <v>881.13</v>
      </c>
      <c r="E241" s="682">
        <f>+'q36'!$D$7</f>
        <v>895.53</v>
      </c>
      <c r="F241" s="682">
        <f>+'q36'!$E$7</f>
        <v>899.57</v>
      </c>
      <c r="G241" s="682">
        <f>+'q36'!$F$7</f>
        <v>950.1</v>
      </c>
      <c r="H241" s="682">
        <f>+'q36'!$G$7</f>
        <v>978.08</v>
      </c>
      <c r="I241" s="682">
        <f>+'q36'!$H$7</f>
        <v>1013.26</v>
      </c>
      <c r="J241" s="682">
        <f>+'q36'!$I$7</f>
        <v>1057.21</v>
      </c>
      <c r="K241" s="682">
        <f>+'q36'!$J$7</f>
        <v>1094.98</v>
      </c>
      <c r="L241" s="682">
        <f>+'q36'!$K$7</f>
        <v>1154.3399999999999</v>
      </c>
      <c r="M241" s="682">
        <f>+'q36'!$L$7</f>
        <v>1237.67</v>
      </c>
    </row>
    <row r="242" spans="1:13">
      <c r="A242" s="500"/>
      <c r="B242" s="500" t="str">
        <f>+'q36'!$A$8</f>
        <v>Cávado</v>
      </c>
      <c r="C242" s="682">
        <f>+'q36'!$B$8</f>
        <v>891.92</v>
      </c>
      <c r="D242" s="682">
        <f>+'q36'!$C$8</f>
        <v>896.26</v>
      </c>
      <c r="E242" s="682">
        <f>+'q36'!$D$8</f>
        <v>899.93</v>
      </c>
      <c r="F242" s="682">
        <f>+'q36'!$E$8</f>
        <v>913.42</v>
      </c>
      <c r="G242" s="682">
        <f>+'q36'!$F$8</f>
        <v>948.41</v>
      </c>
      <c r="H242" s="682">
        <f>+'q36'!$G$8</f>
        <v>988.7</v>
      </c>
      <c r="I242" s="682">
        <f>+'q36'!$H$8</f>
        <v>1044.54</v>
      </c>
      <c r="J242" s="682">
        <f>+'q36'!$I$8</f>
        <v>1088.49</v>
      </c>
      <c r="K242" s="682">
        <f>+'q36'!$J$8</f>
        <v>1134.32</v>
      </c>
      <c r="L242" s="682">
        <f>+'q36'!$K$8</f>
        <v>1183.08</v>
      </c>
      <c r="M242" s="682">
        <f>+'q36'!$L$8</f>
        <v>1276.47</v>
      </c>
    </row>
    <row r="243" spans="1:13">
      <c r="A243" s="500"/>
      <c r="B243" s="500" t="str">
        <f>+'q36'!$A$9</f>
        <v>Ave</v>
      </c>
      <c r="C243" s="682">
        <f>+'q36'!$B$9</f>
        <v>849.88</v>
      </c>
      <c r="D243" s="682">
        <f>+'q36'!$C$9</f>
        <v>860.01</v>
      </c>
      <c r="E243" s="682">
        <f>+'q36'!$D$9</f>
        <v>866.17</v>
      </c>
      <c r="F243" s="682">
        <f>+'q36'!$E$9</f>
        <v>883.04</v>
      </c>
      <c r="G243" s="682">
        <f>+'q36'!$F$9</f>
        <v>916.3</v>
      </c>
      <c r="H243" s="682">
        <f>+'q36'!$G$9</f>
        <v>952.13</v>
      </c>
      <c r="I243" s="682">
        <f>+'q36'!$H$9</f>
        <v>984.13</v>
      </c>
      <c r="J243" s="682">
        <f>+'q36'!$I$9</f>
        <v>1030.3399999999999</v>
      </c>
      <c r="K243" s="682">
        <f>+'q36'!$J$9</f>
        <v>1080.78</v>
      </c>
      <c r="L243" s="682">
        <f>+'q36'!$K$9</f>
        <v>1132.33</v>
      </c>
      <c r="M243" s="682">
        <f>+'q36'!$L$9</f>
        <v>1215.1300000000001</v>
      </c>
    </row>
    <row r="244" spans="1:13">
      <c r="A244" s="500"/>
      <c r="B244" s="500" t="str">
        <f>+'q36'!$A$10</f>
        <v>Área Metropolitana do Porto</v>
      </c>
      <c r="C244" s="682">
        <f>+'q36'!$B$10</f>
        <v>1074.18</v>
      </c>
      <c r="D244" s="682">
        <f>+'q36'!$C$10</f>
        <v>1075.96</v>
      </c>
      <c r="E244" s="682">
        <f>+'q36'!$D$10</f>
        <v>1084.73</v>
      </c>
      <c r="F244" s="682">
        <f>+'q36'!$E$10</f>
        <v>1095.5</v>
      </c>
      <c r="G244" s="682">
        <f>+'q36'!$F$10</f>
        <v>1118.23</v>
      </c>
      <c r="H244" s="682">
        <f>+'q36'!$G$10</f>
        <v>1164.5899999999999</v>
      </c>
      <c r="I244" s="682">
        <f>+'q36'!$H$10</f>
        <v>1208.1300000000001</v>
      </c>
      <c r="J244" s="682">
        <f>+'q36'!$I$10</f>
        <v>1257.1099999999999</v>
      </c>
      <c r="K244" s="682">
        <f>+'q36'!$J$10</f>
        <v>1301.06</v>
      </c>
      <c r="L244" s="682">
        <f>+'q36'!$K$10</f>
        <v>1378.56</v>
      </c>
      <c r="M244" s="682">
        <f>+'q36'!$L$10</f>
        <v>1480.08</v>
      </c>
    </row>
    <row r="245" spans="1:13">
      <c r="A245" s="500"/>
      <c r="B245" s="500" t="str">
        <f>+'q36'!$A$11</f>
        <v>Alto Tâmega e Barroso</v>
      </c>
      <c r="C245" s="682">
        <f>+'q36'!$B$11</f>
        <v>803.28</v>
      </c>
      <c r="D245" s="682">
        <f>+'q36'!$C$11</f>
        <v>814.78</v>
      </c>
      <c r="E245" s="682">
        <f>+'q36'!$D$11</f>
        <v>810.7</v>
      </c>
      <c r="F245" s="682">
        <f>+'q36'!$E$11</f>
        <v>844.1</v>
      </c>
      <c r="G245" s="682">
        <f>+'q36'!$F$11</f>
        <v>919.39</v>
      </c>
      <c r="H245" s="682">
        <f>+'q36'!$G$11</f>
        <v>941.5</v>
      </c>
      <c r="I245" s="682">
        <f>+'q36'!$H$11</f>
        <v>954.21</v>
      </c>
      <c r="J245" s="682">
        <f>+'q36'!$I$11</f>
        <v>975.61</v>
      </c>
      <c r="K245" s="682">
        <f>+'q36'!$J$11</f>
        <v>995.06</v>
      </c>
      <c r="L245" s="682">
        <f>+'q36'!$K$11</f>
        <v>1043.3699999999999</v>
      </c>
      <c r="M245" s="682">
        <f>+'q36'!$L$11</f>
        <v>1128.21</v>
      </c>
    </row>
    <row r="246" spans="1:13">
      <c r="A246" s="500"/>
      <c r="B246" s="500" t="str">
        <f>+'q36'!$A$12</f>
        <v>Tâmega e Sousa</v>
      </c>
      <c r="C246" s="682">
        <f>+'q36'!$B$12</f>
        <v>758.82</v>
      </c>
      <c r="D246" s="682">
        <f>+'q36'!$C$12</f>
        <v>773.97</v>
      </c>
      <c r="E246" s="682">
        <f>+'q36'!$D$12</f>
        <v>781.94</v>
      </c>
      <c r="F246" s="682">
        <f>+'q36'!$E$12</f>
        <v>796.84</v>
      </c>
      <c r="G246" s="682">
        <f>+'q36'!$F$12</f>
        <v>821.23</v>
      </c>
      <c r="H246" s="682">
        <f>+'q36'!$G$12</f>
        <v>858.44</v>
      </c>
      <c r="I246" s="682">
        <f>+'q36'!$H$12</f>
        <v>898.09</v>
      </c>
      <c r="J246" s="682">
        <f>+'q36'!$I$12</f>
        <v>936.96</v>
      </c>
      <c r="K246" s="682">
        <f>+'q36'!$J$12</f>
        <v>980.68</v>
      </c>
      <c r="L246" s="682">
        <f>+'q36'!$K$12</f>
        <v>1026.1300000000001</v>
      </c>
      <c r="M246" s="682">
        <f>+'q36'!$L$12</f>
        <v>1107.17</v>
      </c>
    </row>
    <row r="247" spans="1:13">
      <c r="A247" s="500"/>
      <c r="B247" s="500" t="str">
        <f>+'q36'!$A$13</f>
        <v>Douro</v>
      </c>
      <c r="C247" s="682">
        <f>+'q36'!$B$13</f>
        <v>874.98</v>
      </c>
      <c r="D247" s="682">
        <f>+'q36'!$C$13</f>
        <v>878.1</v>
      </c>
      <c r="E247" s="682">
        <f>+'q36'!$D$13</f>
        <v>887.03</v>
      </c>
      <c r="F247" s="682">
        <f>+'q36'!$E$13</f>
        <v>882.6</v>
      </c>
      <c r="G247" s="682">
        <f>+'q36'!$F$13</f>
        <v>899.6</v>
      </c>
      <c r="H247" s="682">
        <f>+'q36'!$G$13</f>
        <v>936.21</v>
      </c>
      <c r="I247" s="682">
        <f>+'q36'!$H$13</f>
        <v>971.09</v>
      </c>
      <c r="J247" s="682">
        <f>+'q36'!$I$13</f>
        <v>993.68</v>
      </c>
      <c r="K247" s="682">
        <f>+'q36'!$J$13</f>
        <v>1031.52</v>
      </c>
      <c r="L247" s="682">
        <f>+'q36'!$K$13</f>
        <v>1089.0999999999999</v>
      </c>
      <c r="M247" s="682">
        <f>+'q36'!$L$13</f>
        <v>1168.78</v>
      </c>
    </row>
    <row r="248" spans="1:13">
      <c r="A248" s="500"/>
      <c r="B248" s="500" t="str">
        <f>+'q36'!$A$14</f>
        <v>Terras de Trás-os-Montes</v>
      </c>
      <c r="C248" s="682">
        <f>+'q36'!$B$14</f>
        <v>837.58</v>
      </c>
      <c r="D248" s="682">
        <f>+'q36'!$C$14</f>
        <v>834.9</v>
      </c>
      <c r="E248" s="682">
        <f>+'q36'!$D$14</f>
        <v>845.13</v>
      </c>
      <c r="F248" s="682">
        <f>+'q36'!$E$14</f>
        <v>868.28</v>
      </c>
      <c r="G248" s="682">
        <f>+'q36'!$F$14</f>
        <v>890.97</v>
      </c>
      <c r="H248" s="682">
        <f>+'q36'!$G$14</f>
        <v>918.08</v>
      </c>
      <c r="I248" s="682">
        <f>+'q36'!$H$14</f>
        <v>953.02</v>
      </c>
      <c r="J248" s="682">
        <f>+'q36'!$I$14</f>
        <v>988.17</v>
      </c>
      <c r="K248" s="682">
        <f>+'q36'!$J$14</f>
        <v>1021.88</v>
      </c>
      <c r="L248" s="682">
        <f>+'q36'!$K$14</f>
        <v>1066.68</v>
      </c>
      <c r="M248" s="682">
        <f>+'q36'!$L$14</f>
        <v>1149.46</v>
      </c>
    </row>
    <row r="249" spans="1:13">
      <c r="A249" s="500"/>
      <c r="B249" s="500" t="str">
        <f>+'q36'!$A$16</f>
        <v>Região de Aveiro</v>
      </c>
      <c r="C249" s="682">
        <f>+'q36'!$B$16</f>
        <v>985.34</v>
      </c>
      <c r="D249" s="682">
        <f>+'q36'!$C$16</f>
        <v>996.2</v>
      </c>
      <c r="E249" s="682">
        <f>+'q36'!$D$16</f>
        <v>1007.63</v>
      </c>
      <c r="F249" s="682">
        <f>+'q36'!$E$16</f>
        <v>1017.74</v>
      </c>
      <c r="G249" s="682">
        <f>+'q36'!$F$16</f>
        <v>1047.92</v>
      </c>
      <c r="H249" s="682">
        <f>+'q36'!$G$16</f>
        <v>1091.01</v>
      </c>
      <c r="I249" s="682">
        <f>+'q36'!$H$16</f>
        <v>1133.26</v>
      </c>
      <c r="J249" s="682">
        <f>+'q36'!$I$16</f>
        <v>1165.8699999999999</v>
      </c>
      <c r="K249" s="682">
        <f>+'q36'!$J$16</f>
        <v>1209.9100000000001</v>
      </c>
      <c r="L249" s="682">
        <f>+'q36'!$K$16</f>
        <v>1282.9000000000001</v>
      </c>
      <c r="M249" s="682">
        <f>+'q36'!$L$16</f>
        <v>1382.49</v>
      </c>
    </row>
    <row r="250" spans="1:13">
      <c r="A250" s="500"/>
      <c r="B250" s="500" t="str">
        <f>+'q36'!$A$17</f>
        <v>Região de Coimbra</v>
      </c>
      <c r="C250" s="682">
        <f>+'q36'!$B$17</f>
        <v>974.86</v>
      </c>
      <c r="D250" s="682">
        <f>+'q36'!$C$17</f>
        <v>963.48</v>
      </c>
      <c r="E250" s="682">
        <f>+'q36'!$D$17</f>
        <v>964.08</v>
      </c>
      <c r="F250" s="682">
        <f>+'q36'!$E$17</f>
        <v>988.14</v>
      </c>
      <c r="G250" s="682">
        <f>+'q36'!$F$17</f>
        <v>1015.53</v>
      </c>
      <c r="H250" s="682">
        <f>+'q36'!$G$17</f>
        <v>1052.5</v>
      </c>
      <c r="I250" s="682">
        <f>+'q36'!$H$17</f>
        <v>1093.1500000000001</v>
      </c>
      <c r="J250" s="682">
        <f>+'q36'!$I$17</f>
        <v>1119.46</v>
      </c>
      <c r="K250" s="682">
        <f>+'q36'!$J$17</f>
        <v>1167.5999999999999</v>
      </c>
      <c r="L250" s="682">
        <f>+'q36'!$K$17</f>
        <v>1223.82</v>
      </c>
      <c r="M250" s="682">
        <f>+'q36'!$L$17</f>
        <v>1319.21</v>
      </c>
    </row>
    <row r="251" spans="1:13">
      <c r="A251" s="500"/>
      <c r="B251" s="500" t="str">
        <f>+'q36'!$A$18</f>
        <v>Região de Leiria</v>
      </c>
      <c r="C251" s="682">
        <f>+'q36'!$B$18</f>
        <v>979.24</v>
      </c>
      <c r="D251" s="682">
        <f>+'q36'!$C$18</f>
        <v>988.89</v>
      </c>
      <c r="E251" s="682">
        <f>+'q36'!$D$18</f>
        <v>997.9</v>
      </c>
      <c r="F251" s="682">
        <f>+'q36'!$E$18</f>
        <v>1012.22</v>
      </c>
      <c r="G251" s="682">
        <f>+'q36'!$F$18</f>
        <v>1043.69</v>
      </c>
      <c r="H251" s="682">
        <f>+'q36'!$G$18</f>
        <v>1087.48</v>
      </c>
      <c r="I251" s="682">
        <f>+'q36'!$H$18</f>
        <v>1121.98</v>
      </c>
      <c r="J251" s="682">
        <f>+'q36'!$I$18</f>
        <v>1150.1300000000001</v>
      </c>
      <c r="K251" s="682">
        <f>+'q36'!$J$18</f>
        <v>1194.01</v>
      </c>
      <c r="L251" s="682">
        <f>+'q36'!$K$18</f>
        <v>1251.2</v>
      </c>
      <c r="M251" s="682">
        <f>+'q36'!$L$18</f>
        <v>1326.74</v>
      </c>
    </row>
    <row r="252" spans="1:13">
      <c r="A252" s="500"/>
      <c r="B252" s="500" t="str">
        <f>+'q36'!$A$19</f>
        <v>Viseu Dão Lafões</v>
      </c>
      <c r="C252" s="682">
        <f>+'q36'!$B$19</f>
        <v>898.96</v>
      </c>
      <c r="D252" s="682">
        <f>+'q36'!$C$19</f>
        <v>902.75</v>
      </c>
      <c r="E252" s="682">
        <f>+'q36'!$D$19</f>
        <v>906.45</v>
      </c>
      <c r="F252" s="682">
        <f>+'q36'!$E$19</f>
        <v>913.09</v>
      </c>
      <c r="G252" s="682">
        <f>+'q36'!$F$19</f>
        <v>943.87</v>
      </c>
      <c r="H252" s="682">
        <f>+'q36'!$G$19</f>
        <v>986.58</v>
      </c>
      <c r="I252" s="682">
        <f>+'q36'!$H$19</f>
        <v>1025.08</v>
      </c>
      <c r="J252" s="682">
        <f>+'q36'!$I$19</f>
        <v>1055.3900000000001</v>
      </c>
      <c r="K252" s="682">
        <f>+'q36'!$J$19</f>
        <v>1099.74</v>
      </c>
      <c r="L252" s="682">
        <f>+'q36'!$K$19</f>
        <v>1154.72</v>
      </c>
      <c r="M252" s="682">
        <f>+'q36'!$L$19</f>
        <v>1239.6199999999999</v>
      </c>
    </row>
    <row r="253" spans="1:13">
      <c r="A253" s="500"/>
      <c r="B253" s="500" t="str">
        <f>+'q36'!$A$20</f>
        <v>Beira Baixa</v>
      </c>
      <c r="C253" s="682">
        <f>+'q36'!$B$20</f>
        <v>857.29</v>
      </c>
      <c r="D253" s="682">
        <f>+'q36'!$C$20</f>
        <v>861.23</v>
      </c>
      <c r="E253" s="682">
        <f>+'q36'!$D$20</f>
        <v>865.41</v>
      </c>
      <c r="F253" s="682">
        <f>+'q36'!$E$20</f>
        <v>884.32</v>
      </c>
      <c r="G253" s="682">
        <f>+'q36'!$F$20</f>
        <v>914.65</v>
      </c>
      <c r="H253" s="682">
        <f>+'q36'!$G$20</f>
        <v>943.51</v>
      </c>
      <c r="I253" s="682">
        <f>+'q36'!$H$20</f>
        <v>976.21</v>
      </c>
      <c r="J253" s="682">
        <f>+'q36'!$I$20</f>
        <v>1016.05</v>
      </c>
      <c r="K253" s="682">
        <f>+'q36'!$J$20</f>
        <v>1061.8900000000001</v>
      </c>
      <c r="L253" s="682">
        <f>+'q36'!$K$20</f>
        <v>1106.8499999999999</v>
      </c>
      <c r="M253" s="682">
        <f>+'q36'!$L$20</f>
        <v>1188.93</v>
      </c>
    </row>
    <row r="254" spans="1:13">
      <c r="A254" s="500"/>
      <c r="B254" s="500" t="str">
        <f>+'q36'!$A$21</f>
        <v>Beiras e Serra da Estrela</v>
      </c>
      <c r="C254" s="682">
        <f>+'q36'!$B$21</f>
        <v>820</v>
      </c>
      <c r="D254" s="682">
        <f>+'q36'!$C$21</f>
        <v>837.86</v>
      </c>
      <c r="E254" s="682">
        <f>+'q36'!$D$21</f>
        <v>845.21</v>
      </c>
      <c r="F254" s="682">
        <f>+'q36'!$E$21</f>
        <v>863.35</v>
      </c>
      <c r="G254" s="682">
        <f>+'q36'!$F$21</f>
        <v>897.58</v>
      </c>
      <c r="H254" s="682">
        <f>+'q36'!$G$21</f>
        <v>934.82</v>
      </c>
      <c r="I254" s="682">
        <f>+'q36'!$H$21</f>
        <v>974.36</v>
      </c>
      <c r="J254" s="682">
        <f>+'q36'!$I$21</f>
        <v>1013.44</v>
      </c>
      <c r="K254" s="682">
        <f>+'q36'!$J$21</f>
        <v>1051.24</v>
      </c>
      <c r="L254" s="682">
        <f>+'q36'!$K$21</f>
        <v>1107.68</v>
      </c>
      <c r="M254" s="682">
        <f>+'q36'!$L$21</f>
        <v>1180.54</v>
      </c>
    </row>
    <row r="255" spans="1:13">
      <c r="A255" s="500"/>
      <c r="B255" s="500" t="str">
        <f>+'q36'!$A$23</f>
        <v>Oeste</v>
      </c>
      <c r="C255" s="682">
        <f>+'q36'!$B$23</f>
        <v>909.73</v>
      </c>
      <c r="D255" s="682">
        <f>+'q36'!$C$23</f>
        <v>919.7</v>
      </c>
      <c r="E255" s="682">
        <f>+'q36'!$D$23</f>
        <v>915.03</v>
      </c>
      <c r="F255" s="682">
        <f>+'q36'!$E$23</f>
        <v>937.13</v>
      </c>
      <c r="G255" s="682">
        <f>+'q36'!$F$23</f>
        <v>958.16</v>
      </c>
      <c r="H255" s="682">
        <f>+'q36'!$G$23</f>
        <v>984.69</v>
      </c>
      <c r="I255" s="682">
        <f>+'q36'!$H$23</f>
        <v>1019.34</v>
      </c>
      <c r="J255" s="682">
        <f>+'q36'!$I$23</f>
        <v>1061.1300000000001</v>
      </c>
      <c r="K255" s="682">
        <f>+'q36'!$J$23</f>
        <v>1106.76</v>
      </c>
      <c r="L255" s="682">
        <f>+'q36'!$K$23</f>
        <v>1152.3900000000001</v>
      </c>
      <c r="M255" s="682">
        <f>+'q36'!$L$23</f>
        <v>1237.75</v>
      </c>
    </row>
    <row r="256" spans="1:13">
      <c r="A256" s="500"/>
      <c r="B256" s="500" t="str">
        <f>+'q36'!$A$24</f>
        <v>Médio Tejo</v>
      </c>
      <c r="C256" s="682">
        <f>+'q36'!$B$24</f>
        <v>949</v>
      </c>
      <c r="D256" s="682">
        <f>+'q36'!$C$24</f>
        <v>952.34</v>
      </c>
      <c r="E256" s="682">
        <f>+'q36'!$D$24</f>
        <v>957.84</v>
      </c>
      <c r="F256" s="682">
        <f>+'q36'!$E$24</f>
        <v>964.48</v>
      </c>
      <c r="G256" s="682">
        <f>+'q36'!$F$24</f>
        <v>993.59</v>
      </c>
      <c r="H256" s="682">
        <f>+'q36'!$G$24</f>
        <v>1030.6199999999999</v>
      </c>
      <c r="I256" s="682">
        <f>+'q36'!$H$24</f>
        <v>1063.3900000000001</v>
      </c>
      <c r="J256" s="682">
        <f>+'q36'!$I$24</f>
        <v>1099.6199999999999</v>
      </c>
      <c r="K256" s="682">
        <f>+'q36'!$J$24</f>
        <v>1126.71</v>
      </c>
      <c r="L256" s="682">
        <f>+'q36'!$K$24</f>
        <v>1175.72</v>
      </c>
      <c r="M256" s="682">
        <f>+'q36'!$L$24</f>
        <v>1259.29</v>
      </c>
    </row>
    <row r="257" spans="1:13">
      <c r="A257" s="500"/>
      <c r="B257" s="500" t="str">
        <f>+'q36'!$A$25</f>
        <v>Lezíria do Tejo</v>
      </c>
      <c r="C257" s="682">
        <f>+'q36'!$B$25</f>
        <v>965.95</v>
      </c>
      <c r="D257" s="682">
        <f>+'q36'!$C$25</f>
        <v>966.16</v>
      </c>
      <c r="E257" s="682">
        <f>+'q36'!$D$25</f>
        <v>977.93</v>
      </c>
      <c r="F257" s="682">
        <f>+'q36'!$E$25</f>
        <v>976.74</v>
      </c>
      <c r="G257" s="682">
        <f>+'q36'!$F$25</f>
        <v>989.34</v>
      </c>
      <c r="H257" s="682">
        <f>+'q36'!$G$25</f>
        <v>1016</v>
      </c>
      <c r="I257" s="682">
        <f>+'q36'!$H$25</f>
        <v>1037.32</v>
      </c>
      <c r="J257" s="682">
        <f>+'q36'!$I$25</f>
        <v>1075.1500000000001</v>
      </c>
      <c r="K257" s="682">
        <f>+'q36'!$J$25</f>
        <v>1120.1400000000001</v>
      </c>
      <c r="L257" s="682">
        <f>+'q36'!$K$25</f>
        <v>1178.0899999999999</v>
      </c>
      <c r="M257" s="682">
        <f>+'q36'!$L$25</f>
        <v>1260.73</v>
      </c>
    </row>
    <row r="258" spans="1:13">
      <c r="A258" s="500"/>
      <c r="B258" s="500" t="str">
        <f>+'q36'!$A$26</f>
        <v>Grande Lisboa</v>
      </c>
      <c r="C258" s="682">
        <f>+'q36'!$B$26</f>
        <v>1427.96</v>
      </c>
      <c r="D258" s="682">
        <f>+'q36'!$C$26</f>
        <v>1421.25</v>
      </c>
      <c r="E258" s="682">
        <f>+'q36'!$D$26</f>
        <v>1420.24</v>
      </c>
      <c r="F258" s="682">
        <f>+'q36'!$E$26</f>
        <v>1424.28</v>
      </c>
      <c r="G258" s="682">
        <f>+'q36'!$F$26</f>
        <v>1447.51</v>
      </c>
      <c r="H258" s="682">
        <f>+'q36'!$G$26</f>
        <v>1480.76</v>
      </c>
      <c r="I258" s="682">
        <f>+'q36'!$H$26</f>
        <v>1518.6</v>
      </c>
      <c r="J258" s="682">
        <f>+'q36'!$I$26</f>
        <v>1558.34</v>
      </c>
      <c r="K258" s="682">
        <f>+'q36'!$J$26</f>
        <v>1609.14</v>
      </c>
      <c r="L258" s="682">
        <f>+'q36'!$K$26</f>
        <v>1705.14</v>
      </c>
      <c r="M258" s="682">
        <f>+'q36'!$L$26</f>
        <v>1817.17</v>
      </c>
    </row>
    <row r="259" spans="1:13">
      <c r="A259" s="500"/>
      <c r="B259" s="500" t="str">
        <f>+'q36'!$A$27</f>
        <v>Península de Setúbal</v>
      </c>
      <c r="C259" s="682">
        <f>+'q36'!$B$27</f>
        <v>1134.6400000000001</v>
      </c>
      <c r="D259" s="682">
        <f>+'q36'!$C$27</f>
        <v>1132.8499999999999</v>
      </c>
      <c r="E259" s="682">
        <f>+'q36'!$D$27</f>
        <v>1148.9000000000001</v>
      </c>
      <c r="F259" s="682">
        <f>+'q36'!$E$27</f>
        <v>1180.1199999999999</v>
      </c>
      <c r="G259" s="682">
        <f>+'q36'!$F$27</f>
        <v>1199.6600000000001</v>
      </c>
      <c r="H259" s="682">
        <f>+'q36'!$G$27</f>
        <v>1208.21</v>
      </c>
      <c r="I259" s="682">
        <f>+'q36'!$H$27</f>
        <v>1239.43</v>
      </c>
      <c r="J259" s="682">
        <f>+'q36'!$I$27</f>
        <v>1283.04</v>
      </c>
      <c r="K259" s="682">
        <f>+'q36'!$J$27</f>
        <v>1296.72</v>
      </c>
      <c r="L259" s="682">
        <f>+'q36'!$K$27</f>
        <v>1361.01</v>
      </c>
      <c r="M259" s="682">
        <f>+'q36'!$L$27</f>
        <v>1433.11</v>
      </c>
    </row>
    <row r="260" spans="1:13">
      <c r="A260" s="500"/>
      <c r="B260" s="500" t="str">
        <f>+'q36'!$A$29</f>
        <v>Alentejo Litoral</v>
      </c>
      <c r="C260" s="682">
        <f>+'q36'!$B$29</f>
        <v>1182.1400000000001</v>
      </c>
      <c r="D260" s="682">
        <f>+'q36'!$C$29</f>
        <v>1155.58</v>
      </c>
      <c r="E260" s="682">
        <f>+'q36'!$D$29</f>
        <v>1137.03</v>
      </c>
      <c r="F260" s="682">
        <f>+'q36'!$E$29</f>
        <v>1131.0999999999999</v>
      </c>
      <c r="G260" s="682">
        <f>+'q36'!$F$29</f>
        <v>1142.95</v>
      </c>
      <c r="H260" s="682">
        <f>+'q36'!$G$29</f>
        <v>1184</v>
      </c>
      <c r="I260" s="682">
        <f>+'q36'!$H$29</f>
        <v>1165.44</v>
      </c>
      <c r="J260" s="682">
        <f>+'q36'!$I$29</f>
        <v>1206.6300000000001</v>
      </c>
      <c r="K260" s="682">
        <f>+'q36'!$J$29</f>
        <v>1232.3399999999999</v>
      </c>
      <c r="L260" s="682">
        <f>+'q36'!$K$29</f>
        <v>1283.29</v>
      </c>
      <c r="M260" s="682">
        <f>+'q36'!$L$29</f>
        <v>1419.88</v>
      </c>
    </row>
    <row r="261" spans="1:13">
      <c r="A261" s="500"/>
      <c r="B261" s="500" t="str">
        <f>+'q36'!$A$30</f>
        <v>Baixo Alentejo</v>
      </c>
      <c r="C261" s="682">
        <f>+'q36'!$B$30</f>
        <v>1021.51</v>
      </c>
      <c r="D261" s="682">
        <f>+'q36'!$C$30</f>
        <v>1016.33</v>
      </c>
      <c r="E261" s="682">
        <f>+'q36'!$D$30</f>
        <v>1025.9100000000001</v>
      </c>
      <c r="F261" s="682">
        <f>+'q36'!$E$30</f>
        <v>1026.24</v>
      </c>
      <c r="G261" s="682">
        <f>+'q36'!$F$30</f>
        <v>1053.33</v>
      </c>
      <c r="H261" s="682">
        <f>+'q36'!$G$30</f>
        <v>1104.1400000000001</v>
      </c>
      <c r="I261" s="682">
        <f>+'q36'!$H$30</f>
        <v>1129.81</v>
      </c>
      <c r="J261" s="682">
        <f>+'q36'!$I$30</f>
        <v>1166.3</v>
      </c>
      <c r="K261" s="682">
        <f>+'q36'!$J$30</f>
        <v>1237.79</v>
      </c>
      <c r="L261" s="682">
        <f>+'q36'!$K$30</f>
        <v>1284.96</v>
      </c>
      <c r="M261" s="682">
        <f>+'q36'!$L$30</f>
        <v>1401.29</v>
      </c>
    </row>
    <row r="262" spans="1:13">
      <c r="A262" s="500"/>
      <c r="B262" s="500" t="str">
        <f>+'q36'!$A$31</f>
        <v>Alto Alentejo</v>
      </c>
      <c r="C262" s="682">
        <f>+'q36'!$B$31</f>
        <v>894.32</v>
      </c>
      <c r="D262" s="682">
        <f>+'q36'!$C$31</f>
        <v>897.83</v>
      </c>
      <c r="E262" s="682">
        <f>+'q36'!$D$31</f>
        <v>901.87</v>
      </c>
      <c r="F262" s="682">
        <f>+'q36'!$E$31</f>
        <v>915.42</v>
      </c>
      <c r="G262" s="682">
        <f>+'q36'!$F$31</f>
        <v>934.83</v>
      </c>
      <c r="H262" s="682">
        <f>+'q36'!$G$31</f>
        <v>968.23</v>
      </c>
      <c r="I262" s="682">
        <f>+'q36'!$H$31</f>
        <v>989.48</v>
      </c>
      <c r="J262" s="682">
        <f>+'q36'!$I$31</f>
        <v>1029.47</v>
      </c>
      <c r="K262" s="682">
        <f>+'q36'!$J$31</f>
        <v>1078.92</v>
      </c>
      <c r="L262" s="682">
        <f>+'q36'!$K$31</f>
        <v>1126.5999999999999</v>
      </c>
      <c r="M262" s="682">
        <f>+'q36'!$L$31</f>
        <v>1197.92</v>
      </c>
    </row>
    <row r="263" spans="1:13">
      <c r="A263" s="500"/>
      <c r="B263" s="500" t="str">
        <f>+'q36'!$A$32</f>
        <v>Alentejo Central</v>
      </c>
      <c r="C263" s="682">
        <f>+'q36'!$B$32</f>
        <v>955.21</v>
      </c>
      <c r="D263" s="682">
        <f>+'q36'!$C$32</f>
        <v>955.65</v>
      </c>
      <c r="E263" s="682">
        <f>+'q36'!$D$32</f>
        <v>956.12</v>
      </c>
      <c r="F263" s="682">
        <f>+'q36'!$E$32</f>
        <v>967.64</v>
      </c>
      <c r="G263" s="682">
        <f>+'q36'!$F$32</f>
        <v>992.35</v>
      </c>
      <c r="H263" s="682">
        <f>+'q36'!$G$32</f>
        <v>1020.7</v>
      </c>
      <c r="I263" s="682">
        <f>+'q36'!$H$32</f>
        <v>1045.47</v>
      </c>
      <c r="J263" s="682">
        <f>+'q36'!$I$32</f>
        <v>1086.77</v>
      </c>
      <c r="K263" s="682">
        <f>+'q36'!$J$32</f>
        <v>1127.29</v>
      </c>
      <c r="L263" s="682">
        <f>+'q36'!$K$32</f>
        <v>1190.57</v>
      </c>
      <c r="M263" s="682">
        <f>+'q36'!$L$32</f>
        <v>1271.71</v>
      </c>
    </row>
    <row r="264" spans="1:13">
      <c r="A264" s="500"/>
      <c r="B264" s="500" t="str">
        <f>+'q36'!$A$33</f>
        <v>Algarve</v>
      </c>
      <c r="C264" s="682">
        <f>+'q36'!$B$33</f>
        <v>930.97</v>
      </c>
      <c r="D264" s="682">
        <f>+'q36'!$C$33</f>
        <v>927.58</v>
      </c>
      <c r="E264" s="682">
        <f>+'q36'!$D$33</f>
        <v>926.13</v>
      </c>
      <c r="F264" s="682">
        <f>+'q36'!$E$33</f>
        <v>942.73</v>
      </c>
      <c r="G264" s="682">
        <f>+'q36'!$F$33</f>
        <v>968.19</v>
      </c>
      <c r="H264" s="682">
        <f>+'q36'!$G$33</f>
        <v>999.05</v>
      </c>
      <c r="I264" s="682">
        <f>+'q36'!$H$33</f>
        <v>1029.01</v>
      </c>
      <c r="J264" s="682">
        <f>+'q36'!$I$33</f>
        <v>1070.96</v>
      </c>
      <c r="K264" s="682">
        <f>+'q36'!$J$33</f>
        <v>1106.32</v>
      </c>
      <c r="L264" s="682">
        <f>+'q36'!$K$33</f>
        <v>1150.81</v>
      </c>
      <c r="M264" s="682">
        <f>+'q36'!$L$33</f>
        <v>1238.68</v>
      </c>
    </row>
    <row r="265" spans="1:13">
      <c r="B265" s="500" t="s">
        <v>14</v>
      </c>
      <c r="C265" s="682">
        <f>+'q36'!$B$5</f>
        <v>1093.82</v>
      </c>
      <c r="D265" s="682">
        <f>+'q36'!$C$5</f>
        <v>1093.21</v>
      </c>
      <c r="E265" s="682">
        <f>+'q36'!$D$5</f>
        <v>1096.6600000000001</v>
      </c>
      <c r="F265" s="682">
        <f>+'q36'!$E$5</f>
        <v>1107.8599999999999</v>
      </c>
      <c r="G265" s="682">
        <f>+'q36'!$F$5</f>
        <v>1133.3399999999999</v>
      </c>
      <c r="H265" s="682">
        <f>+'q36'!$G$5</f>
        <v>1170.25</v>
      </c>
      <c r="I265" s="682">
        <f>+'q36'!$H$5</f>
        <v>1209.94</v>
      </c>
      <c r="J265" s="682">
        <f>+'q36'!$I$5</f>
        <v>1250.75</v>
      </c>
      <c r="K265" s="682">
        <f>+'q36'!$J$5</f>
        <v>1294.1099999999999</v>
      </c>
      <c r="L265" s="682">
        <f>+'q36'!$K$5</f>
        <v>1368</v>
      </c>
      <c r="M265" s="682">
        <f>+'q36'!$L$5</f>
        <v>1466.66</v>
      </c>
    </row>
  </sheetData>
  <mergeCells count="41">
    <mergeCell ref="BB36:BD36"/>
    <mergeCell ref="BE36:BG36"/>
    <mergeCell ref="BH36:BJ36"/>
    <mergeCell ref="AV82:AZ85"/>
    <mergeCell ref="AV107:AZ109"/>
    <mergeCell ref="AD13:AG19"/>
    <mergeCell ref="AD45:AG50"/>
    <mergeCell ref="AD79:AH84"/>
    <mergeCell ref="AV88:AY90"/>
    <mergeCell ref="AV100:AZ103"/>
    <mergeCell ref="AQ8:AQ15"/>
    <mergeCell ref="AQ16:AQ21"/>
    <mergeCell ref="AQ22:AQ24"/>
    <mergeCell ref="AQ27:AQ30"/>
    <mergeCell ref="AY36:BA36"/>
    <mergeCell ref="BR107:BV109"/>
    <mergeCell ref="BS92:BY95"/>
    <mergeCell ref="BR100:BX103"/>
    <mergeCell ref="CP36:CR36"/>
    <mergeCell ref="CS36:CU36"/>
    <mergeCell ref="CL82:CP85"/>
    <mergeCell ref="CL88:CO90"/>
    <mergeCell ref="CL107:CP109"/>
    <mergeCell ref="CM92:CS96"/>
    <mergeCell ref="BT36:BV36"/>
    <mergeCell ref="BR82:BV85"/>
    <mergeCell ref="BR88:BU90"/>
    <mergeCell ref="BW36:BY36"/>
    <mergeCell ref="BZ36:CB36"/>
    <mergeCell ref="CC36:CE36"/>
    <mergeCell ref="CL100:CS103"/>
    <mergeCell ref="CV36:CX36"/>
    <mergeCell ref="CY36:DA36"/>
    <mergeCell ref="BL8:BL15"/>
    <mergeCell ref="BL16:BL21"/>
    <mergeCell ref="BL22:BL24"/>
    <mergeCell ref="BL27:BL30"/>
    <mergeCell ref="CF8:CF15"/>
    <mergeCell ref="CF16:CF21"/>
    <mergeCell ref="CF22:CF24"/>
    <mergeCell ref="CF27:CF30"/>
  </mergeCells>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86721" r:id="rId4" name="Drop Down 1">
              <controlPr defaultSize="0" autoLine="0" autoPict="0">
                <anchor moveWithCells="1">
                  <from>
                    <xdr:col>16</xdr:col>
                    <xdr:colOff>266700</xdr:colOff>
                    <xdr:row>0</xdr:row>
                    <xdr:rowOff>142875</xdr:rowOff>
                  </from>
                  <to>
                    <xdr:col>17</xdr:col>
                    <xdr:colOff>942975</xdr:colOff>
                    <xdr:row>2</xdr:row>
                    <xdr:rowOff>19050</xdr:rowOff>
                  </to>
                </anchor>
              </controlPr>
            </control>
          </mc:Choice>
        </mc:AlternateContent>
        <mc:AlternateContent xmlns:mc="http://schemas.openxmlformats.org/markup-compatibility/2006">
          <mc:Choice Requires="x14">
            <control shapeId="286722" r:id="rId5" name="Drop Down 2">
              <controlPr defaultSize="0" autoLine="0" autoPict="0">
                <anchor moveWithCells="1">
                  <from>
                    <xdr:col>43</xdr:col>
                    <xdr:colOff>9525</xdr:colOff>
                    <xdr:row>1</xdr:row>
                    <xdr:rowOff>0</xdr:rowOff>
                  </from>
                  <to>
                    <xdr:col>43</xdr:col>
                    <xdr:colOff>638175</xdr:colOff>
                    <xdr:row>2</xdr:row>
                    <xdr:rowOff>19050</xdr:rowOff>
                  </to>
                </anchor>
              </controlPr>
            </control>
          </mc:Choice>
        </mc:AlternateContent>
        <mc:AlternateContent xmlns:mc="http://schemas.openxmlformats.org/markup-compatibility/2006">
          <mc:Choice Requires="x14">
            <control shapeId="286723" r:id="rId6" name="Drop Down 3">
              <controlPr defaultSize="0" autoLine="0" autoPict="0">
                <anchor moveWithCells="1">
                  <from>
                    <xdr:col>64</xdr:col>
                    <xdr:colOff>9525</xdr:colOff>
                    <xdr:row>1</xdr:row>
                    <xdr:rowOff>0</xdr:rowOff>
                  </from>
                  <to>
                    <xdr:col>65</xdr:col>
                    <xdr:colOff>28575</xdr:colOff>
                    <xdr:row>2</xdr:row>
                    <xdr:rowOff>19050</xdr:rowOff>
                  </to>
                </anchor>
              </controlPr>
            </control>
          </mc:Choice>
        </mc:AlternateContent>
        <mc:AlternateContent xmlns:mc="http://schemas.openxmlformats.org/markup-compatibility/2006">
          <mc:Choice Requires="x14">
            <control shapeId="286724" r:id="rId7" name="Drop Down 4">
              <controlPr defaultSize="0" autoLine="0" autoPict="0">
                <anchor moveWithCells="1">
                  <from>
                    <xdr:col>84</xdr:col>
                    <xdr:colOff>9525</xdr:colOff>
                    <xdr:row>1</xdr:row>
                    <xdr:rowOff>0</xdr:rowOff>
                  </from>
                  <to>
                    <xdr:col>85</xdr:col>
                    <xdr:colOff>28575</xdr:colOff>
                    <xdr:row>2</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806CA-9FBB-44F2-89F7-F0B92D132D87}">
  <dimension ref="A52:A65"/>
  <sheetViews>
    <sheetView topLeftCell="N1" workbookViewId="0">
      <selection activeCell="AH74" sqref="AH74"/>
    </sheetView>
  </sheetViews>
  <sheetFormatPr defaultColWidth="9.140625" defaultRowHeight="15"/>
  <cols>
    <col min="1" max="16384" width="9.140625" style="677"/>
  </cols>
  <sheetData>
    <row r="52" spans="1:1">
      <c r="A52" s="676" t="s">
        <v>581</v>
      </c>
    </row>
    <row r="54" spans="1:1">
      <c r="A54" s="678" t="s">
        <v>582</v>
      </c>
    </row>
    <row r="55" spans="1:1">
      <c r="A55" s="679"/>
    </row>
    <row r="56" spans="1:1">
      <c r="A56" s="680" t="s">
        <v>583</v>
      </c>
    </row>
    <row r="57" spans="1:1">
      <c r="A57" s="680" t="s">
        <v>584</v>
      </c>
    </row>
    <row r="58" spans="1:1">
      <c r="A58" s="678" t="s">
        <v>585</v>
      </c>
    </row>
    <row r="59" spans="1:1">
      <c r="A59" s="681" t="s">
        <v>586</v>
      </c>
    </row>
    <row r="60" spans="1:1">
      <c r="A60" s="680" t="s">
        <v>587</v>
      </c>
    </row>
    <row r="61" spans="1:1">
      <c r="A61" s="681" t="s">
        <v>588</v>
      </c>
    </row>
    <row r="62" spans="1:1">
      <c r="A62" s="679"/>
    </row>
    <row r="64" spans="1:1">
      <c r="A64" s="679"/>
    </row>
    <row r="65" spans="1:1">
      <c r="A65" s="679"/>
    </row>
  </sheetData>
  <hyperlinks>
    <hyperlink ref="A59" r:id="rId1" location="ref-publicity-rights" display="https://creativecommons.org/publicdomain/zero/1.0/deed.en - ref-publicity-rights" xr:uid="{6EF6BB01-F87D-45FA-A2F5-65848036DA03}"/>
    <hyperlink ref="A61" r:id="rId2" location="ref-endorsement" display="https://creativecommons.org/publicdomain/zero/1.0/deed.en - ref-endorsement" xr:uid="{3B499A8E-6F9C-4DEA-9DBB-9FF4D1987825}"/>
  </hyperlinks>
  <pageMargins left="0.7" right="0.7" top="0.75" bottom="0.75" header="0.3" footer="0.3"/>
  <pageSetup paperSize="9" orientation="portrait" r:id="rId3"/>
  <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A501A-1EBE-4697-9668-37AACF2D0BA7}">
  <dimension ref="A1:W71"/>
  <sheetViews>
    <sheetView topLeftCell="J10" zoomScaleNormal="100" workbookViewId="0">
      <selection activeCell="AH74" sqref="AH74"/>
    </sheetView>
  </sheetViews>
  <sheetFormatPr defaultRowHeight="12.75"/>
  <cols>
    <col min="2" max="2" width="16.85546875" customWidth="1"/>
    <col min="19" max="19" width="24.140625" customWidth="1"/>
    <col min="20" max="20" width="12.42578125" customWidth="1"/>
    <col min="21" max="22" width="10" bestFit="1" customWidth="1"/>
    <col min="23" max="23" width="9.28515625" bestFit="1" customWidth="1"/>
  </cols>
  <sheetData>
    <row r="1" spans="1:23">
      <c r="A1" s="502" t="s">
        <v>299</v>
      </c>
      <c r="B1" s="532"/>
      <c r="C1" s="532"/>
      <c r="D1" s="502" t="s">
        <v>388</v>
      </c>
      <c r="E1" s="532"/>
    </row>
    <row r="2" spans="1:23">
      <c r="A2" s="509">
        <f>+C16</f>
        <v>2013</v>
      </c>
      <c r="B2" s="532">
        <v>1</v>
      </c>
      <c r="C2" s="532"/>
      <c r="D2" s="532" t="s">
        <v>296</v>
      </c>
      <c r="E2" s="532">
        <v>1</v>
      </c>
    </row>
    <row r="3" spans="1:23">
      <c r="A3" s="509">
        <f>+D16</f>
        <v>2014</v>
      </c>
      <c r="B3" s="532">
        <v>2</v>
      </c>
      <c r="C3" s="532"/>
      <c r="D3" s="532" t="s">
        <v>297</v>
      </c>
      <c r="E3" s="532">
        <v>2</v>
      </c>
    </row>
    <row r="4" spans="1:23">
      <c r="A4" s="509">
        <f>+E16</f>
        <v>2015</v>
      </c>
      <c r="B4" s="532">
        <v>3</v>
      </c>
      <c r="C4" s="532"/>
      <c r="D4" s="532"/>
      <c r="E4" s="532"/>
    </row>
    <row r="5" spans="1:23">
      <c r="A5" s="509">
        <f>+F16</f>
        <v>2016</v>
      </c>
      <c r="B5" s="532">
        <v>4</v>
      </c>
      <c r="C5" s="532"/>
      <c r="D5" s="532"/>
      <c r="E5" s="532"/>
    </row>
    <row r="6" spans="1:23">
      <c r="A6" s="509">
        <f>+G16</f>
        <v>2017</v>
      </c>
      <c r="B6" s="532">
        <v>5</v>
      </c>
      <c r="C6" s="532"/>
      <c r="D6" s="532"/>
      <c r="E6" s="532"/>
    </row>
    <row r="7" spans="1:23">
      <c r="A7" s="509">
        <f>+H16</f>
        <v>2018</v>
      </c>
      <c r="B7" s="532">
        <v>6</v>
      </c>
      <c r="C7" s="532"/>
      <c r="D7" s="532"/>
      <c r="E7" s="532"/>
    </row>
    <row r="8" spans="1:23">
      <c r="A8" s="509">
        <f>+I16</f>
        <v>2019</v>
      </c>
      <c r="B8" s="532">
        <v>7</v>
      </c>
      <c r="C8" s="532"/>
      <c r="D8" s="532"/>
      <c r="E8" s="532"/>
    </row>
    <row r="9" spans="1:23">
      <c r="A9" s="509">
        <f>+J16</f>
        <v>2020</v>
      </c>
      <c r="B9" s="532">
        <v>8</v>
      </c>
      <c r="C9" s="532"/>
      <c r="D9" s="532"/>
      <c r="E9" s="532"/>
    </row>
    <row r="10" spans="1:23">
      <c r="A10" s="509">
        <f>+K16</f>
        <v>2021</v>
      </c>
      <c r="B10" s="532">
        <v>9</v>
      </c>
      <c r="C10" s="532"/>
      <c r="D10" s="532"/>
      <c r="E10" s="532"/>
    </row>
    <row r="11" spans="1:23">
      <c r="A11" s="509">
        <f>+L16</f>
        <v>2022</v>
      </c>
      <c r="B11" s="532">
        <v>10</v>
      </c>
      <c r="C11" s="532"/>
      <c r="D11" s="532"/>
      <c r="E11" s="532"/>
    </row>
    <row r="12" spans="1:23">
      <c r="A12" s="509">
        <f>+M16</f>
        <v>2023</v>
      </c>
      <c r="B12" s="532">
        <v>11</v>
      </c>
      <c r="C12" s="532"/>
      <c r="D12" s="532"/>
      <c r="E12" s="532"/>
    </row>
    <row r="14" spans="1:23">
      <c r="A14" s="457" t="s">
        <v>766</v>
      </c>
    </row>
    <row r="15" spans="1:23">
      <c r="A15" s="737" t="s">
        <v>765</v>
      </c>
      <c r="R15" s="532">
        <f>+INDEX(q17_a_q19_q26_a_q29_q37_q40_Fig!$A$2:$A$12,q17_a_q19_q26_a_q29_q37_q40_Fig!$P$9)</f>
        <v>2023</v>
      </c>
      <c r="S15" s="457" t="s">
        <v>765</v>
      </c>
      <c r="U15" s="456" t="s">
        <v>782</v>
      </c>
      <c r="V15" s="456" t="s">
        <v>782</v>
      </c>
      <c r="W15" s="456" t="s">
        <v>786</v>
      </c>
    </row>
    <row r="16" spans="1:23">
      <c r="A16" s="737" t="s">
        <v>185</v>
      </c>
      <c r="C16" s="457">
        <f>+'q19'!$C$4</f>
        <v>2013</v>
      </c>
      <c r="D16" s="457">
        <f>+'q19'!$D$4</f>
        <v>2014</v>
      </c>
      <c r="E16" s="457">
        <f>+'q19'!$E$4</f>
        <v>2015</v>
      </c>
      <c r="F16" s="457">
        <f>+'q19'!$F$4</f>
        <v>2016</v>
      </c>
      <c r="G16" s="457">
        <f>+'q19'!$G$4</f>
        <v>2017</v>
      </c>
      <c r="H16" s="457">
        <f>+'q19'!$H$4</f>
        <v>2018</v>
      </c>
      <c r="I16" s="457">
        <f>+'q19'!$I$4</f>
        <v>2019</v>
      </c>
      <c r="J16" s="457">
        <f>+'q19'!$J$4</f>
        <v>2020</v>
      </c>
      <c r="K16" s="457">
        <f>+'q19'!$K$4</f>
        <v>2021</v>
      </c>
      <c r="L16" s="457">
        <f>+'q19'!$L$4</f>
        <v>2022</v>
      </c>
      <c r="M16" s="457">
        <f>+'q19'!$M$4</f>
        <v>2023</v>
      </c>
      <c r="T16" s="457" t="s">
        <v>185</v>
      </c>
      <c r="U16" s="457" t="s">
        <v>296</v>
      </c>
      <c r="V16" s="457" t="s">
        <v>297</v>
      </c>
      <c r="W16" s="457" t="s">
        <v>296</v>
      </c>
    </row>
    <row r="17" spans="1:23">
      <c r="A17" s="498" t="s">
        <v>12</v>
      </c>
      <c r="B17" t="str">
        <f>+Aux!$C$164</f>
        <v>Repres. poder leg. e de órgãos exec., dirig., diret. e gestores executivos</v>
      </c>
      <c r="C17" s="180">
        <f>+'q19'!$C$6</f>
        <v>103488</v>
      </c>
      <c r="D17" s="180">
        <f>+'q19'!$D$6</f>
        <v>102919</v>
      </c>
      <c r="E17" s="180">
        <f>+'q19'!$E$6</f>
        <v>102237</v>
      </c>
      <c r="F17" s="180">
        <f>+'q19'!$F$6</f>
        <v>102101</v>
      </c>
      <c r="G17" s="180">
        <f>+'q19'!$G$6</f>
        <v>103477</v>
      </c>
      <c r="H17" s="180">
        <f>+'q19'!$H$6</f>
        <v>103469</v>
      </c>
      <c r="I17" s="180">
        <f>+'q19'!$I$6</f>
        <v>102017</v>
      </c>
      <c r="J17" s="180">
        <f>+'q19'!$J$6</f>
        <v>103372</v>
      </c>
      <c r="K17" s="180">
        <f>+'q19'!$K$6</f>
        <v>101914</v>
      </c>
      <c r="L17" s="180">
        <f>+'q19'!$L$6</f>
        <v>108618</v>
      </c>
      <c r="M17" s="180">
        <f>+'q19'!$M$6</f>
        <v>112926</v>
      </c>
      <c r="S17" t="s">
        <v>654</v>
      </c>
      <c r="T17" s="180">
        <f>+INDEX($B$16:$M$27,MATCH($S$17:$S$27,$B$16:$B$27,0),MATCH($R$15,$B$16:$M$16,0))</f>
        <v>112926</v>
      </c>
      <c r="U17" s="738">
        <f>+INDEX($B$31:$M$42,MATCH($S$17:$S$27,$B$31:$B$42,0),MATCH($R$15,$B$31:$M$31,0))</f>
        <v>2657.57</v>
      </c>
      <c r="V17" s="738">
        <f>+INDEX($B$60:$M$71,MATCH($S$17:$S$27,$B$60:$B$71,0),MATCH($R$15,$B$60:$M$60,0))</f>
        <v>3072.68</v>
      </c>
      <c r="W17" s="738">
        <f>+INDEX($B$45:$M$56,MATCH($S$17:$S$27,$B$45:$B$56,0),MATCH($R$15,$B$45:$M$45,0))</f>
        <v>15.43</v>
      </c>
    </row>
    <row r="18" spans="1:23">
      <c r="B18" t="str">
        <f>+Aux!$C$165</f>
        <v>Especial.das ativ.intelet.e cientif.</v>
      </c>
      <c r="C18" s="180">
        <f>+'q19'!$C$11</f>
        <v>248750</v>
      </c>
      <c r="D18" s="180">
        <f>+'q19'!$D$11</f>
        <v>257358</v>
      </c>
      <c r="E18" s="180">
        <f>+'q19'!$E$11</f>
        <v>268541</v>
      </c>
      <c r="F18" s="180">
        <f>+'q19'!$F$11</f>
        <v>279378</v>
      </c>
      <c r="G18" s="180">
        <f>+'q19'!$G$11</f>
        <v>293235</v>
      </c>
      <c r="H18" s="180">
        <f>+'q19'!$H$11</f>
        <v>314401</v>
      </c>
      <c r="I18" s="180">
        <f>+'q19'!$I$11</f>
        <v>332396</v>
      </c>
      <c r="J18" s="180">
        <f>+'q19'!$J$11</f>
        <v>345330</v>
      </c>
      <c r="K18" s="180">
        <f>+'q19'!$K$11</f>
        <v>358638</v>
      </c>
      <c r="L18" s="180">
        <f>+'q19'!$L$11</f>
        <v>394102</v>
      </c>
      <c r="M18" s="180">
        <f>+'q19'!$M$11</f>
        <v>416579</v>
      </c>
      <c r="S18" t="s">
        <v>659</v>
      </c>
      <c r="T18" s="180">
        <f t="shared" ref="T18:T27" si="0">+INDEX($B$16:$M$27,MATCH($S$17:$S$27,$B$16:$B$27,0),MATCH($R$15,$B$16:$M$16,0))</f>
        <v>416579</v>
      </c>
      <c r="U18" s="738">
        <f t="shared" ref="U18:U27" si="1">+INDEX($B$31:$M$42,MATCH($S$17:$S$27,$B$31:$B$42,0),MATCH($R$15,$B$31:$M$31,0))</f>
        <v>1907.03</v>
      </c>
      <c r="V18" s="738">
        <f t="shared" ref="V18:V27" si="2">+INDEX($B$60:$M$71,MATCH($S$17:$S$27,$B$60:$B$71,0),MATCH($R$15,$B$60:$M$60,0))</f>
        <v>2222.79</v>
      </c>
      <c r="W18" s="738">
        <f t="shared" ref="W18:W27" si="3">+INDEX($B$45:$M$56,MATCH($S$17:$S$27,$B$45:$B$56,0),MATCH($R$15,$B$45:$M$45,0))</f>
        <v>11.33</v>
      </c>
    </row>
    <row r="19" spans="1:23">
      <c r="B19" t="str">
        <f>+Aux!$C$166</f>
        <v>Técn. e prof. de nível intermédio</v>
      </c>
      <c r="C19" s="180">
        <f>+'q19'!$C$18</f>
        <v>240864</v>
      </c>
      <c r="D19" s="180">
        <f>+'q19'!$D$18</f>
        <v>246049</v>
      </c>
      <c r="E19" s="180">
        <f>+'q19'!$E$18</f>
        <v>251040</v>
      </c>
      <c r="F19" s="180">
        <f>+'q19'!$F$18</f>
        <v>259812</v>
      </c>
      <c r="G19" s="180">
        <f>+'q19'!$G$18</f>
        <v>269831</v>
      </c>
      <c r="H19" s="180">
        <f>+'q19'!$H$18</f>
        <v>281971</v>
      </c>
      <c r="I19" s="180">
        <f>+'q19'!$I$18</f>
        <v>289631</v>
      </c>
      <c r="J19" s="180">
        <f>+'q19'!$J$18</f>
        <v>296724</v>
      </c>
      <c r="K19" s="180">
        <f>+'q19'!$K$18</f>
        <v>303361</v>
      </c>
      <c r="L19" s="180">
        <f>+'q19'!$L$18</f>
        <v>325171</v>
      </c>
      <c r="M19" s="180">
        <f>+'q19'!$M$18</f>
        <v>340854</v>
      </c>
      <c r="S19" t="s">
        <v>666</v>
      </c>
      <c r="T19" s="180">
        <f t="shared" si="0"/>
        <v>340854</v>
      </c>
      <c r="U19" s="738">
        <f t="shared" si="1"/>
        <v>1506.33</v>
      </c>
      <c r="V19" s="738">
        <f t="shared" si="2"/>
        <v>1836.79</v>
      </c>
      <c r="W19" s="738">
        <f t="shared" si="3"/>
        <v>8.6999999999999993</v>
      </c>
    </row>
    <row r="20" spans="1:23">
      <c r="B20" t="str">
        <f>+Aux!$C$167</f>
        <v>Pessoal administrativo</v>
      </c>
      <c r="C20" s="180">
        <f>+'q19'!$C$24</f>
        <v>322068</v>
      </c>
      <c r="D20" s="180">
        <f>+'q19'!$D$24</f>
        <v>329818</v>
      </c>
      <c r="E20" s="180">
        <f>+'q19'!$E$24</f>
        <v>339590</v>
      </c>
      <c r="F20" s="180">
        <f>+'q19'!$F$24</f>
        <v>354101</v>
      </c>
      <c r="G20" s="180">
        <f>+'q19'!$G$24</f>
        <v>364437</v>
      </c>
      <c r="H20" s="180">
        <f>+'q19'!$H$24</f>
        <v>379700</v>
      </c>
      <c r="I20" s="180">
        <f>+'q19'!$I$24</f>
        <v>385649</v>
      </c>
      <c r="J20" s="180">
        <f>+'q19'!$J$24</f>
        <v>383564</v>
      </c>
      <c r="K20" s="180">
        <f>+'q19'!$K$24</f>
        <v>383195</v>
      </c>
      <c r="L20" s="180">
        <f>+'q19'!$L$24</f>
        <v>421193</v>
      </c>
      <c r="M20" s="180">
        <f>+'q19'!$M$24</f>
        <v>434712</v>
      </c>
      <c r="S20" t="s">
        <v>672</v>
      </c>
      <c r="T20" s="180">
        <f t="shared" si="0"/>
        <v>434712</v>
      </c>
      <c r="U20" s="738">
        <f t="shared" si="1"/>
        <v>1075.58</v>
      </c>
      <c r="V20" s="738">
        <f t="shared" si="2"/>
        <v>1303.32</v>
      </c>
      <c r="W20" s="738">
        <f t="shared" si="3"/>
        <v>6.18</v>
      </c>
    </row>
    <row r="21" spans="1:23">
      <c r="B21" t="str">
        <f>+Aux!$C$168</f>
        <v>Trab.dos serv.pessoais, de prot.e segur.e vendedores</v>
      </c>
      <c r="C21" s="180">
        <f>+'q19'!$C$29</f>
        <v>502616</v>
      </c>
      <c r="D21" s="180">
        <f>+'q19'!$D$29</f>
        <v>522200</v>
      </c>
      <c r="E21" s="180">
        <f>+'q19'!$E$29</f>
        <v>543846</v>
      </c>
      <c r="F21" s="180">
        <f>+'q19'!$F$29</f>
        <v>569034</v>
      </c>
      <c r="G21" s="180">
        <f>+'q19'!$G$29</f>
        <v>601609</v>
      </c>
      <c r="H21" s="180">
        <f>+'q19'!$H$29</f>
        <v>617409</v>
      </c>
      <c r="I21" s="180">
        <f>+'q19'!$I$29</f>
        <v>636383</v>
      </c>
      <c r="J21" s="180">
        <f>+'q19'!$J$29</f>
        <v>600680</v>
      </c>
      <c r="K21" s="180">
        <f>+'q19'!$K$29</f>
        <v>604817</v>
      </c>
      <c r="L21" s="180">
        <f>+'q19'!$L$29</f>
        <v>658740</v>
      </c>
      <c r="M21" s="180">
        <f>+'q19'!$M$29</f>
        <v>691852</v>
      </c>
      <c r="S21" t="s">
        <v>677</v>
      </c>
      <c r="T21" s="180">
        <f t="shared" si="0"/>
        <v>691852</v>
      </c>
      <c r="U21" s="738">
        <f t="shared" si="1"/>
        <v>897.05</v>
      </c>
      <c r="V21" s="738">
        <f t="shared" si="2"/>
        <v>1078.9100000000001</v>
      </c>
      <c r="W21" s="738">
        <f t="shared" si="3"/>
        <v>5.18</v>
      </c>
    </row>
    <row r="22" spans="1:23">
      <c r="B22" t="str">
        <f>+Aux!$C$169</f>
        <v>Agric.e trab.qualif.da agric.,da pesca e da floresta</v>
      </c>
      <c r="C22" s="180">
        <f>+'q19'!$C$34</f>
        <v>30746</v>
      </c>
      <c r="D22" s="180">
        <f>+'q19'!$D$34</f>
        <v>31493</v>
      </c>
      <c r="E22" s="180">
        <f>+'q19'!$E$34</f>
        <v>32226</v>
      </c>
      <c r="F22" s="180">
        <f>+'q19'!$F$34</f>
        <v>32914</v>
      </c>
      <c r="G22" s="180">
        <f>+'q19'!$G$34</f>
        <v>33535</v>
      </c>
      <c r="H22" s="180">
        <f>+'q19'!$H$34</f>
        <v>36393</v>
      </c>
      <c r="I22" s="180">
        <f>+'q19'!$I$34</f>
        <v>36879</v>
      </c>
      <c r="J22" s="180">
        <f>+'q19'!$J$34</f>
        <v>39132</v>
      </c>
      <c r="K22" s="180">
        <f>+'q19'!$K$34</f>
        <v>36652</v>
      </c>
      <c r="L22" s="180">
        <f>+'q19'!$L$34</f>
        <v>37073</v>
      </c>
      <c r="M22" s="180">
        <f>+'q19'!$M$34</f>
        <v>37292</v>
      </c>
      <c r="S22" t="s">
        <v>682</v>
      </c>
      <c r="T22" s="180">
        <f t="shared" si="0"/>
        <v>37292</v>
      </c>
      <c r="U22" s="738">
        <f t="shared" si="1"/>
        <v>921.84</v>
      </c>
      <c r="V22" s="738">
        <f t="shared" si="2"/>
        <v>1062.6099999999999</v>
      </c>
      <c r="W22" s="738">
        <f t="shared" si="3"/>
        <v>5</v>
      </c>
    </row>
    <row r="23" spans="1:23">
      <c r="B23" t="str">
        <f>+Aux!$C$170</f>
        <v>Trab.qualif.da ind.,constr.e artific.</v>
      </c>
      <c r="C23" s="180">
        <f>+'q19'!$C$37</f>
        <v>360756</v>
      </c>
      <c r="D23" s="180">
        <f>+'q19'!$D$37</f>
        <v>368809</v>
      </c>
      <c r="E23" s="180">
        <f>+'q19'!$E$37</f>
        <v>376388</v>
      </c>
      <c r="F23" s="180">
        <f>+'q19'!$F$37</f>
        <v>384741</v>
      </c>
      <c r="G23" s="180">
        <f>+'q19'!$G$37</f>
        <v>400615</v>
      </c>
      <c r="H23" s="180">
        <f>+'q19'!$H$37</f>
        <v>413669</v>
      </c>
      <c r="I23" s="180">
        <f>+'q19'!$I$37</f>
        <v>416319</v>
      </c>
      <c r="J23" s="180">
        <f>+'q19'!$J$37</f>
        <v>417902</v>
      </c>
      <c r="K23" s="180">
        <f>+'q19'!$K$37</f>
        <v>412413</v>
      </c>
      <c r="L23" s="180">
        <f>+'q19'!$L$37</f>
        <v>440677</v>
      </c>
      <c r="M23" s="180">
        <f>+'q19'!$M$37</f>
        <v>457733</v>
      </c>
      <c r="S23" t="s">
        <v>685</v>
      </c>
      <c r="T23" s="180">
        <f t="shared" si="0"/>
        <v>457733</v>
      </c>
      <c r="U23" s="738">
        <f t="shared" si="1"/>
        <v>951.56</v>
      </c>
      <c r="V23" s="738">
        <f t="shared" si="2"/>
        <v>1154.1400000000001</v>
      </c>
      <c r="W23" s="738">
        <f t="shared" si="3"/>
        <v>5.41</v>
      </c>
    </row>
    <row r="24" spans="1:23">
      <c r="B24" t="str">
        <f>+Aux!$C$171</f>
        <v>Oper.de inst.e máq.e trab.mont.</v>
      </c>
      <c r="C24" s="180">
        <f>+'q19'!$C$43</f>
        <v>264446</v>
      </c>
      <c r="D24" s="180">
        <f>+'q19'!$D$43</f>
        <v>274804</v>
      </c>
      <c r="E24" s="180">
        <f>+'q19'!$E$43</f>
        <v>280377</v>
      </c>
      <c r="F24" s="180">
        <f>+'q19'!$F$43</f>
        <v>291313</v>
      </c>
      <c r="G24" s="180">
        <f>+'q19'!$G$43</f>
        <v>307015</v>
      </c>
      <c r="H24" s="180">
        <f>+'q19'!$H$43</f>
        <v>315599</v>
      </c>
      <c r="I24" s="180">
        <f>+'q19'!$I$43</f>
        <v>307042</v>
      </c>
      <c r="J24" s="180">
        <f>+'q19'!$J$43</f>
        <v>302090</v>
      </c>
      <c r="K24" s="180">
        <f>+'q19'!$K$43</f>
        <v>298377</v>
      </c>
      <c r="L24" s="180">
        <f>+'q19'!$L$43</f>
        <v>315144</v>
      </c>
      <c r="M24" s="180">
        <f>+'q19'!$M$43</f>
        <v>324386</v>
      </c>
      <c r="S24" t="s">
        <v>691</v>
      </c>
      <c r="T24" s="180">
        <f t="shared" si="0"/>
        <v>324386</v>
      </c>
      <c r="U24" s="738">
        <f t="shared" si="1"/>
        <v>925.47</v>
      </c>
      <c r="V24" s="738">
        <f t="shared" si="2"/>
        <v>1235.24</v>
      </c>
      <c r="W24" s="738">
        <f t="shared" si="3"/>
        <v>5.33</v>
      </c>
    </row>
    <row r="25" spans="1:23">
      <c r="B25" t="str">
        <f>+Aux!$C$172</f>
        <v>Trabalhadores não qualificados</v>
      </c>
      <c r="C25" s="180">
        <f>+'q19'!$C$47</f>
        <v>308516</v>
      </c>
      <c r="D25" s="180">
        <f>+'q19'!$D$47</f>
        <v>322924</v>
      </c>
      <c r="E25" s="180">
        <f>+'q19'!$E$47</f>
        <v>341417</v>
      </c>
      <c r="F25" s="180">
        <f>+'q19'!$F$47</f>
        <v>366149</v>
      </c>
      <c r="G25" s="180">
        <f>+'q19'!$G$47</f>
        <v>391370</v>
      </c>
      <c r="H25" s="180">
        <f>+'q19'!$H$47</f>
        <v>413348</v>
      </c>
      <c r="I25" s="180">
        <f>+'q19'!$I$47</f>
        <v>422064</v>
      </c>
      <c r="J25" s="180">
        <f>+'q19'!$J$47</f>
        <v>411879</v>
      </c>
      <c r="K25" s="180">
        <f>+'q19'!$K$47</f>
        <v>420318</v>
      </c>
      <c r="L25" s="180">
        <f>+'q19'!$L$47</f>
        <v>444590</v>
      </c>
      <c r="M25" s="180">
        <f>+'q19'!$M$47</f>
        <v>477160</v>
      </c>
      <c r="S25" t="s">
        <v>695</v>
      </c>
      <c r="T25" s="180">
        <f t="shared" si="0"/>
        <v>477160</v>
      </c>
      <c r="U25" s="738">
        <f t="shared" si="1"/>
        <v>853.75</v>
      </c>
      <c r="V25" s="738">
        <f t="shared" si="2"/>
        <v>1007.47</v>
      </c>
      <c r="W25" s="738">
        <f t="shared" si="3"/>
        <v>4.8600000000000003</v>
      </c>
    </row>
    <row r="26" spans="1:23">
      <c r="B26" t="str">
        <f>+Aux!$C$173</f>
        <v>Trabalhadores sem profissão atribuida</v>
      </c>
      <c r="C26" s="180">
        <f>+'q19'!$C$54</f>
        <v>1871</v>
      </c>
      <c r="D26" s="180">
        <f>+'q19'!$D$54</f>
        <v>1789</v>
      </c>
      <c r="E26" s="180">
        <f>+'q19'!$E$54</f>
        <v>1991</v>
      </c>
      <c r="F26" s="180">
        <f>+'q19'!$F$54</f>
        <v>2376</v>
      </c>
      <c r="G26" s="180">
        <f>+'q19'!$G$54</f>
        <v>2397</v>
      </c>
      <c r="H26" s="180">
        <f>+'q19'!$H$54</f>
        <v>1959</v>
      </c>
      <c r="I26" s="180">
        <f>+'q19'!$I$54</f>
        <v>2102</v>
      </c>
      <c r="J26" s="180">
        <f>+'q19'!$J$54</f>
        <v>2152</v>
      </c>
      <c r="K26" s="180">
        <f>+'q19'!$K$54</f>
        <v>2658</v>
      </c>
      <c r="L26" s="180">
        <f>+'q19'!$L$54</f>
        <v>2839</v>
      </c>
      <c r="M26" s="180">
        <f>+'q19'!$M$54</f>
        <v>2640</v>
      </c>
      <c r="S26" t="s">
        <v>702</v>
      </c>
      <c r="T26" s="180">
        <f t="shared" si="0"/>
        <v>2640</v>
      </c>
      <c r="U26" s="738">
        <f t="shared" si="1"/>
        <v>2853.07</v>
      </c>
      <c r="V26" s="738">
        <f t="shared" si="2"/>
        <v>3169.09</v>
      </c>
      <c r="W26" s="738">
        <f t="shared" si="3"/>
        <v>16.690000000000001</v>
      </c>
    </row>
    <row r="27" spans="1:23">
      <c r="B27" s="456" t="s">
        <v>12</v>
      </c>
      <c r="C27" s="180">
        <f>+'q19'!$C$5</f>
        <v>2384121</v>
      </c>
      <c r="D27" s="180">
        <f>+'q19'!$D$5</f>
        <v>2458163</v>
      </c>
      <c r="E27" s="180">
        <f>+'q19'!$E$5</f>
        <v>2537653</v>
      </c>
      <c r="F27" s="180">
        <f>+'q19'!$F$5</f>
        <v>2641919</v>
      </c>
      <c r="G27" s="180">
        <f>+'q19'!$G$5</f>
        <v>2767521</v>
      </c>
      <c r="H27" s="180">
        <f>+'q19'!$H$5</f>
        <v>2877918</v>
      </c>
      <c r="I27" s="180">
        <f>+'q19'!$I$5</f>
        <v>2930482</v>
      </c>
      <c r="J27" s="180">
        <f>+'q19'!$J$5</f>
        <v>2902825</v>
      </c>
      <c r="K27" s="180">
        <f>+'q19'!$K$5</f>
        <v>2922343</v>
      </c>
      <c r="L27" s="180">
        <f>+'q19'!$L$5</f>
        <v>3148147</v>
      </c>
      <c r="M27" s="180">
        <f>+'q19'!$M$5</f>
        <v>3296134</v>
      </c>
      <c r="S27" t="s">
        <v>12</v>
      </c>
      <c r="T27" s="180">
        <f t="shared" si="0"/>
        <v>3296134</v>
      </c>
      <c r="U27" s="738">
        <f t="shared" si="1"/>
        <v>1219.8699999999999</v>
      </c>
      <c r="V27" s="738">
        <f t="shared" si="2"/>
        <v>1466.66</v>
      </c>
      <c r="W27" s="738">
        <f t="shared" si="3"/>
        <v>6.88</v>
      </c>
    </row>
    <row r="30" spans="1:23">
      <c r="A30" s="457" t="s">
        <v>781</v>
      </c>
    </row>
    <row r="31" spans="1:23">
      <c r="A31" s="498" t="s">
        <v>302</v>
      </c>
      <c r="C31" s="457">
        <f>+'q28'!$C$4</f>
        <v>2013</v>
      </c>
      <c r="D31" s="457">
        <f>+'q28'!$D$4</f>
        <v>2014</v>
      </c>
      <c r="E31" s="457">
        <f>+'q28'!$E$4</f>
        <v>2015</v>
      </c>
      <c r="F31" s="457">
        <f>+'q28'!$F$4</f>
        <v>2016</v>
      </c>
      <c r="G31" s="457">
        <f>+'q28'!$G$4</f>
        <v>2017</v>
      </c>
      <c r="H31" s="457">
        <f>+'q28'!$H$4</f>
        <v>2018</v>
      </c>
      <c r="I31" s="457">
        <f>+'q28'!$I$4</f>
        <v>2019</v>
      </c>
      <c r="J31" s="457">
        <f>+'q28'!$J$4</f>
        <v>2020</v>
      </c>
      <c r="K31" s="457">
        <f>+'q28'!$K$4</f>
        <v>2021</v>
      </c>
      <c r="L31" s="457">
        <f>+'q28'!$L$4</f>
        <v>2022</v>
      </c>
      <c r="M31" s="457">
        <f>+'q28'!$M$4</f>
        <v>2023</v>
      </c>
    </row>
    <row r="32" spans="1:23">
      <c r="A32" s="498" t="s">
        <v>782</v>
      </c>
      <c r="B32" t="str">
        <f>+Aux!$C$164</f>
        <v>Repres. poder leg. e de órgãos exec., dirig., diret. e gestores executivos</v>
      </c>
      <c r="C32" s="551">
        <f>+'q28'!$C$6</f>
        <v>2065.27</v>
      </c>
      <c r="D32" s="551">
        <f>+'q28'!$D$6</f>
        <v>2052.4499999999998</v>
      </c>
      <c r="E32" s="551">
        <f>+'q28'!$E$6</f>
        <v>2079.75</v>
      </c>
      <c r="F32" s="551">
        <f>+'q28'!$F$6</f>
        <v>2107.9899999999998</v>
      </c>
      <c r="G32" s="551">
        <f>+'q28'!$G$6</f>
        <v>2146.0500000000002</v>
      </c>
      <c r="H32" s="551">
        <f>+'q28'!$H$6</f>
        <v>2200.1999999999998</v>
      </c>
      <c r="I32" s="551">
        <f>+'q28'!$I$6</f>
        <v>2261.4</v>
      </c>
      <c r="J32" s="551">
        <f>+'q28'!$J$6</f>
        <v>2333.06</v>
      </c>
      <c r="K32" s="551">
        <f>+'q28'!$K$6</f>
        <v>2403.16</v>
      </c>
      <c r="L32" s="551">
        <f>+'q28'!$L$6</f>
        <v>2518.79</v>
      </c>
      <c r="M32" s="551">
        <f>+'q28'!$M$6</f>
        <v>2657.57</v>
      </c>
    </row>
    <row r="33" spans="1:13">
      <c r="B33" t="str">
        <f>+Aux!$C$165</f>
        <v>Especial.das ativ.intelet.e cientif.</v>
      </c>
      <c r="C33" s="551">
        <f>+'q28'!$C$11</f>
        <v>1567.9</v>
      </c>
      <c r="D33" s="551">
        <f>+'q28'!$D$11</f>
        <v>1541.53</v>
      </c>
      <c r="E33" s="551">
        <f>+'q28'!$E$11</f>
        <v>1539.36</v>
      </c>
      <c r="F33" s="551">
        <f>+'q28'!$F$11</f>
        <v>1552.11</v>
      </c>
      <c r="G33" s="551">
        <f>+'q28'!$G$11</f>
        <v>1562.24</v>
      </c>
      <c r="H33" s="551">
        <f>+'q28'!$H$11</f>
        <v>1587.78</v>
      </c>
      <c r="I33" s="551">
        <f>+'q28'!$I$11</f>
        <v>1623</v>
      </c>
      <c r="J33" s="551">
        <f>+'q28'!$J$11</f>
        <v>1656.71</v>
      </c>
      <c r="K33" s="551">
        <f>+'q28'!$K$11</f>
        <v>1713.38</v>
      </c>
      <c r="L33" s="551">
        <f>+'q28'!$L$11</f>
        <v>1802.5</v>
      </c>
      <c r="M33" s="551">
        <f>+'q28'!$M$11</f>
        <v>1907.03</v>
      </c>
    </row>
    <row r="34" spans="1:13">
      <c r="B34" t="str">
        <f>+Aux!$C$166</f>
        <v>Técn. e prof. de nível intermédio</v>
      </c>
      <c r="C34" s="551">
        <f>+'q28'!$C$18</f>
        <v>1214.27</v>
      </c>
      <c r="D34" s="551">
        <f>+'q28'!$D$18</f>
        <v>1199.6500000000001</v>
      </c>
      <c r="E34" s="551">
        <f>+'q28'!$E$18</f>
        <v>1216.57</v>
      </c>
      <c r="F34" s="551">
        <f>+'q28'!$F$18</f>
        <v>1225.94</v>
      </c>
      <c r="G34" s="551">
        <f>+'q28'!$G$18</f>
        <v>1243.8599999999999</v>
      </c>
      <c r="H34" s="551">
        <f>+'q28'!$H$18</f>
        <v>1266.67</v>
      </c>
      <c r="I34" s="551">
        <f>+'q28'!$I$18</f>
        <v>1300.04</v>
      </c>
      <c r="J34" s="551">
        <f>+'q28'!$J$18</f>
        <v>1309.53</v>
      </c>
      <c r="K34" s="551">
        <f>+'q28'!$K$18</f>
        <v>1334.13</v>
      </c>
      <c r="L34" s="551">
        <f>+'q28'!$L$18</f>
        <v>1409.43</v>
      </c>
      <c r="M34" s="551">
        <f>+'q28'!$M$18</f>
        <v>1506.33</v>
      </c>
    </row>
    <row r="35" spans="1:13">
      <c r="B35" t="str">
        <f>+Aux!$C$167</f>
        <v>Pessoal administrativo</v>
      </c>
      <c r="C35" s="551">
        <f>+'q28'!$C$24</f>
        <v>851.95</v>
      </c>
      <c r="D35" s="551">
        <f>+'q28'!$D$24</f>
        <v>853.64</v>
      </c>
      <c r="E35" s="551">
        <f>+'q28'!$E$24</f>
        <v>850.24</v>
      </c>
      <c r="F35" s="551">
        <f>+'q28'!$F$24</f>
        <v>858.62</v>
      </c>
      <c r="G35" s="551">
        <f>+'q28'!$G$24</f>
        <v>871.79</v>
      </c>
      <c r="H35" s="551">
        <f>+'q28'!$H$24</f>
        <v>892.08</v>
      </c>
      <c r="I35" s="551">
        <f>+'q28'!$I$24</f>
        <v>915.53</v>
      </c>
      <c r="J35" s="551">
        <f>+'q28'!$J$24</f>
        <v>939.99</v>
      </c>
      <c r="K35" s="551">
        <f>+'q28'!$K$24</f>
        <v>974.11</v>
      </c>
      <c r="L35" s="551">
        <f>+'q28'!$L$24</f>
        <v>1012.3</v>
      </c>
      <c r="M35" s="551">
        <f>+'q28'!$M$24</f>
        <v>1075.58</v>
      </c>
    </row>
    <row r="36" spans="1:13">
      <c r="B36" t="str">
        <f>+Aux!$C$168</f>
        <v>Trab.dos serv.pessoais, de prot.e segur.e vendedores</v>
      </c>
      <c r="C36" s="551">
        <f>+'q28'!$C$29</f>
        <v>636.16999999999996</v>
      </c>
      <c r="D36" s="551">
        <f>+'q28'!$D$29</f>
        <v>643.22</v>
      </c>
      <c r="E36" s="551">
        <f>+'q28'!$E$29</f>
        <v>648.69000000000005</v>
      </c>
      <c r="F36" s="551">
        <f>+'q28'!$F$29</f>
        <v>661.51</v>
      </c>
      <c r="G36" s="551">
        <f>+'q28'!$G$29</f>
        <v>679.44</v>
      </c>
      <c r="H36" s="551">
        <f>+'q28'!$H$29</f>
        <v>701.85</v>
      </c>
      <c r="I36" s="551">
        <f>+'q28'!$I$29</f>
        <v>730.64</v>
      </c>
      <c r="J36" s="551">
        <f>+'q28'!$J$29</f>
        <v>754.92</v>
      </c>
      <c r="K36" s="551">
        <f>+'q28'!$K$29</f>
        <v>784.92</v>
      </c>
      <c r="L36" s="551">
        <f>+'q28'!$L$29</f>
        <v>833.64</v>
      </c>
      <c r="M36" s="551">
        <f>+'q28'!$M$29</f>
        <v>897.05</v>
      </c>
    </row>
    <row r="37" spans="1:13">
      <c r="B37" t="str">
        <f>+Aux!$C$169</f>
        <v>Agric.e trab.qualif.da agric.,da pesca e da floresta</v>
      </c>
      <c r="C37" s="551">
        <f>+'q28'!$C$34</f>
        <v>651.48</v>
      </c>
      <c r="D37" s="551">
        <f>+'q28'!$D$34</f>
        <v>647.64</v>
      </c>
      <c r="E37" s="551">
        <f>+'q28'!$E$34</f>
        <v>673.53</v>
      </c>
      <c r="F37" s="551">
        <f>+'q28'!$F$34</f>
        <v>705.23</v>
      </c>
      <c r="G37" s="551">
        <f>+'q28'!$G$34</f>
        <v>701.39</v>
      </c>
      <c r="H37" s="551">
        <f>+'q28'!$H$34</f>
        <v>745.46</v>
      </c>
      <c r="I37" s="551">
        <f>+'q28'!$I$34</f>
        <v>800.65</v>
      </c>
      <c r="J37" s="551">
        <f>+'q28'!$J$34</f>
        <v>772.79</v>
      </c>
      <c r="K37" s="551">
        <f>+'q28'!$K$34</f>
        <v>823.03</v>
      </c>
      <c r="L37" s="551">
        <f>+'q28'!$L$34</f>
        <v>868.03</v>
      </c>
      <c r="M37" s="551">
        <f>+'q28'!$M$34</f>
        <v>921.84</v>
      </c>
    </row>
    <row r="38" spans="1:13">
      <c r="B38" t="str">
        <f>+Aux!$C$170</f>
        <v>Trab.qualif.da ind.,constr.e artific.</v>
      </c>
      <c r="C38" s="551">
        <f>+'q28'!$C$37</f>
        <v>689.31</v>
      </c>
      <c r="D38" s="551">
        <f>+'q28'!$D$37</f>
        <v>693.11</v>
      </c>
      <c r="E38" s="551">
        <f>+'q28'!$E$37</f>
        <v>699.07</v>
      </c>
      <c r="F38" s="551">
        <f>+'q28'!$F$37</f>
        <v>710.79</v>
      </c>
      <c r="G38" s="551">
        <f>+'q28'!$G$37</f>
        <v>729.98</v>
      </c>
      <c r="H38" s="551">
        <f>+'q28'!$H$37</f>
        <v>756.88</v>
      </c>
      <c r="I38" s="551">
        <f>+'q28'!$I$37</f>
        <v>782.92</v>
      </c>
      <c r="J38" s="551">
        <f>+'q28'!$J$37</f>
        <v>806.16</v>
      </c>
      <c r="K38" s="551">
        <f>+'q28'!$K$37</f>
        <v>840.13</v>
      </c>
      <c r="L38" s="551">
        <f>+'q28'!$L$37</f>
        <v>887.58</v>
      </c>
      <c r="M38" s="551">
        <f>+'q28'!$M$37</f>
        <v>951.56</v>
      </c>
    </row>
    <row r="39" spans="1:13">
      <c r="B39" t="str">
        <f>+Aux!$C$171</f>
        <v>Oper.de inst.e máq.e trab.mont.</v>
      </c>
      <c r="C39" s="551">
        <f>+'q28'!$C$43</f>
        <v>647.15</v>
      </c>
      <c r="D39" s="551">
        <f>+'q28'!$D$43</f>
        <v>652.71</v>
      </c>
      <c r="E39" s="551">
        <f>+'q28'!$E$43</f>
        <v>659.28</v>
      </c>
      <c r="F39" s="551">
        <f>+'q28'!$F$43</f>
        <v>670.89</v>
      </c>
      <c r="G39" s="551">
        <f>+'q28'!$G$43</f>
        <v>689.84</v>
      </c>
      <c r="H39" s="551">
        <f>+'q28'!$H$43</f>
        <v>719.5</v>
      </c>
      <c r="I39" s="551">
        <f>+'q28'!$I$43</f>
        <v>749.68</v>
      </c>
      <c r="J39" s="551">
        <f>+'q28'!$J$43</f>
        <v>787.59</v>
      </c>
      <c r="K39" s="551">
        <f>+'q28'!$K$43</f>
        <v>816.4</v>
      </c>
      <c r="L39" s="551">
        <f>+'q28'!$L$43</f>
        <v>866.48</v>
      </c>
      <c r="M39" s="551">
        <f>+'q28'!$M$43</f>
        <v>925.47</v>
      </c>
    </row>
    <row r="40" spans="1:13">
      <c r="B40" t="str">
        <f>+Aux!$C$172</f>
        <v>Trabalhadores não qualificados</v>
      </c>
      <c r="C40" s="551">
        <f>+'q28'!$C$47</f>
        <v>563.61</v>
      </c>
      <c r="D40" s="551">
        <f>+'q28'!$D$47</f>
        <v>575.77</v>
      </c>
      <c r="E40" s="551">
        <f>+'q28'!$E$47</f>
        <v>583.21</v>
      </c>
      <c r="F40" s="551">
        <f>+'q28'!$F$47</f>
        <v>602.21</v>
      </c>
      <c r="G40" s="551">
        <f>+'q28'!$G$47</f>
        <v>628.91999999999996</v>
      </c>
      <c r="H40" s="551">
        <f>+'q28'!$H$47</f>
        <v>660.17</v>
      </c>
      <c r="I40" s="551">
        <f>+'q28'!$I$47</f>
        <v>687.66</v>
      </c>
      <c r="J40" s="551">
        <f>+'q28'!$J$47</f>
        <v>719.43</v>
      </c>
      <c r="K40" s="551">
        <f>+'q28'!$K$47</f>
        <v>758.99</v>
      </c>
      <c r="L40" s="551">
        <f>+'q28'!$L$47</f>
        <v>801.61</v>
      </c>
      <c r="M40" s="551">
        <f>+'q28'!$M$47</f>
        <v>853.75</v>
      </c>
    </row>
    <row r="41" spans="1:13">
      <c r="B41" t="str">
        <f>+Aux!$C$173</f>
        <v>Trabalhadores sem profissão atribuida</v>
      </c>
      <c r="C41" s="551">
        <f>+'q28'!$C$54</f>
        <v>1729.92</v>
      </c>
      <c r="D41" s="551">
        <f>+'q28'!$D$54</f>
        <v>1665.15</v>
      </c>
      <c r="E41" s="551">
        <f>+'q28'!$E$54</f>
        <v>1962.04</v>
      </c>
      <c r="F41" s="551">
        <f>+'q28'!$F$54</f>
        <v>1816.54</v>
      </c>
      <c r="G41" s="551">
        <f>+'q28'!$G$54</f>
        <v>1986.74</v>
      </c>
      <c r="H41" s="551">
        <f>+'q28'!$H$54</f>
        <v>1694.97</v>
      </c>
      <c r="I41" s="551">
        <f>+'q28'!$I$54</f>
        <v>1909.38</v>
      </c>
      <c r="J41" s="551">
        <f>+'q28'!$J$54</f>
        <v>2041.63</v>
      </c>
      <c r="K41" s="551">
        <f>+'q28'!$K$54</f>
        <v>2131.42</v>
      </c>
      <c r="L41" s="551">
        <f>+'q28'!$L$54</f>
        <v>2254.4699999999998</v>
      </c>
      <c r="M41" s="551">
        <f>+'q28'!$M$54</f>
        <v>2853.07</v>
      </c>
    </row>
    <row r="42" spans="1:13">
      <c r="B42" s="456" t="s">
        <v>12</v>
      </c>
      <c r="C42" s="551">
        <f>+'q28'!$C$5</f>
        <v>912.18</v>
      </c>
      <c r="D42" s="551">
        <f>+'q28'!$D$5</f>
        <v>909.49</v>
      </c>
      <c r="E42" s="551">
        <f>+'q28'!$E$5</f>
        <v>913.93</v>
      </c>
      <c r="F42" s="551">
        <f>+'q28'!$F$5</f>
        <v>924.94</v>
      </c>
      <c r="G42" s="551">
        <f>+'q28'!$G$5</f>
        <v>943</v>
      </c>
      <c r="H42" s="551">
        <f>+'q28'!$H$5</f>
        <v>970.42</v>
      </c>
      <c r="I42" s="551">
        <f>+'q28'!$I$5</f>
        <v>1005.09</v>
      </c>
      <c r="J42" s="551">
        <f>+'q28'!$J$5</f>
        <v>1041.99</v>
      </c>
      <c r="K42" s="551">
        <f>+'q28'!$K$5</f>
        <v>1082.77</v>
      </c>
      <c r="L42" s="551">
        <f>+'q28'!$L$5</f>
        <v>1143.45</v>
      </c>
      <c r="M42" s="551">
        <f>+'q28'!$M$5</f>
        <v>1219.8699999999999</v>
      </c>
    </row>
    <row r="45" spans="1:13">
      <c r="A45" s="457" t="s">
        <v>785</v>
      </c>
      <c r="C45" s="457">
        <f>+'q29'!$C$4</f>
        <v>2013</v>
      </c>
      <c r="D45" s="457">
        <f>+'q29'!$D$4</f>
        <v>2014</v>
      </c>
      <c r="E45" s="457">
        <f>+'q29'!$E$4</f>
        <v>2015</v>
      </c>
      <c r="F45" s="457">
        <f>+'q29'!$F$4</f>
        <v>2016</v>
      </c>
      <c r="G45" s="457">
        <f>+'q29'!$G$4</f>
        <v>2017</v>
      </c>
      <c r="H45" s="457">
        <f>+'q29'!$H$4</f>
        <v>2018</v>
      </c>
      <c r="I45" s="457">
        <f>+'q29'!$I$4</f>
        <v>2019</v>
      </c>
      <c r="J45" s="457">
        <f>+'q29'!$J$4</f>
        <v>2020</v>
      </c>
      <c r="K45" s="457">
        <f>+'q29'!$K$4</f>
        <v>2021</v>
      </c>
      <c r="L45" s="457">
        <f>+'q29'!$L$4</f>
        <v>2022</v>
      </c>
      <c r="M45" s="457">
        <f>+'q29'!$M$4</f>
        <v>2023</v>
      </c>
    </row>
    <row r="46" spans="1:13">
      <c r="A46" s="498" t="s">
        <v>302</v>
      </c>
      <c r="B46" t="str">
        <f>+Aux!$C$164</f>
        <v>Repres. poder leg. e de órgãos exec., dirig., diret. e gestores executivos</v>
      </c>
      <c r="C46" s="551">
        <f>+'q29'!$C$6</f>
        <v>12.12</v>
      </c>
      <c r="D46" s="551">
        <f>+'q29'!$D$6</f>
        <v>12.03</v>
      </c>
      <c r="E46" s="551">
        <f>+'q29'!$E$6</f>
        <v>12.14</v>
      </c>
      <c r="F46" s="551">
        <f>+'q29'!$F$6</f>
        <v>12.33</v>
      </c>
      <c r="G46" s="551">
        <f>+'q29'!$G$6</f>
        <v>12.52</v>
      </c>
      <c r="H46" s="551">
        <f>+'q29'!$H$6</f>
        <v>12.82</v>
      </c>
      <c r="I46" s="551">
        <f>+'q29'!$I$6</f>
        <v>13.15</v>
      </c>
      <c r="J46" s="551">
        <f>+'q29'!$J$6</f>
        <v>13.57</v>
      </c>
      <c r="K46" s="551">
        <f>+'q29'!$K$6</f>
        <v>14</v>
      </c>
      <c r="L46" s="551">
        <f>+'q29'!$L$6</f>
        <v>14.63</v>
      </c>
      <c r="M46" s="551">
        <f>+'q29'!$M$6</f>
        <v>15.43</v>
      </c>
    </row>
    <row r="47" spans="1:13">
      <c r="A47" s="498" t="s">
        <v>783</v>
      </c>
      <c r="B47" t="str">
        <f>+Aux!$C$165</f>
        <v>Especial.das ativ.intelet.e cientif.</v>
      </c>
      <c r="C47" s="551">
        <f>+'q29'!$C$11</f>
        <v>9.4499999999999993</v>
      </c>
      <c r="D47" s="551">
        <f>+'q29'!$D$11</f>
        <v>9.26</v>
      </c>
      <c r="E47" s="551">
        <f>+'q29'!$E$11</f>
        <v>9.2200000000000006</v>
      </c>
      <c r="F47" s="551">
        <f>+'q29'!$F$11</f>
        <v>9.3000000000000007</v>
      </c>
      <c r="G47" s="551">
        <f>+'q29'!$G$11</f>
        <v>9.34</v>
      </c>
      <c r="H47" s="551">
        <f>+'q29'!$H$11</f>
        <v>9.5</v>
      </c>
      <c r="I47" s="551">
        <f>+'q29'!$I$11</f>
        <v>9.69</v>
      </c>
      <c r="J47" s="551">
        <f>+'q29'!$J$11</f>
        <v>9.9</v>
      </c>
      <c r="K47" s="551">
        <f>+'q29'!$K$11</f>
        <v>10.210000000000001</v>
      </c>
      <c r="L47" s="551">
        <f>+'q29'!$L$11</f>
        <v>10.7</v>
      </c>
      <c r="M47" s="551">
        <f>+'q29'!$M$11</f>
        <v>11.33</v>
      </c>
    </row>
    <row r="48" spans="1:13">
      <c r="B48" t="str">
        <f>+Aux!$C$166</f>
        <v>Técn. e prof. de nível intermédio</v>
      </c>
      <c r="C48" s="551">
        <f>+'q29'!$C$18</f>
        <v>7.06</v>
      </c>
      <c r="D48" s="551">
        <f>+'q29'!$D$18</f>
        <v>6.96</v>
      </c>
      <c r="E48" s="551">
        <f>+'q29'!$E$18</f>
        <v>7.07</v>
      </c>
      <c r="F48" s="551">
        <f>+'q29'!$F$18</f>
        <v>7.12</v>
      </c>
      <c r="G48" s="551">
        <f>+'q29'!$G$18</f>
        <v>7.21</v>
      </c>
      <c r="H48" s="551">
        <f>+'q29'!$H$18</f>
        <v>7.34</v>
      </c>
      <c r="I48" s="551">
        <f>+'q29'!$I$18</f>
        <v>7.52</v>
      </c>
      <c r="J48" s="551">
        <f>+'q29'!$J$18</f>
        <v>7.69</v>
      </c>
      <c r="K48" s="551">
        <f>+'q29'!$K$18</f>
        <v>7.78</v>
      </c>
      <c r="L48" s="551">
        <f>+'q29'!$L$18</f>
        <v>8.17</v>
      </c>
      <c r="M48" s="551">
        <f>+'q29'!$M$18</f>
        <v>8.6999999999999993</v>
      </c>
    </row>
    <row r="49" spans="1:13">
      <c r="B49" t="str">
        <f>+Aux!$C$167</f>
        <v>Pessoal administrativo</v>
      </c>
      <c r="C49" s="551">
        <f>+'q29'!$C$24</f>
        <v>4.96</v>
      </c>
      <c r="D49" s="551">
        <f>+'q29'!$D$24</f>
        <v>4.9400000000000004</v>
      </c>
      <c r="E49" s="551">
        <f>+'q29'!$E$24</f>
        <v>4.92</v>
      </c>
      <c r="F49" s="551">
        <f>+'q29'!$F$24</f>
        <v>4.95</v>
      </c>
      <c r="G49" s="551">
        <f>+'q29'!$G$24</f>
        <v>5.03</v>
      </c>
      <c r="H49" s="551">
        <f>+'q29'!$H$24</f>
        <v>5.14</v>
      </c>
      <c r="I49" s="551">
        <f>+'q29'!$I$24</f>
        <v>5.26</v>
      </c>
      <c r="J49" s="551">
        <f>+'q29'!$J$24</f>
        <v>5.45</v>
      </c>
      <c r="K49" s="551">
        <f>+'q29'!$K$24</f>
        <v>5.61</v>
      </c>
      <c r="L49" s="551">
        <f>+'q29'!$L$24</f>
        <v>5.81</v>
      </c>
      <c r="M49" s="551">
        <f>+'q29'!$M$24</f>
        <v>6.18</v>
      </c>
    </row>
    <row r="50" spans="1:13">
      <c r="B50" t="str">
        <f>+Aux!$C$168</f>
        <v>Trab.dos serv.pessoais, de prot.e segur.e vendedores</v>
      </c>
      <c r="C50" s="551">
        <f>+'q29'!$C$29</f>
        <v>3.67</v>
      </c>
      <c r="D50" s="551">
        <f>+'q29'!$D$29</f>
        <v>3.7</v>
      </c>
      <c r="E50" s="551">
        <f>+'q29'!$E$29</f>
        <v>3.73</v>
      </c>
      <c r="F50" s="551">
        <f>+'q29'!$F$29</f>
        <v>3.81</v>
      </c>
      <c r="G50" s="551">
        <f>+'q29'!$G$29</f>
        <v>3.91</v>
      </c>
      <c r="H50" s="551">
        <f>+'q29'!$H$29</f>
        <v>4.04</v>
      </c>
      <c r="I50" s="551">
        <f>+'q29'!$I$29</f>
        <v>4.21</v>
      </c>
      <c r="J50" s="551">
        <f>+'q29'!$J$29</f>
        <v>4.3899999999999997</v>
      </c>
      <c r="K50" s="551">
        <f>+'q29'!$K$29</f>
        <v>4.54</v>
      </c>
      <c r="L50" s="551">
        <f>+'q29'!$L$29</f>
        <v>4.8099999999999996</v>
      </c>
      <c r="M50" s="551">
        <f>+'q29'!$M$29</f>
        <v>5.18</v>
      </c>
    </row>
    <row r="51" spans="1:13">
      <c r="B51" t="str">
        <f>+Aux!$C$169</f>
        <v>Agric.e trab.qualif.da agric.,da pesca e da floresta</v>
      </c>
      <c r="C51" s="551">
        <f>+'q29'!$C$34</f>
        <v>3.51</v>
      </c>
      <c r="D51" s="551">
        <f>+'q29'!$D$34</f>
        <v>3.53</v>
      </c>
      <c r="E51" s="551">
        <f>+'q29'!$E$34</f>
        <v>3.64</v>
      </c>
      <c r="F51" s="551">
        <f>+'q29'!$F$34</f>
        <v>3.81</v>
      </c>
      <c r="G51" s="551">
        <f>+'q29'!$G$34</f>
        <v>3.85</v>
      </c>
      <c r="H51" s="551">
        <f>+'q29'!$H$34</f>
        <v>4.04</v>
      </c>
      <c r="I51" s="551">
        <f>+'q29'!$I$34</f>
        <v>4.24</v>
      </c>
      <c r="J51" s="551">
        <f>+'q29'!$J$34</f>
        <v>4.21</v>
      </c>
      <c r="K51" s="551">
        <f>+'q29'!$K$34</f>
        <v>4.41</v>
      </c>
      <c r="L51" s="551">
        <f>+'q29'!$L$34</f>
        <v>4.6900000000000004</v>
      </c>
      <c r="M51" s="551">
        <f>+'q29'!$M$34</f>
        <v>5</v>
      </c>
    </row>
    <row r="52" spans="1:13">
      <c r="B52" t="str">
        <f>+Aux!$C$170</f>
        <v>Trab.qualif.da ind.,constr.e artific.</v>
      </c>
      <c r="C52" s="551">
        <f>+'q29'!$C$37</f>
        <v>3.93</v>
      </c>
      <c r="D52" s="551">
        <f>+'q29'!$D$37</f>
        <v>3.95</v>
      </c>
      <c r="E52" s="551">
        <f>+'q29'!$E$37</f>
        <v>3.99</v>
      </c>
      <c r="F52" s="551">
        <f>+'q29'!$F$37</f>
        <v>4.0599999999999996</v>
      </c>
      <c r="G52" s="551">
        <f>+'q29'!$G$37</f>
        <v>4.16</v>
      </c>
      <c r="H52" s="551">
        <f>+'q29'!$H$37</f>
        <v>4.3099999999999996</v>
      </c>
      <c r="I52" s="551">
        <f>+'q29'!$I$37</f>
        <v>4.46</v>
      </c>
      <c r="J52" s="551">
        <f>+'q29'!$J$37</f>
        <v>4.62</v>
      </c>
      <c r="K52" s="551">
        <f>+'q29'!$K$37</f>
        <v>4.8099999999999996</v>
      </c>
      <c r="L52" s="551">
        <f>+'q29'!$L$37</f>
        <v>5.0599999999999996</v>
      </c>
      <c r="M52" s="551">
        <f>+'q29'!$M$37</f>
        <v>5.41</v>
      </c>
    </row>
    <row r="53" spans="1:13">
      <c r="B53" t="str">
        <f>+Aux!$C$171</f>
        <v>Oper.de inst.e máq.e trab.mont.</v>
      </c>
      <c r="C53" s="551">
        <f>+'q29'!$C$43</f>
        <v>3.71</v>
      </c>
      <c r="D53" s="551">
        <f>+'q29'!$D$43</f>
        <v>3.74</v>
      </c>
      <c r="E53" s="551">
        <f>+'q29'!$E$43</f>
        <v>3.77</v>
      </c>
      <c r="F53" s="551">
        <f>+'q29'!$F$43</f>
        <v>3.84</v>
      </c>
      <c r="G53" s="551">
        <f>+'q29'!$G$43</f>
        <v>3.95</v>
      </c>
      <c r="H53" s="551">
        <f>+'q29'!$H$43</f>
        <v>4.1100000000000003</v>
      </c>
      <c r="I53" s="551">
        <f>+'q29'!$I$43</f>
        <v>4.28</v>
      </c>
      <c r="J53" s="551">
        <f>+'q29'!$J$43</f>
        <v>4.5</v>
      </c>
      <c r="K53" s="551">
        <f>+'q29'!$K$43</f>
        <v>4.67</v>
      </c>
      <c r="L53" s="551">
        <f>+'q29'!$L$43</f>
        <v>4.95</v>
      </c>
      <c r="M53" s="551">
        <f>+'q29'!$M$43</f>
        <v>5.33</v>
      </c>
    </row>
    <row r="54" spans="1:13">
      <c r="B54" t="str">
        <f>+Aux!$C$172</f>
        <v>Trabalhadores não qualificados</v>
      </c>
      <c r="C54" s="551">
        <f>+'q29'!$C$47</f>
        <v>3.24</v>
      </c>
      <c r="D54" s="551">
        <f>+'q29'!$D$47</f>
        <v>3.3</v>
      </c>
      <c r="E54" s="551">
        <f>+'q29'!$E$47</f>
        <v>3.34</v>
      </c>
      <c r="F54" s="551">
        <f>+'q29'!$F$47</f>
        <v>3.45</v>
      </c>
      <c r="G54" s="551">
        <f>+'q29'!$G$47</f>
        <v>3.59</v>
      </c>
      <c r="H54" s="551">
        <f>+'q29'!$H$47</f>
        <v>3.76</v>
      </c>
      <c r="I54" s="551">
        <f>+'q29'!$I$47</f>
        <v>3.92</v>
      </c>
      <c r="J54" s="551">
        <f>+'q29'!$J$47</f>
        <v>4.1100000000000003</v>
      </c>
      <c r="K54" s="551">
        <f>+'q29'!$K$47</f>
        <v>4.32</v>
      </c>
      <c r="L54" s="551">
        <f>+'q29'!$L$47</f>
        <v>4.5599999999999996</v>
      </c>
      <c r="M54" s="551">
        <f>+'q29'!$M$47</f>
        <v>4.8600000000000003</v>
      </c>
    </row>
    <row r="55" spans="1:13">
      <c r="B55" t="str">
        <f>+Aux!$C$173</f>
        <v>Trabalhadores sem profissão atribuida</v>
      </c>
      <c r="C55" s="551">
        <f>+'q29'!$C$54</f>
        <v>9.94</v>
      </c>
      <c r="D55" s="551">
        <f>+'q29'!$D$54</f>
        <v>9.48</v>
      </c>
      <c r="E55" s="551">
        <f>+'q29'!$E$54</f>
        <v>11.05</v>
      </c>
      <c r="F55" s="551">
        <f>+'q29'!$F$54</f>
        <v>10.43</v>
      </c>
      <c r="G55" s="551">
        <f>+'q29'!$G$54</f>
        <v>11.29</v>
      </c>
      <c r="H55" s="551">
        <f>+'q29'!$H$54</f>
        <v>9.69</v>
      </c>
      <c r="I55" s="551">
        <f>+'q29'!$I$54</f>
        <v>11.13</v>
      </c>
      <c r="J55" s="551">
        <f>+'q29'!$J$54</f>
        <v>12</v>
      </c>
      <c r="K55" s="551">
        <f>+'q29'!$K$54</f>
        <v>12.53</v>
      </c>
      <c r="L55" s="551">
        <f>+'q29'!$L$54</f>
        <v>13.29</v>
      </c>
      <c r="M55" s="551">
        <f>+'q29'!$M$54</f>
        <v>16.690000000000001</v>
      </c>
    </row>
    <row r="56" spans="1:13">
      <c r="B56" s="456" t="s">
        <v>12</v>
      </c>
      <c r="C56" s="551">
        <f>+'q29'!$C$5</f>
        <v>5.19</v>
      </c>
      <c r="D56" s="551">
        <f>+'q29'!$D$5</f>
        <v>5.16</v>
      </c>
      <c r="E56" s="551">
        <f>+'q29'!$E$5</f>
        <v>5.18</v>
      </c>
      <c r="F56" s="551">
        <f>+'q29'!$F$5</f>
        <v>5.24</v>
      </c>
      <c r="G56" s="551">
        <f>+'q29'!$G$5</f>
        <v>5.34</v>
      </c>
      <c r="H56" s="551">
        <f>+'q29'!$H$5</f>
        <v>5.49</v>
      </c>
      <c r="I56" s="551">
        <f>+'q29'!$I$5</f>
        <v>5.68</v>
      </c>
      <c r="J56" s="551">
        <f>+'q29'!$J$5</f>
        <v>5.92</v>
      </c>
      <c r="K56" s="551">
        <f>+'q29'!$K$5</f>
        <v>6.13</v>
      </c>
      <c r="L56" s="551">
        <f>+'q29'!$L$5</f>
        <v>6.45</v>
      </c>
      <c r="M56" s="551">
        <f>+'q29'!$M$5</f>
        <v>6.88</v>
      </c>
    </row>
    <row r="59" spans="1:13">
      <c r="A59" s="457" t="s">
        <v>784</v>
      </c>
    </row>
    <row r="60" spans="1:13">
      <c r="A60" s="498" t="s">
        <v>303</v>
      </c>
      <c r="C60" s="457">
        <f>+'q39'!$C$4</f>
        <v>2013</v>
      </c>
      <c r="D60" s="457">
        <f>+'q39'!$D$4</f>
        <v>2014</v>
      </c>
      <c r="E60" s="457">
        <f>+'q39'!$E$4</f>
        <v>2015</v>
      </c>
      <c r="F60" s="457">
        <f>+'q39'!$F$4</f>
        <v>2016</v>
      </c>
      <c r="G60" s="457">
        <f>+'q39'!$G$4</f>
        <v>2017</v>
      </c>
      <c r="H60" s="457">
        <f>+'q39'!$H$4</f>
        <v>2018</v>
      </c>
      <c r="I60" s="457">
        <f>+'q39'!$I$4</f>
        <v>2019</v>
      </c>
      <c r="J60" s="457">
        <f>+'q39'!$J$4</f>
        <v>2020</v>
      </c>
      <c r="K60" s="457">
        <f>+'q39'!$K$4</f>
        <v>2021</v>
      </c>
      <c r="L60" s="457">
        <f>+'q39'!$L$4</f>
        <v>2022</v>
      </c>
      <c r="M60" s="457">
        <f>+'q39'!$M$4</f>
        <v>2023</v>
      </c>
    </row>
    <row r="61" spans="1:13">
      <c r="A61" s="498" t="s">
        <v>782</v>
      </c>
      <c r="B61" t="str">
        <f>+Aux!$C$164</f>
        <v>Repres. poder leg. e de órgãos exec., dirig., diret. e gestores executivos</v>
      </c>
      <c r="C61" s="551">
        <f>+'q39'!$C$6</f>
        <v>2419.08</v>
      </c>
      <c r="D61" s="551">
        <f>+'q39'!$D$6</f>
        <v>2418.46</v>
      </c>
      <c r="E61" s="551">
        <f>+'q39'!$E$6</f>
        <v>2441.31</v>
      </c>
      <c r="F61" s="551">
        <f>+'q39'!$F$6</f>
        <v>2466.96</v>
      </c>
      <c r="G61" s="551">
        <f>+'q39'!$G$6</f>
        <v>2498.7199999999998</v>
      </c>
      <c r="H61" s="551">
        <f>+'q39'!$H$6</f>
        <v>2561.62</v>
      </c>
      <c r="I61" s="551">
        <f>+'q39'!$I$6</f>
        <v>2612.42</v>
      </c>
      <c r="J61" s="551">
        <f>+'q39'!$J$6</f>
        <v>2704.83</v>
      </c>
      <c r="K61" s="551">
        <f>+'q39'!$K$6</f>
        <v>2777.23</v>
      </c>
      <c r="L61" s="551">
        <f>+'q39'!$L$6</f>
        <v>2899.85</v>
      </c>
      <c r="M61" s="551">
        <f>+'q39'!$M$6</f>
        <v>3072.68</v>
      </c>
    </row>
    <row r="62" spans="1:13">
      <c r="B62" t="str">
        <f>+Aux!$C$165</f>
        <v>Especial.das ativ.intelet.e cientif.</v>
      </c>
      <c r="C62" s="551">
        <f>+'q39'!$C$11</f>
        <v>1810.42</v>
      </c>
      <c r="D62" s="551">
        <f>+'q39'!$D$11</f>
        <v>1783.54</v>
      </c>
      <c r="E62" s="551">
        <f>+'q39'!$E$11</f>
        <v>1779.9</v>
      </c>
      <c r="F62" s="551">
        <f>+'q39'!$F$11</f>
        <v>1787.99</v>
      </c>
      <c r="G62" s="551">
        <f>+'q39'!$G$11</f>
        <v>1813.14</v>
      </c>
      <c r="H62" s="551">
        <f>+'q39'!$H$11</f>
        <v>1857.37</v>
      </c>
      <c r="I62" s="551">
        <f>+'q39'!$I$11</f>
        <v>1899.12</v>
      </c>
      <c r="J62" s="551">
        <f>+'q39'!$J$11</f>
        <v>1934.48</v>
      </c>
      <c r="K62" s="551">
        <f>+'q39'!$K$11</f>
        <v>1994.66</v>
      </c>
      <c r="L62" s="551">
        <f>+'q39'!$L$11</f>
        <v>2097.65</v>
      </c>
      <c r="M62" s="551">
        <f>+'q39'!$M$11</f>
        <v>2222.79</v>
      </c>
    </row>
    <row r="63" spans="1:13">
      <c r="B63" t="str">
        <f>+Aux!$C$166</f>
        <v>Técn. e prof. de nível intermédio</v>
      </c>
      <c r="C63" s="551">
        <f>+'q39'!$C$18</f>
        <v>1483.66</v>
      </c>
      <c r="D63" s="551">
        <f>+'q39'!$D$18</f>
        <v>1469.88</v>
      </c>
      <c r="E63" s="551">
        <f>+'q39'!$E$18</f>
        <v>1484.25</v>
      </c>
      <c r="F63" s="551">
        <f>+'q39'!$F$18</f>
        <v>1494.24</v>
      </c>
      <c r="G63" s="551">
        <f>+'q39'!$G$18</f>
        <v>1518.37</v>
      </c>
      <c r="H63" s="551">
        <f>+'q39'!$H$18</f>
        <v>1554.05</v>
      </c>
      <c r="I63" s="551">
        <f>+'q39'!$I$18</f>
        <v>1583.18</v>
      </c>
      <c r="J63" s="551">
        <f>+'q39'!$J$18</f>
        <v>1589.59</v>
      </c>
      <c r="K63" s="551">
        <f>+'q39'!$K$18</f>
        <v>1608.11</v>
      </c>
      <c r="L63" s="551">
        <f>+'q39'!$L$18</f>
        <v>1705.92</v>
      </c>
      <c r="M63" s="551">
        <f>+'q39'!$M$18</f>
        <v>1836.79</v>
      </c>
    </row>
    <row r="64" spans="1:13">
      <c r="B64" t="str">
        <f>+Aux!$C$167</f>
        <v>Pessoal administrativo</v>
      </c>
      <c r="C64" s="551">
        <f>+'q39'!$C$24</f>
        <v>1047.51</v>
      </c>
      <c r="D64" s="551">
        <f>+'q39'!$D$24</f>
        <v>1052.46</v>
      </c>
      <c r="E64" s="551">
        <f>+'q39'!$E$24</f>
        <v>1042.17</v>
      </c>
      <c r="F64" s="551">
        <f>+'q39'!$F$24</f>
        <v>1046.05</v>
      </c>
      <c r="G64" s="551">
        <f>+'q39'!$G$24</f>
        <v>1063.6600000000001</v>
      </c>
      <c r="H64" s="551">
        <f>+'q39'!$H$24</f>
        <v>1088.81</v>
      </c>
      <c r="I64" s="551">
        <f>+'q39'!$I$24</f>
        <v>1114.3399999999999</v>
      </c>
      <c r="J64" s="551">
        <f>+'q39'!$J$24</f>
        <v>1141.82</v>
      </c>
      <c r="K64" s="551">
        <f>+'q39'!$K$24</f>
        <v>1173.21</v>
      </c>
      <c r="L64" s="551">
        <f>+'q39'!$L$24</f>
        <v>1218.22</v>
      </c>
      <c r="M64" s="551">
        <f>+'q39'!$M$24</f>
        <v>1303.32</v>
      </c>
    </row>
    <row r="65" spans="2:13">
      <c r="B65" t="str">
        <f>+Aux!$C$168</f>
        <v>Trab.dos serv.pessoais, de prot.e segur.e vendedores</v>
      </c>
      <c r="C65" s="551">
        <f>+'q39'!$C$29</f>
        <v>752.62</v>
      </c>
      <c r="D65" s="551">
        <f>+'q39'!$D$29</f>
        <v>759.92</v>
      </c>
      <c r="E65" s="551">
        <f>+'q39'!$E$29</f>
        <v>767.89</v>
      </c>
      <c r="F65" s="551">
        <f>+'q39'!$F$29</f>
        <v>785.26</v>
      </c>
      <c r="G65" s="551">
        <f>+'q39'!$G$29</f>
        <v>808.9</v>
      </c>
      <c r="H65" s="551">
        <f>+'q39'!$H$29</f>
        <v>836.95</v>
      </c>
      <c r="I65" s="551">
        <f>+'q39'!$I$29</f>
        <v>873.06</v>
      </c>
      <c r="J65" s="551">
        <f>+'q39'!$J$29</f>
        <v>899.3</v>
      </c>
      <c r="K65" s="551">
        <f>+'q39'!$K$29</f>
        <v>936.3</v>
      </c>
      <c r="L65" s="551">
        <f>+'q39'!$L$29</f>
        <v>998.48</v>
      </c>
      <c r="M65" s="551">
        <f>+'q39'!$M$29</f>
        <v>1078.9100000000001</v>
      </c>
    </row>
    <row r="66" spans="2:13">
      <c r="B66" t="str">
        <f>+Aux!$C$169</f>
        <v>Agric.e trab.qualif.da agric.,da pesca e da floresta</v>
      </c>
      <c r="C66" s="551">
        <f>+'q39'!$C$34</f>
        <v>744.8</v>
      </c>
      <c r="D66" s="551">
        <f>+'q39'!$D$34</f>
        <v>744.86</v>
      </c>
      <c r="E66" s="551">
        <f>+'q39'!$E$34</f>
        <v>767.63</v>
      </c>
      <c r="F66" s="551">
        <f>+'q39'!$F$34</f>
        <v>799.91</v>
      </c>
      <c r="G66" s="551">
        <f>+'q39'!$G$34</f>
        <v>801.18</v>
      </c>
      <c r="H66" s="551">
        <f>+'q39'!$H$34</f>
        <v>853.06</v>
      </c>
      <c r="I66" s="551">
        <f>+'q39'!$I$34</f>
        <v>914.72</v>
      </c>
      <c r="J66" s="551">
        <f>+'q39'!$J$34</f>
        <v>883.1</v>
      </c>
      <c r="K66" s="551">
        <f>+'q39'!$K$34</f>
        <v>942.8</v>
      </c>
      <c r="L66" s="551">
        <f>+'q39'!$L$34</f>
        <v>994.21</v>
      </c>
      <c r="M66" s="551">
        <f>+'q39'!$M$34</f>
        <v>1062.6099999999999</v>
      </c>
    </row>
    <row r="67" spans="2:13">
      <c r="B67" t="str">
        <f>+Aux!$C$170</f>
        <v>Trab.qualif.da ind.,constr.e artific.</v>
      </c>
      <c r="C67" s="551">
        <f>+'q39'!$C$37</f>
        <v>832.92</v>
      </c>
      <c r="D67" s="551">
        <f>+'q39'!$D$37</f>
        <v>840</v>
      </c>
      <c r="E67" s="551">
        <f>+'q39'!$E$37</f>
        <v>846.87</v>
      </c>
      <c r="F67" s="551">
        <f>+'q39'!$F$37</f>
        <v>857.96</v>
      </c>
      <c r="G67" s="551">
        <f>+'q39'!$G$37</f>
        <v>884.52</v>
      </c>
      <c r="H67" s="551">
        <f>+'q39'!$H$37</f>
        <v>920.4</v>
      </c>
      <c r="I67" s="551">
        <f>+'q39'!$I$37</f>
        <v>953.05</v>
      </c>
      <c r="J67" s="551">
        <f>+'q39'!$J$37</f>
        <v>970.12</v>
      </c>
      <c r="K67" s="551">
        <f>+'q39'!$K$37</f>
        <v>1004.57</v>
      </c>
      <c r="L67" s="551">
        <f>+'q39'!$L$37</f>
        <v>1066.29</v>
      </c>
      <c r="M67" s="551">
        <f>+'q39'!$M$37</f>
        <v>1154.1400000000001</v>
      </c>
    </row>
    <row r="68" spans="2:13">
      <c r="B68" t="str">
        <f>+Aux!$C$171</f>
        <v>Oper.de inst.e máq.e trab.mont.</v>
      </c>
      <c r="C68" s="551">
        <f>+'q39'!$C$43</f>
        <v>832.7</v>
      </c>
      <c r="D68" s="551">
        <f>+'q39'!$D$43</f>
        <v>842.42</v>
      </c>
      <c r="E68" s="551">
        <f>+'q39'!$E$43</f>
        <v>854.07</v>
      </c>
      <c r="F68" s="551">
        <f>+'q39'!$F$43</f>
        <v>874.93</v>
      </c>
      <c r="G68" s="551">
        <f>+'q39'!$G$43</f>
        <v>906.93</v>
      </c>
      <c r="H68" s="551">
        <f>+'q39'!$H$43</f>
        <v>946.99</v>
      </c>
      <c r="I68" s="551">
        <f>+'q39'!$I$43</f>
        <v>992.07</v>
      </c>
      <c r="J68" s="551">
        <f>+'q39'!$J$43</f>
        <v>1044.52</v>
      </c>
      <c r="K68" s="551">
        <f>+'q39'!$K$43</f>
        <v>1078.25</v>
      </c>
      <c r="L68" s="551">
        <f>+'q39'!$L$43</f>
        <v>1147.77</v>
      </c>
      <c r="M68" s="551">
        <f>+'q39'!$M$43</f>
        <v>1235.24</v>
      </c>
    </row>
    <row r="69" spans="2:13">
      <c r="B69" t="str">
        <f>+Aux!$C$172</f>
        <v>Trabalhadores não qualificados</v>
      </c>
      <c r="C69" s="551">
        <f>+'q39'!$C$47</f>
        <v>666.94</v>
      </c>
      <c r="D69" s="551">
        <f>+'q39'!$D$47</f>
        <v>681.09</v>
      </c>
      <c r="E69" s="551">
        <f>+'q39'!$E$47</f>
        <v>688.24</v>
      </c>
      <c r="F69" s="551">
        <f>+'q39'!$F$47</f>
        <v>707.94</v>
      </c>
      <c r="G69" s="551">
        <f>+'q39'!$G$47</f>
        <v>743.43</v>
      </c>
      <c r="H69" s="551">
        <f>+'q39'!$H$47</f>
        <v>783.76</v>
      </c>
      <c r="I69" s="551">
        <f>+'q39'!$I$47</f>
        <v>816.04</v>
      </c>
      <c r="J69" s="551">
        <f>+'q39'!$J$47</f>
        <v>848.69</v>
      </c>
      <c r="K69" s="551">
        <f>+'q39'!$K$47</f>
        <v>895.67</v>
      </c>
      <c r="L69" s="551">
        <f>+'q39'!$L$47</f>
        <v>942.93</v>
      </c>
      <c r="M69" s="551">
        <f>+'q39'!$M$47</f>
        <v>1007.47</v>
      </c>
    </row>
    <row r="70" spans="2:13">
      <c r="B70" t="str">
        <f>+Aux!$C$173</f>
        <v>Trabalhadores sem profissão atribuida</v>
      </c>
      <c r="C70" s="551">
        <f>+'q39'!$C$54</f>
        <v>1938.77</v>
      </c>
      <c r="D70" s="551">
        <f>+'q39'!$D$54</f>
        <v>1872.04</v>
      </c>
      <c r="E70" s="551">
        <f>+'q39'!$E$54</f>
        <v>2276.44</v>
      </c>
      <c r="F70" s="551">
        <f>+'q39'!$F$54</f>
        <v>2020.39</v>
      </c>
      <c r="G70" s="551">
        <f>+'q39'!$G$54</f>
        <v>2216.48</v>
      </c>
      <c r="H70" s="551">
        <f>+'q39'!$H$54</f>
        <v>1911.05</v>
      </c>
      <c r="I70" s="551">
        <f>+'q39'!$I$54</f>
        <v>2143.6799999999998</v>
      </c>
      <c r="J70" s="551">
        <f>+'q39'!$J$54</f>
        <v>2275.4299999999998</v>
      </c>
      <c r="K70" s="551">
        <f>+'q39'!$K$54</f>
        <v>2387.6799999999998</v>
      </c>
      <c r="L70" s="551">
        <f>+'q39'!$L$54</f>
        <v>2512.64</v>
      </c>
      <c r="M70" s="551">
        <f>+'q39'!$M$54</f>
        <v>3169.09</v>
      </c>
    </row>
    <row r="71" spans="2:13">
      <c r="B71" s="456" t="s">
        <v>12</v>
      </c>
      <c r="C71" s="551">
        <f>+'q39'!$C$5</f>
        <v>1093.82</v>
      </c>
      <c r="D71" s="551">
        <f>+'q39'!$D$5</f>
        <v>1093.21</v>
      </c>
      <c r="E71" s="551">
        <f>+'q39'!$E$5</f>
        <v>1096.6600000000001</v>
      </c>
      <c r="F71" s="551">
        <f>+'q39'!$F$5</f>
        <v>1107.8599999999999</v>
      </c>
      <c r="G71" s="551">
        <f>+'q39'!$G$5</f>
        <v>1133.3399999999999</v>
      </c>
      <c r="H71" s="551">
        <f>+'q39'!$H$5</f>
        <v>1170.25</v>
      </c>
      <c r="I71" s="551">
        <f>+'q39'!$I$5</f>
        <v>1209.94</v>
      </c>
      <c r="J71" s="551">
        <f>+'q39'!$J$5</f>
        <v>1250.75</v>
      </c>
      <c r="K71" s="551">
        <f>+'q39'!$K$5</f>
        <v>1294.1099999999999</v>
      </c>
      <c r="L71" s="551">
        <f>+'q39'!$L$5</f>
        <v>1368</v>
      </c>
      <c r="M71" s="551">
        <f>+'q39'!$M$5</f>
        <v>1466.66</v>
      </c>
    </row>
  </sheetData>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59425" r:id="rId4" name="Drop Down 1">
              <controlPr defaultSize="0" autoLine="0" autoPict="0">
                <anchor moveWithCells="1">
                  <from>
                    <xdr:col>19</xdr:col>
                    <xdr:colOff>9525</xdr:colOff>
                    <xdr:row>8</xdr:row>
                    <xdr:rowOff>9525</xdr:rowOff>
                  </from>
                  <to>
                    <xdr:col>19</xdr:col>
                    <xdr:colOff>771525</xdr:colOff>
                    <xdr:row>9</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61E84-DB4C-45B7-AEA9-28705B9530F3}">
  <sheetPr codeName="Folha43"/>
  <dimension ref="A1:BF308"/>
  <sheetViews>
    <sheetView topLeftCell="AB130" zoomScale="120" zoomScaleNormal="120" workbookViewId="0">
      <selection activeCell="AH74" sqref="AH74"/>
    </sheetView>
  </sheetViews>
  <sheetFormatPr defaultColWidth="8.7109375" defaultRowHeight="12"/>
  <cols>
    <col min="1" max="1" width="8.7109375" style="532"/>
    <col min="2" max="2" width="17.140625" style="532" customWidth="1"/>
    <col min="3" max="16" width="8.7109375" style="532"/>
    <col min="17" max="17" width="10.85546875" style="532" bestFit="1" customWidth="1"/>
    <col min="18" max="18" width="8.7109375" style="532"/>
    <col min="19" max="19" width="14.5703125" style="532" customWidth="1"/>
    <col min="20" max="20" width="8.7109375" style="532"/>
    <col min="21" max="21" width="8.85546875" style="532" customWidth="1"/>
    <col min="22" max="22" width="9.28515625" style="532" bestFit="1" customWidth="1"/>
    <col min="23" max="27" width="8.7109375" style="532"/>
    <col min="28" max="29" width="10.7109375" style="532" bestFit="1" customWidth="1"/>
    <col min="30" max="30" width="10.140625" style="532" customWidth="1"/>
    <col min="31" max="16384" width="8.7109375" style="532"/>
  </cols>
  <sheetData>
    <row r="1" spans="1:31">
      <c r="A1" s="502" t="s">
        <v>299</v>
      </c>
      <c r="D1" s="502" t="s">
        <v>388</v>
      </c>
      <c r="Z1" s="775" t="str">
        <f>CONCATENATE(X2,Y2,CHAR(10),X3,X4,X5,X6,X7,CHAR(10),Y7,X8)</f>
        <v>2023:
Existiam 3.296.134 TCO, dos quais 50,1% tinham entre 25 e 44 anos; 
A taxa de feminização era de 47,1%</v>
      </c>
      <c r="AA1" s="775"/>
      <c r="AB1" s="775"/>
      <c r="AC1" s="775"/>
      <c r="AD1" s="775"/>
      <c r="AE1" s="775"/>
    </row>
    <row r="2" spans="1:31">
      <c r="A2" s="509">
        <f>+C16</f>
        <v>2013</v>
      </c>
      <c r="B2" s="532">
        <v>1</v>
      </c>
      <c r="D2" s="532" t="s">
        <v>296</v>
      </c>
      <c r="E2" s="532">
        <v>1</v>
      </c>
      <c r="X2" s="532">
        <f>+P14</f>
        <v>2023</v>
      </c>
      <c r="Y2" s="532" t="s">
        <v>443</v>
      </c>
      <c r="Z2" s="775"/>
      <c r="AA2" s="775"/>
      <c r="AB2" s="775"/>
      <c r="AC2" s="775"/>
      <c r="AD2" s="775"/>
      <c r="AE2" s="775"/>
    </row>
    <row r="3" spans="1:31">
      <c r="A3" s="509">
        <f>+D16</f>
        <v>2014</v>
      </c>
      <c r="B3" s="532">
        <v>2</v>
      </c>
      <c r="D3" s="532" t="s">
        <v>297</v>
      </c>
      <c r="E3" s="532">
        <v>2</v>
      </c>
      <c r="X3" s="532" t="s">
        <v>458</v>
      </c>
      <c r="Z3" s="775"/>
      <c r="AA3" s="775"/>
      <c r="AB3" s="775"/>
      <c r="AC3" s="775"/>
      <c r="AD3" s="775"/>
      <c r="AE3" s="775"/>
    </row>
    <row r="4" spans="1:31">
      <c r="A4" s="509">
        <f>+E16</f>
        <v>2015</v>
      </c>
      <c r="B4" s="532">
        <v>3</v>
      </c>
      <c r="X4" s="541" t="str">
        <f>TEXT(T23,"##.###")</f>
        <v>3.296.134</v>
      </c>
      <c r="Z4" s="775"/>
      <c r="AA4" s="775"/>
      <c r="AB4" s="775"/>
      <c r="AC4" s="775"/>
      <c r="AD4" s="775"/>
      <c r="AE4" s="775"/>
    </row>
    <row r="5" spans="1:31">
      <c r="A5" s="509">
        <f>+F16</f>
        <v>2016</v>
      </c>
      <c r="B5" s="532">
        <v>4</v>
      </c>
      <c r="O5" s="532" t="s">
        <v>387</v>
      </c>
      <c r="X5" s="532" t="s">
        <v>432</v>
      </c>
    </row>
    <row r="6" spans="1:31">
      <c r="A6" s="509">
        <f>+G16</f>
        <v>2017</v>
      </c>
      <c r="B6" s="532">
        <v>5</v>
      </c>
      <c r="X6" s="552" t="str">
        <f>TEXT(V18,"##.###,0%")</f>
        <v>50,1%</v>
      </c>
    </row>
    <row r="7" spans="1:31">
      <c r="A7" s="509">
        <f>+H16</f>
        <v>2018</v>
      </c>
      <c r="B7" s="532">
        <v>6</v>
      </c>
      <c r="X7" s="532" t="s">
        <v>509</v>
      </c>
      <c r="Y7" s="532" t="s">
        <v>459</v>
      </c>
    </row>
    <row r="8" spans="1:31">
      <c r="A8" s="509">
        <f>+I16</f>
        <v>2019</v>
      </c>
      <c r="B8" s="532">
        <v>7</v>
      </c>
      <c r="X8" s="552" t="str">
        <f>TEXT(S24,"##.###,0%")</f>
        <v>47,1%</v>
      </c>
    </row>
    <row r="9" spans="1:31">
      <c r="A9" s="509">
        <f>+J16</f>
        <v>2020</v>
      </c>
      <c r="B9" s="532">
        <v>8</v>
      </c>
      <c r="P9" s="532">
        <v>11</v>
      </c>
    </row>
    <row r="10" spans="1:31">
      <c r="A10" s="509">
        <f>+K16</f>
        <v>2021</v>
      </c>
      <c r="B10" s="532">
        <v>9</v>
      </c>
    </row>
    <row r="11" spans="1:31">
      <c r="A11" s="509">
        <f>+L16</f>
        <v>2022</v>
      </c>
      <c r="B11" s="532">
        <v>10</v>
      </c>
    </row>
    <row r="12" spans="1:31">
      <c r="A12" s="509">
        <f>+M16</f>
        <v>2023</v>
      </c>
      <c r="B12" s="532">
        <v>11</v>
      </c>
    </row>
    <row r="13" spans="1:31">
      <c r="P13" s="532" t="s">
        <v>185</v>
      </c>
    </row>
    <row r="14" spans="1:31">
      <c r="P14" s="532">
        <f>INDEX($A$2:$A$12,$P$9)</f>
        <v>2023</v>
      </c>
      <c r="Q14" s="501" t="s">
        <v>371</v>
      </c>
    </row>
    <row r="15" spans="1:31">
      <c r="A15" s="534" t="s">
        <v>371</v>
      </c>
      <c r="R15" s="501" t="s">
        <v>116</v>
      </c>
      <c r="S15" s="501" t="s">
        <v>117</v>
      </c>
      <c r="T15" s="501" t="s">
        <v>12</v>
      </c>
      <c r="U15" s="501"/>
    </row>
    <row r="16" spans="1:31">
      <c r="A16" s="533" t="s">
        <v>185</v>
      </c>
      <c r="C16" s="501">
        <f>+'q17'!$C$4</f>
        <v>2013</v>
      </c>
      <c r="D16" s="501">
        <f>+'q17'!$D$4</f>
        <v>2014</v>
      </c>
      <c r="E16" s="501">
        <f>+'q17'!$E$4</f>
        <v>2015</v>
      </c>
      <c r="F16" s="501">
        <f>+'q17'!$F$4</f>
        <v>2016</v>
      </c>
      <c r="G16" s="501">
        <f>+'q17'!$G$4</f>
        <v>2017</v>
      </c>
      <c r="H16" s="501">
        <f>+'q17'!$H$4</f>
        <v>2018</v>
      </c>
      <c r="I16" s="501">
        <f>+'q17'!$I$4</f>
        <v>2019</v>
      </c>
      <c r="J16" s="501">
        <f>+'q17'!$J$4</f>
        <v>2020</v>
      </c>
      <c r="K16" s="501">
        <f>+'q17'!$K$4</f>
        <v>2021</v>
      </c>
      <c r="L16" s="501">
        <f>+'q17'!$L$4</f>
        <v>2022</v>
      </c>
      <c r="M16" s="501">
        <f>+'q17'!$M$4</f>
        <v>2023</v>
      </c>
      <c r="Q16" s="532" t="s">
        <v>55</v>
      </c>
      <c r="R16" s="541">
        <f>INDEX($B$16:$M$24,MATCH($Q$16:$Q$23,$B$16:$B$24,0),MATCH($P$14,$B$16:$M$16,0))*-1</f>
        <v>-648</v>
      </c>
      <c r="S16" s="541">
        <f t="shared" ref="S16:S23" si="0">INDEX($B$25:$M$33,MATCH($Q$16:$Q$23,$B$25:$B$33,0),MATCH($P$14,$B$25:$M$25,0))</f>
        <v>484</v>
      </c>
      <c r="T16" s="541">
        <f>+S16-R16</f>
        <v>1132</v>
      </c>
      <c r="U16" s="538"/>
    </row>
    <row r="17" spans="1:51">
      <c r="A17" s="533" t="s">
        <v>116</v>
      </c>
      <c r="B17" s="532" t="str">
        <f>+Aux!$B$88</f>
        <v>&lt; 18 anos</v>
      </c>
      <c r="C17" s="532">
        <f>+'q17'!$C$9</f>
        <v>504</v>
      </c>
      <c r="D17" s="532">
        <f>+'q17'!$D$9</f>
        <v>378</v>
      </c>
      <c r="E17" s="532">
        <f>+'q17'!$E$9</f>
        <v>357</v>
      </c>
      <c r="F17" s="532">
        <f>+'q17'!$F$9</f>
        <v>497</v>
      </c>
      <c r="G17" s="532">
        <f>+'q17'!$G$9</f>
        <v>714</v>
      </c>
      <c r="H17" s="532">
        <f>+'q17'!$H$9</f>
        <v>775</v>
      </c>
      <c r="I17" s="532">
        <f>+'q17'!$I$9</f>
        <v>811</v>
      </c>
      <c r="J17" s="532">
        <f>+'q17'!$J$9</f>
        <v>404</v>
      </c>
      <c r="K17" s="532">
        <f>+'q17'!$K$9</f>
        <v>568</v>
      </c>
      <c r="L17" s="532">
        <f>+'q17'!$L$9</f>
        <v>802</v>
      </c>
      <c r="M17" s="532">
        <f>+'q17'!$M$9</f>
        <v>648</v>
      </c>
      <c r="Q17" s="532" t="s">
        <v>372</v>
      </c>
      <c r="R17" s="541">
        <f t="shared" ref="R17:R22" si="1">INDEX($B$16:$M$24,MATCH($Q$16:$Q$23,$B$16:$B$24,0),MATCH($P$14,$B$16:$M$16,0))*-1</f>
        <v>-154697</v>
      </c>
      <c r="S17" s="541">
        <f t="shared" si="0"/>
        <v>126764</v>
      </c>
      <c r="T17" s="541">
        <f t="shared" ref="T17:T22" si="2">+S17-R17</f>
        <v>281461</v>
      </c>
      <c r="U17" s="538"/>
    </row>
    <row r="18" spans="1:51">
      <c r="B18" s="532" t="str">
        <f>+Aux!$B$89</f>
        <v>18 - 24 anos</v>
      </c>
      <c r="C18" s="532">
        <f>+'q17'!$C$12</f>
        <v>90921</v>
      </c>
      <c r="D18" s="532">
        <f>+'q17'!$D$12</f>
        <v>96570</v>
      </c>
      <c r="E18" s="532">
        <f>+'q17'!$E$12</f>
        <v>103018</v>
      </c>
      <c r="F18" s="532">
        <f>+'q17'!$F$12</f>
        <v>112378</v>
      </c>
      <c r="G18" s="532">
        <f>+'q17'!$G$12</f>
        <v>126226</v>
      </c>
      <c r="H18" s="532">
        <f>+'q17'!$H$12</f>
        <v>137590</v>
      </c>
      <c r="I18" s="532">
        <f>+'q17'!$I$12</f>
        <v>143662</v>
      </c>
      <c r="J18" s="532">
        <f>+'q17'!$J$12</f>
        <v>130505</v>
      </c>
      <c r="K18" s="532">
        <f>+'q17'!$K$12</f>
        <v>131787</v>
      </c>
      <c r="L18" s="532">
        <f>+'q17'!$L$12</f>
        <v>146876</v>
      </c>
      <c r="M18" s="532">
        <f>+'q17'!$M$12</f>
        <v>154697</v>
      </c>
      <c r="Q18" s="532" t="s">
        <v>373</v>
      </c>
      <c r="R18" s="541">
        <f t="shared" si="1"/>
        <v>-436843</v>
      </c>
      <c r="S18" s="541">
        <f t="shared" si="0"/>
        <v>371113</v>
      </c>
      <c r="T18" s="541">
        <f t="shared" si="2"/>
        <v>807956</v>
      </c>
      <c r="U18" s="537">
        <f>+T18/$U$23</f>
        <v>0.24512283658973091</v>
      </c>
      <c r="V18" s="617">
        <f>+U18+U19</f>
        <v>0.50112632189232997</v>
      </c>
    </row>
    <row r="19" spans="1:51">
      <c r="B19" s="532" t="str">
        <f>+Aux!$B$90</f>
        <v>25 - 34 anos</v>
      </c>
      <c r="C19" s="532">
        <f>+'q17'!$C$15+'q17'!$C$18</f>
        <v>328658</v>
      </c>
      <c r="D19" s="532">
        <f>+'q17'!$D$15+'q17'!$D$18</f>
        <v>327966</v>
      </c>
      <c r="E19" s="532">
        <f>+'q17'!$E$15+'q17'!$E$18</f>
        <v>325849</v>
      </c>
      <c r="F19" s="532">
        <f>+'q17'!$F$15+'q17'!$F$18</f>
        <v>333951</v>
      </c>
      <c r="G19" s="532">
        <f>+'q17'!$G$15+'q17'!$G$18</f>
        <v>344093</v>
      </c>
      <c r="H19" s="532">
        <f>+'q17'!$H$15+'q17'!$H$18</f>
        <v>355735</v>
      </c>
      <c r="I19" s="532">
        <f>+'q17'!$I$15+'q17'!$I$18</f>
        <v>365815</v>
      </c>
      <c r="J19" s="532">
        <f>+'q17'!$J$15+'q17'!$J$18</f>
        <v>364674</v>
      </c>
      <c r="K19" s="532">
        <f>+'q17'!$K$15+'q17'!$K$18</f>
        <v>366621</v>
      </c>
      <c r="L19" s="532">
        <f>+'q17'!$L$15+'q17'!$L$18</f>
        <v>406100</v>
      </c>
      <c r="M19" s="532">
        <f>+'q17'!$M$15+'q17'!$M$18</f>
        <v>436843</v>
      </c>
      <c r="Q19" s="532" t="s">
        <v>374</v>
      </c>
      <c r="R19" s="541">
        <f t="shared" si="1"/>
        <v>-440917</v>
      </c>
      <c r="S19" s="541">
        <f t="shared" si="0"/>
        <v>402903</v>
      </c>
      <c r="T19" s="541">
        <f t="shared" si="2"/>
        <v>843820</v>
      </c>
      <c r="U19" s="537">
        <f>+T19/$U$23</f>
        <v>0.25600348530259909</v>
      </c>
    </row>
    <row r="20" spans="1:51">
      <c r="B20" s="532" t="str">
        <f>+Aux!$B$91</f>
        <v>35 - 44 anos</v>
      </c>
      <c r="C20" s="532">
        <f>+'q17'!$C$21+'q17'!$C$24</f>
        <v>386213</v>
      </c>
      <c r="D20" s="532">
        <f>+'q17'!$D$21+'q17'!$D$24</f>
        <v>395478</v>
      </c>
      <c r="E20" s="532">
        <f>+'q17'!$E$21+'q17'!$E$24</f>
        <v>401351</v>
      </c>
      <c r="F20" s="532">
        <f>+'q17'!$F$21+'q17'!$F$24</f>
        <v>408875</v>
      </c>
      <c r="G20" s="532">
        <f>+'q17'!$G$21+'q17'!$G$24</f>
        <v>417433</v>
      </c>
      <c r="H20" s="532">
        <f>+'q17'!$H$21+'q17'!$H$24</f>
        <v>424399</v>
      </c>
      <c r="I20" s="532">
        <f>+'q17'!$I$21+'q17'!$I$24</f>
        <v>424236</v>
      </c>
      <c r="J20" s="532">
        <f>+'q17'!$J$21+'q17'!$J$24</f>
        <v>418182</v>
      </c>
      <c r="K20" s="532">
        <f>+'q17'!$K$21+'q17'!$K$24</f>
        <v>405130</v>
      </c>
      <c r="L20" s="532">
        <f>+'q17'!$L$21+'q17'!$L$24</f>
        <v>424572</v>
      </c>
      <c r="M20" s="532">
        <f>+'q17'!$M$21+'q17'!$M$24</f>
        <v>440917</v>
      </c>
      <c r="Q20" s="532" t="s">
        <v>375</v>
      </c>
      <c r="R20" s="541">
        <f t="shared" si="1"/>
        <v>-417868</v>
      </c>
      <c r="S20" s="541">
        <f t="shared" si="0"/>
        <v>398478</v>
      </c>
      <c r="T20" s="541">
        <f t="shared" si="2"/>
        <v>816346</v>
      </c>
      <c r="U20" s="538"/>
      <c r="AW20" s="544"/>
      <c r="AX20" s="543"/>
      <c r="AY20" s="543"/>
    </row>
    <row r="21" spans="1:51">
      <c r="B21" s="532" t="str">
        <f>+Aux!$B$92</f>
        <v>45 - 54 anos</v>
      </c>
      <c r="C21" s="532">
        <f>+'q17'!$C$27+'q17'!$C$30</f>
        <v>285941</v>
      </c>
      <c r="D21" s="532">
        <f>+'q17'!$D$27+'q17'!$D$30</f>
        <v>296111</v>
      </c>
      <c r="E21" s="532">
        <f>+'q17'!$E$27+'q17'!$E$30</f>
        <v>306763</v>
      </c>
      <c r="F21" s="532">
        <f>+'q17'!$F$27+'q17'!$F$30</f>
        <v>324733</v>
      </c>
      <c r="G21" s="532">
        <f>+'q17'!$G$27+'q17'!$G$30</f>
        <v>342301</v>
      </c>
      <c r="H21" s="532">
        <f>+'q17'!$H$27+'q17'!$H$30</f>
        <v>359216</v>
      </c>
      <c r="I21" s="532">
        <f>+'q17'!$I$27+'q17'!$I$30</f>
        <v>364370</v>
      </c>
      <c r="J21" s="532">
        <f>+'q17'!$J$27+'q17'!$J$30</f>
        <v>373499</v>
      </c>
      <c r="K21" s="532">
        <f>+'q17'!$K$27+'q17'!$K$30</f>
        <v>377126</v>
      </c>
      <c r="L21" s="532">
        <f>+'q17'!$L$27+'q17'!$L$30</f>
        <v>402776</v>
      </c>
      <c r="M21" s="532">
        <f>+'q17'!$M$27+'q17'!$M$30</f>
        <v>417868</v>
      </c>
      <c r="Q21" s="532" t="s">
        <v>376</v>
      </c>
      <c r="R21" s="541">
        <f t="shared" si="1"/>
        <v>-256266</v>
      </c>
      <c r="S21" s="541">
        <f t="shared" si="0"/>
        <v>228479</v>
      </c>
      <c r="T21" s="541">
        <f t="shared" si="2"/>
        <v>484745</v>
      </c>
      <c r="U21" s="538"/>
      <c r="AW21" s="541"/>
      <c r="AX21" s="541"/>
      <c r="AY21" s="541"/>
    </row>
    <row r="22" spans="1:51">
      <c r="B22" s="532" t="str">
        <f>+Aux!$B$93</f>
        <v>55 - 64 anos</v>
      </c>
      <c r="C22" s="532">
        <f>+'q17'!$C$33+'q17'!$C$36</f>
        <v>137120</v>
      </c>
      <c r="D22" s="532">
        <f>+'q17'!$D$33+'q17'!$D$36</f>
        <v>148316</v>
      </c>
      <c r="E22" s="532">
        <f>+'q17'!$E$33+'q17'!$E$36</f>
        <v>158690</v>
      </c>
      <c r="F22" s="532">
        <f>+'q17'!$F$33+'q17'!$F$36</f>
        <v>169708</v>
      </c>
      <c r="G22" s="532">
        <f>+'q17'!$G$33+'q17'!$G$36</f>
        <v>186920</v>
      </c>
      <c r="H22" s="532">
        <f>+'q17'!$H$33+'q17'!$H$36</f>
        <v>199133</v>
      </c>
      <c r="I22" s="532">
        <f>+'q17'!$I$33+'q17'!$I$36</f>
        <v>205220</v>
      </c>
      <c r="J22" s="532">
        <f>+'q17'!$J$33+'q17'!$J$36</f>
        <v>213255</v>
      </c>
      <c r="K22" s="532">
        <f>+'q17'!$K$33+'q17'!$K$36</f>
        <v>221117</v>
      </c>
      <c r="L22" s="532">
        <f>+'q17'!$L$33+'q17'!$L$36</f>
        <v>240751</v>
      </c>
      <c r="M22" s="532">
        <f>+'q17'!$M$33+'q17'!$M$36</f>
        <v>256266</v>
      </c>
      <c r="Q22" s="532" t="s">
        <v>65</v>
      </c>
      <c r="R22" s="541">
        <f t="shared" si="1"/>
        <v>-36069</v>
      </c>
      <c r="S22" s="541">
        <f t="shared" si="0"/>
        <v>24598</v>
      </c>
      <c r="T22" s="541">
        <f t="shared" si="2"/>
        <v>60667</v>
      </c>
      <c r="U22" s="538"/>
      <c r="AW22" s="542"/>
      <c r="AX22" s="542"/>
      <c r="AY22" s="542"/>
    </row>
    <row r="23" spans="1:51">
      <c r="B23" s="532" t="str">
        <f>+Aux!$B$94</f>
        <v>65 e + anos</v>
      </c>
      <c r="C23" s="532">
        <f>+'q17'!$C$39</f>
        <v>11276</v>
      </c>
      <c r="D23" s="532">
        <f>+'q17'!$D$39</f>
        <v>12687</v>
      </c>
      <c r="E23" s="532">
        <f>+'q17'!$E$39</f>
        <v>14235</v>
      </c>
      <c r="F23" s="532">
        <f>+'q17'!$F$39</f>
        <v>15954</v>
      </c>
      <c r="G23" s="532">
        <f>+'q17'!$G$39</f>
        <v>18372</v>
      </c>
      <c r="H23" s="532">
        <f>+'q17'!$H$39</f>
        <v>21276</v>
      </c>
      <c r="I23" s="532">
        <f>+'q17'!$I$39</f>
        <v>24844</v>
      </c>
      <c r="J23" s="532">
        <f>+'q17'!$J$39</f>
        <v>25548</v>
      </c>
      <c r="K23" s="532">
        <f>+'q17'!$K$39</f>
        <v>27505</v>
      </c>
      <c r="L23" s="532">
        <f>+'q17'!$L$39</f>
        <v>31840</v>
      </c>
      <c r="M23" s="532">
        <f>+'q17'!$M$39</f>
        <v>36069</v>
      </c>
      <c r="Q23" s="532" t="s">
        <v>12</v>
      </c>
      <c r="R23" s="541">
        <f>INDEX($B$16:$M$24,MATCH($Q$16:$Q$23,$B$16:$B$24,0),MATCH($P$14,$B$16:$M$16,0))</f>
        <v>1743311</v>
      </c>
      <c r="S23" s="541">
        <f t="shared" si="0"/>
        <v>1552823</v>
      </c>
      <c r="T23" s="541">
        <f>+R23+S23</f>
        <v>3296134</v>
      </c>
      <c r="U23" s="541">
        <f>SUM(T16:T22)</f>
        <v>3296127</v>
      </c>
      <c r="AW23" s="542"/>
      <c r="AX23" s="542"/>
      <c r="AY23" s="542"/>
    </row>
    <row r="24" spans="1:51">
      <c r="B24" s="532" t="str">
        <f>+Aux!$B$95</f>
        <v>Total</v>
      </c>
      <c r="C24" s="532">
        <f>+'q17'!$C$6</f>
        <v>1242007</v>
      </c>
      <c r="D24" s="532">
        <f>+'q17'!$D$6</f>
        <v>1278921</v>
      </c>
      <c r="E24" s="532">
        <f>+'q17'!$E$6</f>
        <v>1311721</v>
      </c>
      <c r="F24" s="532">
        <f>+'q17'!$F$6</f>
        <v>1367705</v>
      </c>
      <c r="G24" s="532">
        <f>+'q17'!$G$6</f>
        <v>1437729</v>
      </c>
      <c r="H24" s="532">
        <f>+'q17'!$H$6</f>
        <v>1499993</v>
      </c>
      <c r="I24" s="532">
        <f>+'q17'!$I$6</f>
        <v>1529276</v>
      </c>
      <c r="J24" s="532">
        <f>+'q17'!$J$6</f>
        <v>1526297</v>
      </c>
      <c r="K24" s="532">
        <f>+'q17'!$K$6</f>
        <v>1530240</v>
      </c>
      <c r="L24" s="532">
        <f>+'q17'!$L$6</f>
        <v>1653917</v>
      </c>
      <c r="M24" s="532">
        <f>+'q17'!$M$6</f>
        <v>1743311</v>
      </c>
      <c r="R24" s="552">
        <f>+R23/T23</f>
        <v>0.52889566989691561</v>
      </c>
      <c r="S24" s="621">
        <f>+S23/T23</f>
        <v>0.47110433010308439</v>
      </c>
      <c r="T24" s="552"/>
    </row>
    <row r="25" spans="1:51">
      <c r="C25" s="501">
        <f>+'q17'!$C$4</f>
        <v>2013</v>
      </c>
      <c r="D25" s="501">
        <f>+'q17'!$D$4</f>
        <v>2014</v>
      </c>
      <c r="E25" s="501">
        <f>+'q17'!$E$4</f>
        <v>2015</v>
      </c>
      <c r="F25" s="501">
        <f>+'q17'!$F$4</f>
        <v>2016</v>
      </c>
      <c r="G25" s="501">
        <f>+'q17'!$G$4</f>
        <v>2017</v>
      </c>
      <c r="H25" s="501">
        <f>+'q17'!$H$4</f>
        <v>2018</v>
      </c>
      <c r="I25" s="501">
        <f>+'q17'!$I$4</f>
        <v>2019</v>
      </c>
      <c r="J25" s="501">
        <f>+'q17'!$J$4</f>
        <v>2020</v>
      </c>
      <c r="K25" s="501">
        <f>+'q17'!$K$4</f>
        <v>2021</v>
      </c>
      <c r="L25" s="501">
        <f>+'q17'!$L$4</f>
        <v>2022</v>
      </c>
      <c r="M25" s="501">
        <f>+'q17'!$M$4</f>
        <v>2023</v>
      </c>
      <c r="P25" s="618"/>
      <c r="Q25" s="618"/>
    </row>
    <row r="26" spans="1:51">
      <c r="A26" s="533" t="s">
        <v>117</v>
      </c>
      <c r="B26" s="532" t="str">
        <f>+Aux!$B$88</f>
        <v>&lt; 18 anos</v>
      </c>
      <c r="C26" s="532">
        <f>+'q17'!$C$10</f>
        <v>317</v>
      </c>
      <c r="D26" s="532">
        <f>+'q17'!$D$10</f>
        <v>309</v>
      </c>
      <c r="E26" s="532">
        <f>+'q17'!$E$10</f>
        <v>319</v>
      </c>
      <c r="F26" s="532">
        <f>+'q17'!$F$10</f>
        <v>368</v>
      </c>
      <c r="G26" s="532">
        <f>+'q17'!$G$10</f>
        <v>556</v>
      </c>
      <c r="H26" s="532">
        <f>+'q17'!$H$10</f>
        <v>691</v>
      </c>
      <c r="I26" s="532">
        <f>+'q17'!$I$10</f>
        <v>733</v>
      </c>
      <c r="J26" s="532">
        <f>+'q17'!$J$10</f>
        <v>242</v>
      </c>
      <c r="K26" s="532">
        <f>+'q17'!$K$10</f>
        <v>427</v>
      </c>
      <c r="L26" s="532">
        <f>+'q17'!$L$10</f>
        <v>618</v>
      </c>
      <c r="M26" s="532">
        <f>+'q17'!$M$10</f>
        <v>484</v>
      </c>
    </row>
    <row r="27" spans="1:51">
      <c r="B27" s="532" t="str">
        <f>+Aux!$B$89</f>
        <v>18 - 24 anos</v>
      </c>
      <c r="C27" s="532">
        <f>+'q17'!$C$13</f>
        <v>81403</v>
      </c>
      <c r="D27" s="532">
        <f>+'q17'!$D$13</f>
        <v>85046</v>
      </c>
      <c r="E27" s="532">
        <f>+'q17'!$E$13</f>
        <v>91879</v>
      </c>
      <c r="F27" s="532">
        <f>+'q17'!$F$13</f>
        <v>98331</v>
      </c>
      <c r="G27" s="532">
        <f>+'q17'!$G$13</f>
        <v>109526</v>
      </c>
      <c r="H27" s="532">
        <f>+'q17'!$H$13</f>
        <v>116467</v>
      </c>
      <c r="I27" s="532">
        <f>+'q17'!$I$13</f>
        <v>121187</v>
      </c>
      <c r="J27" s="532">
        <f>+'q17'!$J$13</f>
        <v>106029</v>
      </c>
      <c r="K27" s="532">
        <f>+'q17'!$K$13</f>
        <v>111823</v>
      </c>
      <c r="L27" s="532">
        <f>+'q17'!$L$13</f>
        <v>124121</v>
      </c>
      <c r="M27" s="532">
        <f>+'q17'!$M$13</f>
        <v>126764</v>
      </c>
    </row>
    <row r="28" spans="1:51">
      <c r="B28" s="532" t="str">
        <f>+Aux!$B$90</f>
        <v>25 - 34 anos</v>
      </c>
      <c r="C28" s="532">
        <f>+'q17'!$C$16+'q17'!$C$19</f>
        <v>322461</v>
      </c>
      <c r="D28" s="532">
        <f>+'q17'!$D$16+'q17'!$D$19</f>
        <v>318964</v>
      </c>
      <c r="E28" s="532">
        <f>+'q17'!$E$16+'q17'!$E$19</f>
        <v>319955</v>
      </c>
      <c r="F28" s="532">
        <f>+'q17'!$F$16+'q17'!$F$19</f>
        <v>323339</v>
      </c>
      <c r="G28" s="532">
        <f>+'q17'!$G$16+'q17'!$G$19</f>
        <v>328494</v>
      </c>
      <c r="H28" s="532">
        <f>+'q17'!$H$16+'q17'!$H$19</f>
        <v>334537</v>
      </c>
      <c r="I28" s="532">
        <f>+'q17'!$I$16+'q17'!$I$19</f>
        <v>337779</v>
      </c>
      <c r="J28" s="532">
        <f>+'q17'!$J$16+'q17'!$J$19</f>
        <v>326462</v>
      </c>
      <c r="K28" s="532">
        <f>+'q17'!$K$16+'q17'!$K$19</f>
        <v>328267</v>
      </c>
      <c r="L28" s="532">
        <f>+'q17'!$L$16+'q17'!$L$19</f>
        <v>355301</v>
      </c>
      <c r="M28" s="532">
        <f>+'q17'!$M$16+'q17'!$M$19</f>
        <v>371113</v>
      </c>
      <c r="Q28" s="501"/>
    </row>
    <row r="29" spans="1:51">
      <c r="B29" s="532" t="str">
        <f>+Aux!$B$91</f>
        <v>35 - 44 anos</v>
      </c>
      <c r="C29" s="532">
        <f>+'q17'!$C$22+'q17'!$C$25</f>
        <v>364408</v>
      </c>
      <c r="D29" s="532">
        <f>+'q17'!$D$22+'q17'!$D$25</f>
        <v>375893</v>
      </c>
      <c r="E29" s="532">
        <f>+'q17'!$E$22+'q17'!$E$25</f>
        <v>388130</v>
      </c>
      <c r="F29" s="532">
        <f>+'q17'!$F$22+'q17'!$F$25</f>
        <v>396862</v>
      </c>
      <c r="G29" s="532">
        <f>+'q17'!$G$22+'q17'!$G$25</f>
        <v>404509</v>
      </c>
      <c r="H29" s="532">
        <f>+'q17'!$H$22+'q17'!$H$25</f>
        <v>409620</v>
      </c>
      <c r="I29" s="532">
        <f>+'q17'!$I$22+'q17'!$I$25</f>
        <v>406376</v>
      </c>
      <c r="J29" s="532">
        <f>+'q17'!$J$22+'q17'!$J$25</f>
        <v>394478</v>
      </c>
      <c r="K29" s="532">
        <f>+'q17'!$K$22+'q17'!$K$25</f>
        <v>383128</v>
      </c>
      <c r="L29" s="532">
        <f>+'q17'!$L$22+'q17'!$L$25</f>
        <v>396810</v>
      </c>
      <c r="M29" s="532">
        <f>+'q17'!$M$22+'q17'!$M$25</f>
        <v>402903</v>
      </c>
      <c r="R29" s="501"/>
      <c r="S29" s="501"/>
      <c r="T29" s="501"/>
    </row>
    <row r="30" spans="1:51">
      <c r="B30" s="532" t="str">
        <f>+Aux!$B$92</f>
        <v>45 - 54 anos</v>
      </c>
      <c r="C30" s="532">
        <f>+'q17'!$C$28+'q17'!$C$31</f>
        <v>256798</v>
      </c>
      <c r="D30" s="532">
        <f>+'q17'!$D$28+'q17'!$D$31</f>
        <v>269234</v>
      </c>
      <c r="E30" s="532">
        <f>+'q17'!$E$28+'q17'!$E$31</f>
        <v>283425</v>
      </c>
      <c r="F30" s="532">
        <f>+'q17'!$F$28+'q17'!$F$31</f>
        <v>301028</v>
      </c>
      <c r="G30" s="532">
        <f>+'q17'!$G$28+'q17'!$G$31</f>
        <v>317379</v>
      </c>
      <c r="H30" s="532">
        <f>+'q17'!$H$28+'q17'!$H$31</f>
        <v>333545</v>
      </c>
      <c r="I30" s="532">
        <f>+'q17'!$I$28+'q17'!$I$31</f>
        <v>341849</v>
      </c>
      <c r="J30" s="532">
        <f>+'q17'!$J$28+'q17'!$J$31</f>
        <v>347916</v>
      </c>
      <c r="K30" s="532">
        <f>+'q17'!$K$28+'q17'!$K$31</f>
        <v>356405</v>
      </c>
      <c r="L30" s="532">
        <f>+'q17'!$L$28+'q17'!$L$31</f>
        <v>383284</v>
      </c>
      <c r="M30" s="532">
        <f>+'q17'!$M$28+'q17'!$M$31</f>
        <v>398478</v>
      </c>
      <c r="R30" s="542"/>
      <c r="S30" s="542"/>
      <c r="T30" s="542"/>
    </row>
    <row r="31" spans="1:51">
      <c r="B31" s="532" t="str">
        <f>+Aux!$B$93</f>
        <v>55 - 64 anos</v>
      </c>
      <c r="C31" s="532">
        <f>+'q17'!$C$34+'q17'!$C$37</f>
        <v>108561</v>
      </c>
      <c r="D31" s="532">
        <f>+'q17'!$D$34+'q17'!$D$37</f>
        <v>119801</v>
      </c>
      <c r="E31" s="532">
        <f>+'q17'!$E$34+'q17'!$E$37</f>
        <v>130663</v>
      </c>
      <c r="F31" s="532">
        <f>+'q17'!$F$34+'q17'!$F$37</f>
        <v>141160</v>
      </c>
      <c r="G31" s="532">
        <f>+'q17'!$G$34+'q17'!$G$37</f>
        <v>154756</v>
      </c>
      <c r="H31" s="532">
        <f>+'q17'!$H$34+'q17'!$H$37</f>
        <v>166521</v>
      </c>
      <c r="I31" s="532">
        <f>+'q17'!$I$34+'q17'!$I$37</f>
        <v>175498</v>
      </c>
      <c r="J31" s="532">
        <f>+'q17'!$J$34+'q17'!$J$37</f>
        <v>183233</v>
      </c>
      <c r="K31" s="532">
        <f>+'q17'!$K$34+'q17'!$K$37</f>
        <v>192090</v>
      </c>
      <c r="L31" s="532">
        <f>+'q17'!$L$34+'q17'!$L$37</f>
        <v>211925</v>
      </c>
      <c r="M31" s="532">
        <f>+'q17'!$M$34+'q17'!$M$37</f>
        <v>228479</v>
      </c>
      <c r="R31" s="542"/>
      <c r="S31" s="542"/>
      <c r="T31" s="542"/>
    </row>
    <row r="32" spans="1:51">
      <c r="B32" s="532" t="str">
        <f>+Aux!$B$94</f>
        <v>65 e + anos</v>
      </c>
      <c r="C32" s="532">
        <f>+'q17'!$C$40</f>
        <v>7411</v>
      </c>
      <c r="D32" s="532">
        <f>+'q17'!$D$40</f>
        <v>9183</v>
      </c>
      <c r="E32" s="532">
        <f>+'q17'!$E$40</f>
        <v>10667</v>
      </c>
      <c r="F32" s="532">
        <f>+'q17'!$F$40</f>
        <v>12181</v>
      </c>
      <c r="G32" s="532">
        <f>+'q17'!$G$40</f>
        <v>13559</v>
      </c>
      <c r="H32" s="532">
        <f>+'q17'!$H$40</f>
        <v>15426</v>
      </c>
      <c r="I32" s="532">
        <f>+'q17'!$I$40</f>
        <v>17310</v>
      </c>
      <c r="J32" s="532">
        <f>+'q17'!$J$40</f>
        <v>17936</v>
      </c>
      <c r="K32" s="532">
        <f>+'q17'!$K$40</f>
        <v>19391</v>
      </c>
      <c r="L32" s="532">
        <f>+'q17'!$L$40</f>
        <v>21994</v>
      </c>
      <c r="M32" s="532">
        <f>+'q17'!$M$40</f>
        <v>24598</v>
      </c>
      <c r="R32" s="542"/>
      <c r="S32" s="542"/>
      <c r="T32" s="542"/>
    </row>
    <row r="33" spans="1:21">
      <c r="B33" s="532" t="str">
        <f>+Aux!$B$95</f>
        <v>Total</v>
      </c>
      <c r="C33" s="532">
        <f>+'q17'!$C$7</f>
        <v>1142114</v>
      </c>
      <c r="D33" s="532">
        <f>+'q17'!$D$7</f>
        <v>1179242</v>
      </c>
      <c r="E33" s="532">
        <f>+'q17'!$E$7</f>
        <v>1225932</v>
      </c>
      <c r="F33" s="532">
        <f>+'q17'!$F$7</f>
        <v>1274214</v>
      </c>
      <c r="G33" s="532">
        <f>+'q17'!$G$7</f>
        <v>1329792</v>
      </c>
      <c r="H33" s="532">
        <f>+'q17'!$H$7</f>
        <v>1377925</v>
      </c>
      <c r="I33" s="532">
        <f>+'q17'!$I$7</f>
        <v>1401206</v>
      </c>
      <c r="J33" s="532">
        <f>+'q17'!$J$7</f>
        <v>1376528</v>
      </c>
      <c r="K33" s="532">
        <f>+'q17'!$K$7</f>
        <v>1392103</v>
      </c>
      <c r="L33" s="532">
        <f>+'q17'!$L$7</f>
        <v>1494230</v>
      </c>
      <c r="M33" s="532">
        <f>+'q17'!$M$7</f>
        <v>1552823</v>
      </c>
      <c r="R33" s="542"/>
      <c r="S33" s="542"/>
      <c r="T33" s="542"/>
    </row>
    <row r="34" spans="1:21">
      <c r="R34" s="542"/>
      <c r="S34" s="542"/>
      <c r="T34" s="542"/>
    </row>
    <row r="35" spans="1:21">
      <c r="A35" s="540" t="s">
        <v>377</v>
      </c>
      <c r="C35" s="501">
        <f>+'q17'!$C$4</f>
        <v>2013</v>
      </c>
      <c r="D35" s="501">
        <f>+'q17'!$D$4</f>
        <v>2014</v>
      </c>
      <c r="E35" s="501">
        <f>+'q17'!$E$4</f>
        <v>2015</v>
      </c>
      <c r="F35" s="501">
        <f>+'q17'!$F$4</f>
        <v>2016</v>
      </c>
      <c r="G35" s="501">
        <f>+'q17'!$G$4</f>
        <v>2017</v>
      </c>
      <c r="H35" s="501">
        <f>+'q17'!$H$4</f>
        <v>2018</v>
      </c>
      <c r="I35" s="501">
        <f>+'q17'!$I$4</f>
        <v>2019</v>
      </c>
      <c r="J35" s="501">
        <f>+'q17'!$J$4</f>
        <v>2020</v>
      </c>
      <c r="K35" s="501">
        <f>+'q17'!$K$4</f>
        <v>2021</v>
      </c>
      <c r="L35" s="501">
        <f>+'q17'!$L$4</f>
        <v>2022</v>
      </c>
      <c r="M35" s="501">
        <f>+'q17'!$M$4</f>
        <v>2023</v>
      </c>
      <c r="R35" s="542"/>
      <c r="S35" s="542"/>
      <c r="T35" s="542"/>
    </row>
    <row r="36" spans="1:21">
      <c r="A36" s="540" t="s">
        <v>116</v>
      </c>
      <c r="B36" s="532" t="str">
        <f>+Aux!$B$88</f>
        <v>&lt; 18 anos</v>
      </c>
      <c r="C36" s="537">
        <f>+q26_Aux!$R$9</f>
        <v>573.76</v>
      </c>
      <c r="D36" s="537">
        <f>+q26_Aux!$S$9</f>
        <v>751.18</v>
      </c>
      <c r="E36" s="537">
        <f>+q26_Aux!$T$9</f>
        <v>701.72</v>
      </c>
      <c r="F36" s="537">
        <f>+q26_Aux!$U$9</f>
        <v>744.59</v>
      </c>
      <c r="G36" s="537">
        <f>+q26_Aux!$V$9</f>
        <v>727.96</v>
      </c>
      <c r="H36" s="537">
        <f>+q26_Aux!$W$9</f>
        <v>733.3</v>
      </c>
      <c r="I36" s="537">
        <f>+q26_Aux!$X$9</f>
        <v>1031.6600000000001</v>
      </c>
      <c r="J36" s="537">
        <f>+q26_Aux!$Y$9</f>
        <v>1255.5999999999999</v>
      </c>
      <c r="K36" s="537">
        <f>+q26_Aux!$Z$9</f>
        <v>1222.71</v>
      </c>
      <c r="L36" s="537">
        <f>+q26_Aux!$AA$9</f>
        <v>1184.3699999999999</v>
      </c>
      <c r="M36" s="537">
        <f>+q26_Aux!$AB$9</f>
        <v>1204.42</v>
      </c>
      <c r="N36" s="537"/>
      <c r="R36" s="542"/>
      <c r="S36" s="542"/>
      <c r="T36" s="542"/>
    </row>
    <row r="37" spans="1:21">
      <c r="B37" s="532" t="str">
        <f>+Aux!$B$89</f>
        <v>18 - 24 anos</v>
      </c>
      <c r="C37" s="537">
        <f>+q26_Aux!$R$12</f>
        <v>629.21</v>
      </c>
      <c r="D37" s="537">
        <f>+q26_Aux!$S$12</f>
        <v>629.14</v>
      </c>
      <c r="E37" s="537">
        <f>+q26_Aux!$T$12</f>
        <v>644.54999999999995</v>
      </c>
      <c r="F37" s="537">
        <f>+q26_Aux!$U$12</f>
        <v>660.61</v>
      </c>
      <c r="G37" s="537">
        <f>+q26_Aux!$V$12</f>
        <v>682.81</v>
      </c>
      <c r="H37" s="537">
        <f>+q26_Aux!$W$12</f>
        <v>713.13</v>
      </c>
      <c r="I37" s="537">
        <f>+q26_Aux!$X$12</f>
        <v>749.74</v>
      </c>
      <c r="J37" s="537">
        <f>+q26_Aux!$Y$12</f>
        <v>781.78</v>
      </c>
      <c r="K37" s="537">
        <f>+q26_Aux!$Z$12</f>
        <v>817.96</v>
      </c>
      <c r="L37" s="537">
        <f>+q26_Aux!$AA$12</f>
        <v>881.22</v>
      </c>
      <c r="M37" s="537">
        <f>+q26_Aux!$AB$12</f>
        <v>950.5</v>
      </c>
      <c r="N37" s="537"/>
      <c r="R37" s="542"/>
      <c r="S37" s="542"/>
      <c r="T37" s="542"/>
    </row>
    <row r="38" spans="1:21">
      <c r="B38" s="532" t="str">
        <f>+Aux!$B$90</f>
        <v>25 - 34 anos</v>
      </c>
      <c r="C38" s="537">
        <f>(q26_Aux!$R$15+q26_Aux!$R$18)/(q17a!$C$15+q17a!$C$18)</f>
        <v>819.8443849697893</v>
      </c>
      <c r="D38" s="537">
        <f>(q26_Aux!$S$15+q26_Aux!$S$18)/(q17a!$D$15+q17a!$D$18)</f>
        <v>811.2205927119843</v>
      </c>
      <c r="E38" s="537">
        <f>(q26_Aux!$T$15+q26_Aux!$T$18)/(q17a!$E$15+q17a!$E$18)</f>
        <v>820.68228979577816</v>
      </c>
      <c r="F38" s="537">
        <f>(q26_Aux!$U$15+q26_Aux!$U$18)/(q17a!$F$15+q17a!$F$18)</f>
        <v>834.01871508422005</v>
      </c>
      <c r="G38" s="537">
        <f>(q26_Aux!$V$15+q26_Aux!$V$18)/(q17a!$G$15+q17a!$G$18)</f>
        <v>862.04737512473719</v>
      </c>
      <c r="H38" s="537">
        <f>(q26_Aux!$W$15+q26_Aux!$W$18)/(q17a!$H$15+q17a!$H$18)</f>
        <v>900.74322875191501</v>
      </c>
      <c r="I38" s="537">
        <f>(q26_Aux!$X$15+q26_Aux!$X$18)/(q17a!$I$15+q17a!$I$18)</f>
        <v>944.4022670607352</v>
      </c>
      <c r="J38" s="537">
        <f>(q26_Aux!$Y$15+q26_Aux!$Y$18)/(q17a!$J$15+q17a!$J$18)</f>
        <v>980.72332146549149</v>
      </c>
      <c r="K38" s="537">
        <f>(q26_Aux!$Z$15+q26_Aux!$Z$18)/(q17a!$K$15+q17a!$K$18)</f>
        <v>1035.4481536873018</v>
      </c>
      <c r="L38" s="537">
        <f>(q26_Aux!$AA$15+q26_Aux!$AA$18)/(q17a!$L$15+q17a!$L$18)</f>
        <v>1107.3156311957869</v>
      </c>
      <c r="M38" s="537">
        <f>(q26_Aux!$AB$15+q26_Aux!$AB$18)/(q17a!$M$15+q17a!$M$18)</f>
        <v>1171.3786871588275</v>
      </c>
      <c r="N38" s="537"/>
    </row>
    <row r="39" spans="1:21">
      <c r="B39" s="532" t="str">
        <f>+Aux!$B$91</f>
        <v>35 - 44 anos</v>
      </c>
      <c r="C39" s="537">
        <f>(q26_Aux!$R$21+q26_Aux!$R$24)/(q17a!$C$21+q17a!$C$24)</f>
        <v>1043.7448414312939</v>
      </c>
      <c r="D39" s="537">
        <f>(q26_Aux!$S$21+q26_Aux!$S$24)/(q17a!$D$21+q17a!$D$24)</f>
        <v>1035.5380608580608</v>
      </c>
      <c r="E39" s="537">
        <f>(q26_Aux!$T$21+q26_Aux!$T$24)/(q17a!$E$21+q17a!$E$24)</f>
        <v>1034.9893870905901</v>
      </c>
      <c r="F39" s="537">
        <f>(q26_Aux!$U$21+q26_Aux!$U$24)/(q17a!$F$21+q17a!$F$24)</f>
        <v>1040.6937600774979</v>
      </c>
      <c r="G39" s="537">
        <f>(q26_Aux!$V$21+q26_Aux!$V$24)/(q17a!$G$21+q17a!$G$24)</f>
        <v>1052.1219862368455</v>
      </c>
      <c r="H39" s="537">
        <f>(q26_Aux!$W$21+q26_Aux!$W$24)/(q17a!$H$21+q17a!$H$24)</f>
        <v>1077.9502122907882</v>
      </c>
      <c r="I39" s="537">
        <f>(q26_Aux!$X$21+q26_Aux!$X$24)/(q17a!$I$21+q17a!$I$24)</f>
        <v>1114.9897521923201</v>
      </c>
      <c r="J39" s="537">
        <f>(q26_Aux!$Y$21+q26_Aux!$Y$24)/(q17a!$J$21+q17a!$J$24)</f>
        <v>1140.5485597183776</v>
      </c>
      <c r="K39" s="537">
        <f>(q26_Aux!$Z$21+q26_Aux!$Z$24)/(q17a!$K$21+q17a!$K$24)</f>
        <v>1188.9395169692955</v>
      </c>
      <c r="L39" s="537">
        <f>(q26_Aux!$AA$21+q26_Aux!$AA$24)/(q17a!$L$21+q17a!$L$24)</f>
        <v>1261.7020085043102</v>
      </c>
      <c r="M39" s="537">
        <f>(q26_Aux!$AB$21+q26_Aux!$AB$24)/(q17a!$M$21+q17a!$M$24)</f>
        <v>1340.615528721723</v>
      </c>
      <c r="N39" s="537"/>
      <c r="R39" s="542"/>
    </row>
    <row r="40" spans="1:21">
      <c r="B40" s="532" t="str">
        <f>+Aux!$B$92</f>
        <v>45 - 54 anos</v>
      </c>
      <c r="C40" s="537">
        <f>(q26_Aux!$R$27+q26_Aux!$R$30)/(q17a!$C$27+q17a!$C$30)</f>
        <v>1101.5297166711441</v>
      </c>
      <c r="D40" s="537">
        <f>(q26_Aux!$S$27+q26_Aux!$S$30)/(q17a!$D$27+q17a!$D$30)</f>
        <v>1086.3486142905654</v>
      </c>
      <c r="E40" s="537">
        <f>(q26_Aux!$T$27+q26_Aux!$T$30)/(q17a!$E$27+q17a!$E$30)</f>
        <v>1089.2644091178304</v>
      </c>
      <c r="F40" s="537">
        <f>(q26_Aux!$U$27+q26_Aux!$U$30)/(q17a!$F$27+q17a!$F$30)</f>
        <v>1095.5059233732159</v>
      </c>
      <c r="G40" s="537">
        <f>(q26_Aux!$V$27+q26_Aux!$V$30)/(q17a!$G$27+q17a!$G$30)</f>
        <v>1111.2836541779127</v>
      </c>
      <c r="H40" s="537">
        <f>(q26_Aux!$W$27+q26_Aux!$W$30)/(q17a!$H$27+q17a!$H$30)</f>
        <v>1139.4382829562794</v>
      </c>
      <c r="I40" s="537">
        <f>(q26_Aux!$X$27+q26_Aux!$X$30)/(q17a!$I$27+q17a!$I$30)</f>
        <v>1178.5319597088157</v>
      </c>
      <c r="J40" s="537">
        <f>(q26_Aux!$Y$27+q26_Aux!$Y$30)/(q17a!$J$27+q17a!$J$30)</f>
        <v>1214.2868425885083</v>
      </c>
      <c r="K40" s="537">
        <f>(q26_Aux!$Z$27+q26_Aux!$Z$30)/(q17a!$K$27+q17a!$K$30)</f>
        <v>1255.2723137073342</v>
      </c>
      <c r="L40" s="537">
        <f>(q26_Aux!$AA$27+q26_Aux!$AA$30)/(q17a!$L$27+q17a!$L$30)</f>
        <v>1326.4460571833663</v>
      </c>
      <c r="M40" s="537">
        <f>(q26_Aux!$AB$27+q26_Aux!$AB$30)/(q17a!$M$27+q17a!$M$30)</f>
        <v>1419.5283084168145</v>
      </c>
      <c r="N40" s="537"/>
    </row>
    <row r="41" spans="1:21">
      <c r="B41" s="532" t="str">
        <f>+Aux!$B$93</f>
        <v>55 - 64 anos</v>
      </c>
      <c r="C41" s="537">
        <f>(q26_Aux!$R$33+q26_Aux!$R$36)/(q17a!$C$33+q17a!$C$36)</f>
        <v>1193.1400990047284</v>
      </c>
      <c r="D41" s="537">
        <f>(q26_Aux!$S$33+q26_Aux!$S$36)/(q17a!$D$33+q17a!$D$36)</f>
        <v>1164.218332688401</v>
      </c>
      <c r="E41" s="537">
        <f>(q26_Aux!$T$33+q26_Aux!$T$36)/(q17a!$E$33+q17a!$E$36)</f>
        <v>1159.9815759827241</v>
      </c>
      <c r="F41" s="537">
        <f>(q26_Aux!$U$33+q26_Aux!$U$36)/(q17a!$F$33+q17a!$F$36)</f>
        <v>1151.0438716018432</v>
      </c>
      <c r="G41" s="537">
        <f>(q26_Aux!$V$33+q26_Aux!$V$36)/(q17a!$G$33+q17a!$G$36)</f>
        <v>1140.1261780391085</v>
      </c>
      <c r="H41" s="537">
        <f>(q26_Aux!$W$33+q26_Aux!$W$36)/(q17a!$H$33+q17a!$H$36)</f>
        <v>1150.4833537469085</v>
      </c>
      <c r="I41" s="537">
        <f>(q26_Aux!$X$33+q26_Aux!$X$36)/(q17a!$I$33+q17a!$I$36)</f>
        <v>1162.1972389501195</v>
      </c>
      <c r="J41" s="537">
        <f>(q26_Aux!$Y$33+q26_Aux!$Y$36)/(q17a!$J$33+q17a!$J$36)</f>
        <v>1192.4583427561004</v>
      </c>
      <c r="K41" s="537">
        <f>(q26_Aux!$Z$33+q26_Aux!$Z$36)/(q17a!$K$33+q17a!$K$36)</f>
        <v>1211.6757067134824</v>
      </c>
      <c r="L41" s="537">
        <f>(q26_Aux!$AA$33+q26_Aux!$AA$36)/(q17a!$L$33+q17a!$L$36)</f>
        <v>1263.3914328988719</v>
      </c>
      <c r="M41" s="537">
        <f>(q26_Aux!$AB$33+q26_Aux!$AB$36)/(q17a!$M$33+q17a!$M$36)</f>
        <v>1344.0285848928534</v>
      </c>
      <c r="N41" s="537"/>
    </row>
    <row r="42" spans="1:21">
      <c r="B42" s="532" t="str">
        <f>+Aux!$B$94</f>
        <v>65 e + anos</v>
      </c>
      <c r="C42" s="537">
        <f>+q26_Aux!$R$39</f>
        <v>1379.79</v>
      </c>
      <c r="D42" s="537">
        <f>+q26_Aux!$S$39</f>
        <v>1342.71</v>
      </c>
      <c r="E42" s="537">
        <f>+q26_Aux!$T$39</f>
        <v>1365.22</v>
      </c>
      <c r="F42" s="537">
        <f>+q26_Aux!$U$39</f>
        <v>1356.01</v>
      </c>
      <c r="G42" s="537">
        <f>+q26_Aux!$V$39</f>
        <v>1353.73</v>
      </c>
      <c r="H42" s="537">
        <f>+q26_Aux!$W$39</f>
        <v>1329.78</v>
      </c>
      <c r="I42" s="537">
        <f>+q26_Aux!$X$39</f>
        <v>1356.39</v>
      </c>
      <c r="J42" s="537">
        <f>+q26_Aux!$Y$39</f>
        <v>1428.29</v>
      </c>
      <c r="K42" s="537">
        <f>+q26_Aux!$Z$39</f>
        <v>1426.24</v>
      </c>
      <c r="L42" s="537">
        <f>+q26_Aux!$AA$39</f>
        <v>1419.42</v>
      </c>
      <c r="M42" s="537">
        <f>+q26_Aux!$AB$39</f>
        <v>1456.5</v>
      </c>
      <c r="N42" s="537"/>
      <c r="P42" s="532" t="s">
        <v>185</v>
      </c>
    </row>
    <row r="43" spans="1:21">
      <c r="B43" s="532" t="str">
        <f>+Aux!$B$95</f>
        <v>Total</v>
      </c>
      <c r="C43" s="537">
        <f>+q26_Aux!$C$6</f>
        <v>993.79</v>
      </c>
      <c r="D43" s="537">
        <f>+q26_Aux!$D$6</f>
        <v>985.02</v>
      </c>
      <c r="E43" s="537">
        <f>+q26_Aux!$E$6</f>
        <v>990.05</v>
      </c>
      <c r="F43" s="537">
        <f>+q26_Aux!$F$6</f>
        <v>997.38</v>
      </c>
      <c r="G43" s="537">
        <f>+q26_Aux!$G$6</f>
        <v>1012.25</v>
      </c>
      <c r="H43" s="537">
        <f>+q26_Aux!$H$6</f>
        <v>1039.08</v>
      </c>
      <c r="I43" s="537">
        <f>+q26_Aux!$I$6</f>
        <v>1073.82</v>
      </c>
      <c r="J43" s="537">
        <f>+q26_Aux!$J$6</f>
        <v>1109.21</v>
      </c>
      <c r="K43" s="537">
        <f>+q26_Aux!$K$6</f>
        <v>1152.24</v>
      </c>
      <c r="L43" s="537">
        <f>+q26_Aux!$L$6</f>
        <v>1217.33</v>
      </c>
      <c r="M43" s="537">
        <f>+q26_Aux!$M$6</f>
        <v>1294.03</v>
      </c>
      <c r="N43" s="537"/>
      <c r="P43" s="532">
        <f>INDEX($A$2:$A$12,$P$9)</f>
        <v>2023</v>
      </c>
      <c r="Q43" s="501" t="s">
        <v>383</v>
      </c>
    </row>
    <row r="44" spans="1:21">
      <c r="C44" s="501">
        <f>+'q17'!$C$4</f>
        <v>2013</v>
      </c>
      <c r="D44" s="501">
        <f>+'q17'!$D$4</f>
        <v>2014</v>
      </c>
      <c r="E44" s="501">
        <f>+'q17'!$E$4</f>
        <v>2015</v>
      </c>
      <c r="F44" s="501">
        <f>+'q17'!$F$4</f>
        <v>2016</v>
      </c>
      <c r="G44" s="501">
        <f>+'q17'!$G$4</f>
        <v>2017</v>
      </c>
      <c r="H44" s="501">
        <f>+'q17'!$H$4</f>
        <v>2018</v>
      </c>
      <c r="I44" s="501">
        <f>+'q17'!$I$4</f>
        <v>2019</v>
      </c>
      <c r="J44" s="501">
        <f>+'q17'!$J$4</f>
        <v>2020</v>
      </c>
      <c r="K44" s="501">
        <f>+'q17'!$K$4</f>
        <v>2021</v>
      </c>
      <c r="L44" s="501">
        <f>+'q17'!$L$4</f>
        <v>2022</v>
      </c>
      <c r="M44" s="501">
        <f>+'q17'!$M$4</f>
        <v>2023</v>
      </c>
      <c r="R44" s="501" t="s">
        <v>116</v>
      </c>
      <c r="S44" s="501" t="s">
        <v>117</v>
      </c>
      <c r="T44" s="501" t="s">
        <v>12</v>
      </c>
      <c r="U44" s="501"/>
    </row>
    <row r="45" spans="1:21">
      <c r="A45" s="540" t="s">
        <v>117</v>
      </c>
      <c r="B45" s="532" t="str">
        <f>+Aux!$B$88</f>
        <v>&lt; 18 anos</v>
      </c>
      <c r="C45" s="537">
        <f>+q26_Aux!$R$10</f>
        <v>511.82</v>
      </c>
      <c r="D45" s="537">
        <f>+q26_Aux!$S$10</f>
        <v>523.85</v>
      </c>
      <c r="E45" s="537">
        <f>+q26_Aux!$T$10</f>
        <v>525.66</v>
      </c>
      <c r="F45" s="537">
        <f>+q26_Aux!$U$10</f>
        <v>546.78</v>
      </c>
      <c r="G45" s="537">
        <f>+q26_Aux!$V$10</f>
        <v>564.61</v>
      </c>
      <c r="H45" s="537">
        <f>+q26_Aux!$W$10</f>
        <v>609.04999999999995</v>
      </c>
      <c r="I45" s="537">
        <f>+q26_Aux!$X$10</f>
        <v>698</v>
      </c>
      <c r="J45" s="537">
        <f>+q26_Aux!$Y$10</f>
        <v>662.49</v>
      </c>
      <c r="K45" s="537">
        <f>+q26_Aux!$Z$10</f>
        <v>686.48</v>
      </c>
      <c r="L45" s="537">
        <f>+q26_Aux!$AA$10</f>
        <v>743.66</v>
      </c>
      <c r="M45" s="537">
        <f>+q26_Aux!$AB$10</f>
        <v>801.79</v>
      </c>
      <c r="P45" s="537">
        <f>+S45/T45</f>
        <v>0.4847868573676663</v>
      </c>
      <c r="Q45" s="532" t="s">
        <v>48</v>
      </c>
      <c r="R45" s="541">
        <f>INDEX($B$98:$M$107,MATCH($Q$45:$Q$52,$B$98:$B$107,0),MATCH($P$43,$B$98:$M$98,0))*-1</f>
        <v>-162389</v>
      </c>
      <c r="S45" s="541">
        <f>INDEX($B$109:$M$118,MATCH($Q$45:$Q$53,$B$109:$B$118,0),MATCH($P$43,$B$109:$M$109,0))</f>
        <v>152799</v>
      </c>
      <c r="T45" s="541">
        <f>+S45-R45</f>
        <v>315188</v>
      </c>
      <c r="U45" s="621">
        <f t="shared" ref="U45:U52" si="3">+T45/$T$53</f>
        <v>9.5623539576971076E-2</v>
      </c>
    </row>
    <row r="46" spans="1:21">
      <c r="B46" s="532" t="str">
        <f>+Aux!$B$89</f>
        <v>18 - 24 anos</v>
      </c>
      <c r="C46" s="537">
        <f>+q26_Aux!$R$13</f>
        <v>567.97</v>
      </c>
      <c r="D46" s="537">
        <f>+q26_Aux!$S$13</f>
        <v>579.35</v>
      </c>
      <c r="E46" s="537">
        <f>+q26_Aux!$T$13</f>
        <v>590.6</v>
      </c>
      <c r="F46" s="537">
        <f>+q26_Aux!$U$13</f>
        <v>612.13</v>
      </c>
      <c r="G46" s="537">
        <f>+q26_Aux!$V$13</f>
        <v>640.24</v>
      </c>
      <c r="H46" s="537">
        <f>+q26_Aux!$W$13</f>
        <v>667.73</v>
      </c>
      <c r="I46" s="537">
        <f>+q26_Aux!$X$13</f>
        <v>698.92</v>
      </c>
      <c r="J46" s="537">
        <f>+q26_Aux!$Y$13</f>
        <v>734.65</v>
      </c>
      <c r="K46" s="537">
        <f>+q26_Aux!$Z$13</f>
        <v>774.37</v>
      </c>
      <c r="L46" s="537">
        <f>+q26_Aux!$AA$13</f>
        <v>827.2</v>
      </c>
      <c r="M46" s="537">
        <f>+q26_Aux!$AB$13</f>
        <v>891.28</v>
      </c>
      <c r="P46" s="537">
        <f t="shared" ref="P46:P52" si="4">+S46/T46</f>
        <v>0.48915512381106896</v>
      </c>
      <c r="Q46" s="532" t="s">
        <v>49</v>
      </c>
      <c r="R46" s="541">
        <f t="shared" ref="R46:R51" si="5">INDEX($B$98:$M$107,MATCH($Q$45:$Q$52,$B$98:$B$107,0),MATCH($P$43,$B$98:$M$98,0))*-1</f>
        <v>-100757</v>
      </c>
      <c r="S46" s="541">
        <f t="shared" ref="S46:S53" si="6">INDEX($B$109:$M$118,MATCH($Q$45:$Q$53,$B$109:$B$118,0),MATCH($P$43,$B$109:$M$109,0))</f>
        <v>96479</v>
      </c>
      <c r="T46" s="541">
        <f t="shared" ref="T46:T51" si="7">+S46-R46</f>
        <v>197236</v>
      </c>
      <c r="U46" s="621">
        <f t="shared" si="3"/>
        <v>5.9838586659401588E-2</v>
      </c>
    </row>
    <row r="47" spans="1:21">
      <c r="B47" s="532" t="str">
        <f>+Aux!$B$90</f>
        <v>25 - 34 anos</v>
      </c>
      <c r="C47" s="537">
        <f>(q26_Aux!$R$16+q26_Aux!$R$19)/(q17a!$C$16+q17a!$C$19)</f>
        <v>758.48735980890785</v>
      </c>
      <c r="D47" s="537">
        <f>(q26_Aux!$S$16+q26_Aux!$S$19)/(q17a!$D$16+q17a!$D$19)</f>
        <v>757.73318874027154</v>
      </c>
      <c r="E47" s="537">
        <f>(q26_Aux!$T$16+q26_Aux!$T$19)/(q17a!$E$16+q17a!$E$19)</f>
        <v>758.7870588877505</v>
      </c>
      <c r="F47" s="537">
        <f>(q26_Aux!$U$16+q26_Aux!$U$19)/(q17a!$F$16+q17a!$F$19)</f>
        <v>773.91937513120445</v>
      </c>
      <c r="G47" s="537">
        <f>(q26_Aux!$V$16+q26_Aux!$V$19)/(q17a!$G$16+q17a!$G$19)</f>
        <v>796.10198983124371</v>
      </c>
      <c r="H47" s="537">
        <f>(q26_Aux!$W$16+q26_Aux!$W$19)/(q17a!$H$16+q17a!$H$19)</f>
        <v>823.32530249022341</v>
      </c>
      <c r="I47" s="537">
        <f>(q26_Aux!$X$16+q26_Aux!$X$19)/(q17a!$I$16+q17a!$I$19)</f>
        <v>864.16169581493648</v>
      </c>
      <c r="J47" s="537">
        <f>(q26_Aux!$Y$16+q26_Aux!$Y$19)/(q17a!$J$16+q17a!$J$19)</f>
        <v>904.68688814100346</v>
      </c>
      <c r="K47" s="537">
        <f>(q26_Aux!$Z$16+q26_Aux!$Z$19)/(q17a!$K$16+q17a!$K$19)</f>
        <v>951.62449444539402</v>
      </c>
      <c r="L47" s="537">
        <f>(q26_Aux!$AA$16+q26_Aux!$AA$19)/(q17a!$L$16+q17a!$L$19)</f>
        <v>1018.4881964179812</v>
      </c>
      <c r="M47" s="537">
        <f>(q26_Aux!$AB$16+q26_Aux!$AB$19)/(q17a!$M$16+q17a!$M$19)</f>
        <v>1089.5295678527075</v>
      </c>
      <c r="P47" s="537">
        <f t="shared" si="4"/>
        <v>0.40276818243550455</v>
      </c>
      <c r="Q47" s="532" t="s">
        <v>386</v>
      </c>
      <c r="R47" s="541">
        <f t="shared" si="5"/>
        <v>-101143</v>
      </c>
      <c r="S47" s="541">
        <f t="shared" si="6"/>
        <v>68210</v>
      </c>
      <c r="T47" s="541">
        <f t="shared" si="7"/>
        <v>169353</v>
      </c>
      <c r="U47" s="621">
        <f t="shared" si="3"/>
        <v>5.1379282517033595E-2</v>
      </c>
    </row>
    <row r="48" spans="1:21">
      <c r="B48" s="532" t="str">
        <f>+Aux!$B$91</f>
        <v>35 - 44 anos</v>
      </c>
      <c r="C48" s="537">
        <f>(q26_Aux!$R$22+q26_Aux!$R$25)/(q17a!$C$22+q17a!$C$25)</f>
        <v>884.24203100849741</v>
      </c>
      <c r="D48" s="537">
        <f>(q26_Aux!$S$22+q26_Aux!$S$25)/(q17a!$D$22+q17a!$D$25)</f>
        <v>888.7594919336882</v>
      </c>
      <c r="E48" s="537">
        <f>(q26_Aux!$T$22+q26_Aux!$T$25)/(q17a!$E$22+q17a!$E$25)</f>
        <v>892.22147371208325</v>
      </c>
      <c r="F48" s="537">
        <f>(q26_Aux!$U$22+q26_Aux!$U$25)/(q17a!$F$22+q17a!$F$25)</f>
        <v>906.23855305891425</v>
      </c>
      <c r="G48" s="537">
        <f>(q26_Aux!$V$22+q26_Aux!$V$25)/(q17a!$G$22+q17a!$G$25)</f>
        <v>925.70237376800117</v>
      </c>
      <c r="H48" s="537">
        <f>(q26_Aux!$W$22+q26_Aux!$W$25)/(q17a!$H$22+q17a!$H$25)</f>
        <v>950.5870488909527</v>
      </c>
      <c r="I48" s="537">
        <f>(q26_Aux!$X$22+q26_Aux!$X$25)/(q17a!$I$22+q17a!$I$25)</f>
        <v>983.94709824665915</v>
      </c>
      <c r="J48" s="537">
        <f>(q26_Aux!$Y$22+q26_Aux!$Y$25)/(q17a!$J$22+q17a!$J$25)</f>
        <v>1015.7466479400748</v>
      </c>
      <c r="K48" s="537">
        <f>(q26_Aux!$Z$22+q26_Aux!$Z$25)/(q17a!$K$22+q17a!$K$25)</f>
        <v>1050.7653760869564</v>
      </c>
      <c r="L48" s="537">
        <f>(q26_Aux!$AA$22+q26_Aux!$AA$25)/(q17a!$L$22+q17a!$L$25)</f>
        <v>1104.2713421455369</v>
      </c>
      <c r="M48" s="537">
        <f>(q26_Aux!$AB$22+q26_Aux!$AB$25)/(q17a!$M$22+q17a!$M$25)</f>
        <v>1178.8709557441496</v>
      </c>
      <c r="P48" s="537">
        <f t="shared" si="4"/>
        <v>0.49680162666873484</v>
      </c>
      <c r="Q48" s="532" t="s">
        <v>384</v>
      </c>
      <c r="R48" s="541">
        <f t="shared" si="5"/>
        <v>-149227</v>
      </c>
      <c r="S48" s="541">
        <f t="shared" si="6"/>
        <v>147330</v>
      </c>
      <c r="T48" s="541">
        <f t="shared" si="7"/>
        <v>296557</v>
      </c>
      <c r="U48" s="621">
        <f t="shared" si="3"/>
        <v>8.9971160153076296E-2</v>
      </c>
    </row>
    <row r="49" spans="1:30">
      <c r="B49" s="532" t="str">
        <f>+Aux!$B$92</f>
        <v>45 - 54 anos</v>
      </c>
      <c r="C49" s="537">
        <f>(q26_Aux!$R$28+q26_Aux!$R$31)/(q17a!$C$28+q17a!$C$31)</f>
        <v>837.34353954878509</v>
      </c>
      <c r="D49" s="537">
        <f>(q26_Aux!$S$28+q26_Aux!$S$31)/(q17a!$D$28+q17a!$D$31)</f>
        <v>841.08724221348655</v>
      </c>
      <c r="E49" s="537">
        <f>(q26_Aux!$T$28+q26_Aux!$T$31)/(q17a!$E$28+q17a!$E$31)</f>
        <v>849.03192335377355</v>
      </c>
      <c r="F49" s="537">
        <f>(q26_Aux!$U$28+q26_Aux!$U$31)/(q17a!$F$28+q17a!$F$31)</f>
        <v>868.74594893825838</v>
      </c>
      <c r="G49" s="537">
        <f>(q26_Aux!$V$28+q26_Aux!$V$31)/(q17a!$G$28+q17a!$G$31)</f>
        <v>894.33222776293087</v>
      </c>
      <c r="H49" s="537">
        <f>(q26_Aux!$W$28+q26_Aux!$W$31)/(q17a!$H$28+q17a!$H$31)</f>
        <v>929.11582089669446</v>
      </c>
      <c r="I49" s="537">
        <f>(q26_Aux!$X$28+q26_Aux!$X$31)/(q17a!$I$28+q17a!$I$31)</f>
        <v>967.89328599514283</v>
      </c>
      <c r="J49" s="537">
        <f>(q26_Aux!$Y$28+q26_Aux!$Y$31)/(q17a!$J$28+q17a!$J$31)</f>
        <v>1005.6592366076593</v>
      </c>
      <c r="K49" s="537">
        <f>(q26_Aux!$Z$28+q26_Aux!$Z$31)/(q17a!$K$28+q17a!$K$31)</f>
        <v>1047.6398747223816</v>
      </c>
      <c r="L49" s="537">
        <f>(q26_Aux!$AA$28+q26_Aux!$AA$31)/(q17a!$L$28+q17a!$L$31)</f>
        <v>1107.7813019559071</v>
      </c>
      <c r="M49" s="537">
        <f>(q26_Aux!$AB$28+q26_Aux!$AB$31)/(q17a!$M$28+q17a!$M$31)</f>
        <v>1194.5282294044509</v>
      </c>
      <c r="P49" s="537">
        <f t="shared" si="4"/>
        <v>0.41817148913619501</v>
      </c>
      <c r="Q49" s="532" t="s">
        <v>50</v>
      </c>
      <c r="R49" s="541">
        <f t="shared" si="5"/>
        <v>-686194</v>
      </c>
      <c r="S49" s="541">
        <f t="shared" si="6"/>
        <v>493181</v>
      </c>
      <c r="T49" s="541">
        <f t="shared" si="7"/>
        <v>1179375</v>
      </c>
      <c r="U49" s="621">
        <f t="shared" si="3"/>
        <v>0.35780553824571454</v>
      </c>
      <c r="V49" s="552">
        <f>+U49+U50</f>
        <v>0.55956978690793524</v>
      </c>
    </row>
    <row r="50" spans="1:30">
      <c r="B50" s="532" t="str">
        <f>+Aux!$B$93</f>
        <v>55 - 64 anos</v>
      </c>
      <c r="C50" s="537">
        <f>(q26_Aux!$R$34+q26_Aux!$R$37)/(q17a!$C$34+q17a!$C$37)</f>
        <v>833.79351801773475</v>
      </c>
      <c r="D50" s="537">
        <f>(q26_Aux!$S$34+q26_Aux!$S$37)/(q17a!$D$34+q17a!$D$37)</f>
        <v>836.76552001827633</v>
      </c>
      <c r="E50" s="537">
        <f>(q26_Aux!$T$34+q26_Aux!$T$37)/(q17a!$E$34+q17a!$E$37)</f>
        <v>842.50826478270449</v>
      </c>
      <c r="F50" s="537">
        <f>(q26_Aux!$U$34+q26_Aux!$U$37)/(q17a!$F$34+q17a!$F$37)</f>
        <v>849.58772889995714</v>
      </c>
      <c r="G50" s="537">
        <f>(q26_Aux!$V$34+q26_Aux!$V$37)/(q17a!$G$34+q17a!$G$37)</f>
        <v>865.19630121855948</v>
      </c>
      <c r="H50" s="537">
        <f>(q26_Aux!$W$34+q26_Aux!$W$37)/(q17a!$H$34+q17a!$H$37)</f>
        <v>887.78719043344768</v>
      </c>
      <c r="I50" s="537">
        <f>(q26_Aux!$X$34+q26_Aux!$X$37)/(q17a!$I$34+q17a!$I$37)</f>
        <v>907.92285662542952</v>
      </c>
      <c r="J50" s="537">
        <f>(q26_Aux!$Y$34+q26_Aux!$Y$37)/(q17a!$J$34+q17a!$J$37)</f>
        <v>940.88365418159901</v>
      </c>
      <c r="K50" s="537">
        <f>(q26_Aux!$Z$34+q26_Aux!$Z$37)/(q17a!$K$34+q17a!$K$37)</f>
        <v>973.20046958291243</v>
      </c>
      <c r="L50" s="537">
        <f>(q26_Aux!$AA$34+q26_Aux!$AA$37)/(q17a!$L$34+q17a!$L$37)</f>
        <v>1015.1706121963628</v>
      </c>
      <c r="M50" s="537">
        <f>(q26_Aux!$AB$34+q26_Aux!$AB$37)/(q17a!$M$34+q17a!$M$37)</f>
        <v>1087.881585360592</v>
      </c>
      <c r="P50" s="537">
        <f t="shared" si="4"/>
        <v>0.56436736326427506</v>
      </c>
      <c r="Q50" s="532" t="s">
        <v>385</v>
      </c>
      <c r="R50" s="541">
        <f t="shared" si="5"/>
        <v>-289714</v>
      </c>
      <c r="S50" s="541">
        <f t="shared" si="6"/>
        <v>375328</v>
      </c>
      <c r="T50" s="541">
        <f t="shared" si="7"/>
        <v>665042</v>
      </c>
      <c r="U50" s="621">
        <f t="shared" si="3"/>
        <v>0.20176424866222065</v>
      </c>
    </row>
    <row r="51" spans="1:30">
      <c r="B51" s="532" t="str">
        <f>+Aux!$B$94</f>
        <v>65 e + anos</v>
      </c>
      <c r="C51" s="537">
        <f>+q26_Aux!$R$40</f>
        <v>915.48</v>
      </c>
      <c r="D51" s="537">
        <f>+q26_Aux!$S$40</f>
        <v>875.04</v>
      </c>
      <c r="E51" s="537">
        <f>+q26_Aux!$T$40</f>
        <v>894.55</v>
      </c>
      <c r="F51" s="537">
        <f>+q26_Aux!$U$40</f>
        <v>909.95</v>
      </c>
      <c r="G51" s="537">
        <f>+q26_Aux!$V$40</f>
        <v>899.85</v>
      </c>
      <c r="H51" s="537">
        <f>+q26_Aux!$W$40</f>
        <v>929.87</v>
      </c>
      <c r="I51" s="537">
        <f>+q26_Aux!$X$40</f>
        <v>982.74</v>
      </c>
      <c r="J51" s="537">
        <f>+q26_Aux!$Y$40</f>
        <v>1024.3399999999999</v>
      </c>
      <c r="K51" s="537">
        <f>+q26_Aux!$Z$40</f>
        <v>1065.1300000000001</v>
      </c>
      <c r="L51" s="537">
        <f>+q26_Aux!$AA$40</f>
        <v>1093.93</v>
      </c>
      <c r="M51" s="537">
        <f>+q26_Aux!$AB$40</f>
        <v>1157.69</v>
      </c>
      <c r="P51" s="537">
        <f t="shared" si="4"/>
        <v>0.46870308364263963</v>
      </c>
      <c r="Q51" s="532" t="s">
        <v>51</v>
      </c>
      <c r="R51" s="541">
        <f t="shared" si="5"/>
        <v>-210562</v>
      </c>
      <c r="S51" s="541">
        <f t="shared" si="6"/>
        <v>185755</v>
      </c>
      <c r="T51" s="541">
        <f t="shared" si="7"/>
        <v>396317</v>
      </c>
      <c r="U51" s="621">
        <f t="shared" si="3"/>
        <v>0.12023691997958821</v>
      </c>
    </row>
    <row r="52" spans="1:30">
      <c r="B52" s="532" t="str">
        <f>+Aux!$B$95</f>
        <v>Total</v>
      </c>
      <c r="C52" s="537">
        <f>+q26_Aux!$C$7</f>
        <v>816.21</v>
      </c>
      <c r="D52" s="537">
        <f>+q26_Aux!$D$7</f>
        <v>820.25</v>
      </c>
      <c r="E52" s="537">
        <f>+q26_Aux!$E$7</f>
        <v>824.99</v>
      </c>
      <c r="F52" s="537">
        <f>+q26_Aux!$F$7</f>
        <v>840.26</v>
      </c>
      <c r="G52" s="537">
        <f>+q26_Aux!$G$7</f>
        <v>861.17</v>
      </c>
      <c r="H52" s="537">
        <f>+q26_Aux!$H$7</f>
        <v>888.56</v>
      </c>
      <c r="I52" s="537">
        <f>+q26_Aux!$I$7</f>
        <v>922.63</v>
      </c>
      <c r="J52" s="537">
        <f>+q26_Aux!$J$7</f>
        <v>960.27</v>
      </c>
      <c r="K52" s="537">
        <f>+q26_Aux!$K$7</f>
        <v>999.33</v>
      </c>
      <c r="L52" s="537">
        <f>+q26_Aux!$L$7</f>
        <v>1054.3599999999999</v>
      </c>
      <c r="M52" s="537">
        <f>+q26_Aux!$M$7</f>
        <v>1129.6400000000001</v>
      </c>
      <c r="P52" s="537">
        <f t="shared" si="4"/>
        <v>0.43781953131082446</v>
      </c>
      <c r="Q52" s="532" t="s">
        <v>52</v>
      </c>
      <c r="R52" s="541">
        <f>INDEX($B$98:$M$107,MATCH($Q$45:$Q$53,$B$98:$B$107,0),MATCH($P$43,$B$98:$M$98,0))*-1</f>
        <v>-43325</v>
      </c>
      <c r="S52" s="541">
        <f t="shared" si="6"/>
        <v>33741</v>
      </c>
      <c r="T52" s="541">
        <f>+S52-R52</f>
        <v>77066</v>
      </c>
      <c r="U52" s="621">
        <f t="shared" si="3"/>
        <v>2.3380724205994054E-2</v>
      </c>
    </row>
    <row r="53" spans="1:30">
      <c r="C53" s="501">
        <f>+'q17'!$C$4</f>
        <v>2013</v>
      </c>
      <c r="D53" s="501">
        <f>+'q17'!$D$4</f>
        <v>2014</v>
      </c>
      <c r="E53" s="501">
        <f>+'q17'!$E$4</f>
        <v>2015</v>
      </c>
      <c r="F53" s="501">
        <f>+'q17'!$F$4</f>
        <v>2016</v>
      </c>
      <c r="G53" s="501">
        <f>+'q17'!$G$4</f>
        <v>2017</v>
      </c>
      <c r="H53" s="501">
        <f>+'q17'!$H$4</f>
        <v>2018</v>
      </c>
      <c r="I53" s="501">
        <f>+'q17'!$I$4</f>
        <v>2019</v>
      </c>
      <c r="J53" s="501">
        <f>+'q17'!$J$4</f>
        <v>2020</v>
      </c>
      <c r="K53" s="501">
        <f>+'q17'!$K$4</f>
        <v>2021</v>
      </c>
      <c r="L53" s="501">
        <f>+'q17'!$L$4</f>
        <v>2022</v>
      </c>
      <c r="M53" s="501">
        <f>+'q17'!$M$4</f>
        <v>2023</v>
      </c>
      <c r="Q53" s="532" t="s">
        <v>12</v>
      </c>
      <c r="R53" s="541">
        <f>INDEX($B$98:$M$107,MATCH($Q$45:$Q$53,$B$98:$B$107,0),MATCH($P$43,$B$98:$M$98,0))</f>
        <v>1743311</v>
      </c>
      <c r="S53" s="541">
        <f t="shared" si="6"/>
        <v>1552823</v>
      </c>
      <c r="T53" s="541">
        <f>+R53+S53</f>
        <v>3296134</v>
      </c>
      <c r="U53" s="538"/>
    </row>
    <row r="54" spans="1:30">
      <c r="A54" s="540" t="s">
        <v>12</v>
      </c>
      <c r="B54" s="532" t="str">
        <f>+Aux!$B$88</f>
        <v>&lt; 18 anos</v>
      </c>
      <c r="C54" s="537">
        <f>+q26_Aux!$R$8</f>
        <v>553.22</v>
      </c>
      <c r="D54" s="537">
        <f>+q26_Aux!$S$8</f>
        <v>673.39</v>
      </c>
      <c r="E54" s="537">
        <f>+q26_Aux!$T$8</f>
        <v>645.97</v>
      </c>
      <c r="F54" s="537">
        <f>+q26_Aux!$U$8</f>
        <v>688.29</v>
      </c>
      <c r="G54" s="537">
        <f>+q26_Aux!$V$8</f>
        <v>682.82</v>
      </c>
      <c r="H54" s="537">
        <f>+q26_Aux!$W$8</f>
        <v>693.22</v>
      </c>
      <c r="I54" s="537">
        <f>+q26_Aux!$X$8</f>
        <v>939.88</v>
      </c>
      <c r="J54" s="537">
        <f>+q26_Aux!$Y$8</f>
        <v>1150.33</v>
      </c>
      <c r="K54" s="537">
        <f>+q26_Aux!$Z$8</f>
        <v>1101.01</v>
      </c>
      <c r="L54" s="537">
        <f>+q26_Aux!$AA$8</f>
        <v>1066.3</v>
      </c>
      <c r="M54" s="537">
        <f>+q26_Aux!$AB$8</f>
        <v>1101.81</v>
      </c>
    </row>
    <row r="55" spans="1:30">
      <c r="B55" s="532" t="str">
        <f>+Aux!$B$89</f>
        <v>18 - 24 anos</v>
      </c>
      <c r="C55" s="537">
        <f>+q26_Aux!$R$11</f>
        <v>602.54999999999995</v>
      </c>
      <c r="D55" s="537">
        <f>+q26_Aux!$S$11</f>
        <v>607.62</v>
      </c>
      <c r="E55" s="537">
        <f>+q26_Aux!$T$11</f>
        <v>621.04999999999995</v>
      </c>
      <c r="F55" s="537">
        <f>+q26_Aux!$U$11</f>
        <v>639.49</v>
      </c>
      <c r="G55" s="537">
        <f>+q26_Aux!$V$11</f>
        <v>664.29</v>
      </c>
      <c r="H55" s="537">
        <f>+q26_Aux!$W$11</f>
        <v>693.67</v>
      </c>
      <c r="I55" s="537">
        <f>+q26_Aux!$X$11</f>
        <v>727.92</v>
      </c>
      <c r="J55" s="537">
        <f>+q26_Aux!$Y$11</f>
        <v>762.02</v>
      </c>
      <c r="K55" s="537">
        <f>+q26_Aux!$Z$11</f>
        <v>799.28</v>
      </c>
      <c r="L55" s="537">
        <f>+q26_Aux!$AA$11</f>
        <v>857.95</v>
      </c>
      <c r="M55" s="537">
        <f>+q26_Aux!$AB$11</f>
        <v>925.26</v>
      </c>
    </row>
    <row r="56" spans="1:30">
      <c r="B56" s="532" t="str">
        <f>+Aux!$B$90</f>
        <v>25 - 34 anos</v>
      </c>
      <c r="C56" s="537">
        <f>(q26_Aux!$R$14+q26_Aux!$R$17)/(q17a!$C$14+q17a!$C$17)</f>
        <v>790.45002754070276</v>
      </c>
      <c r="D56" s="537">
        <f>(q26_Aux!$S$14+q26_Aux!$S$17)/(q17a!$D$14+q17a!$D$17)</f>
        <v>785.84739425785688</v>
      </c>
      <c r="E56" s="537">
        <f>(q26_Aux!$T$14+q26_Aux!$T$17)/(q17a!$E$14+q17a!$E$17)</f>
        <v>791.20702799265052</v>
      </c>
      <c r="F56" s="537">
        <f>(q26_Aux!$U$14+q26_Aux!$U$17)/(q17a!$F$14+q17a!$F$17)</f>
        <v>805.58821237549535</v>
      </c>
      <c r="G56" s="537">
        <f>(q26_Aux!$V$14+q26_Aux!$V$17)/(q17a!$G$14+q17a!$G$17)</f>
        <v>831.12683772551702</v>
      </c>
      <c r="H56" s="537">
        <f>(q26_Aux!$W$14+q26_Aux!$W$17)/(q17a!$H$14+q17a!$H$17)</f>
        <v>864.8008203081655</v>
      </c>
      <c r="I56" s="537">
        <f>(q26_Aux!$X$14+q26_Aux!$X$17)/(q17a!$I$14+q17a!$I$17)</f>
        <v>907.41890616210026</v>
      </c>
      <c r="J56" s="537">
        <f>(q26_Aux!$Y$14+q26_Aux!$Y$17)/(q17a!$J$14+q17a!$J$17)</f>
        <v>946.16184900854432</v>
      </c>
      <c r="K56" s="537">
        <f>(q26_Aux!$Z$14+q26_Aux!$Z$17)/(q17a!$K$14+q17a!$K$17)</f>
        <v>997.27479420469217</v>
      </c>
      <c r="L56" s="537">
        <f>(q26_Aux!$AA$14+q26_Aux!$AA$17)/(q17a!$L$14+q17a!$L$17)</f>
        <v>1067.3999975480526</v>
      </c>
      <c r="M56" s="537">
        <f>(q26_Aux!$AB$14+q26_Aux!$AB$17)/(q17a!$M$14+q17a!$M$17)</f>
        <v>1134.9691398728628</v>
      </c>
      <c r="P56" s="618"/>
      <c r="Q56" s="618"/>
      <c r="R56" s="618"/>
      <c r="S56" s="618"/>
      <c r="T56" s="618"/>
    </row>
    <row r="57" spans="1:30" ht="12" customHeight="1">
      <c r="B57" s="532" t="str">
        <f>+Aux!$B$91</f>
        <v>35 - 44 anos</v>
      </c>
      <c r="C57" s="537">
        <f>(q26_Aux!$R$20+q26_Aux!$R$23)/(q17a!$C$20+q17a!$C$23)</f>
        <v>968.60035604549239</v>
      </c>
      <c r="D57" s="537">
        <f>(q26_Aux!$S$20+q26_Aux!$S$23)/(q17a!$D$20+q17a!$D$23)</f>
        <v>966.44910178784937</v>
      </c>
      <c r="E57" s="537">
        <f>(q26_Aux!$T$20+q26_Aux!$T$23)/(q17a!$E$20+q17a!$E$23)</f>
        <v>967.27220168507608</v>
      </c>
      <c r="F57" s="537">
        <f>(q26_Aux!$U$20+q26_Aux!$U$23)/(q17a!$F$20+q17a!$F$23)</f>
        <v>976.82987352553675</v>
      </c>
      <c r="G57" s="537">
        <f>(q26_Aux!$V$20+q26_Aux!$V$23)/(q17a!$G$20+q17a!$G$23)</f>
        <v>992.24269918728669</v>
      </c>
      <c r="H57" s="537">
        <f>(q26_Aux!$W$20+q26_Aux!$W$23)/(q17a!$H$20+q17a!$H$23)</f>
        <v>1017.8946955645403</v>
      </c>
      <c r="I57" s="537">
        <f>(q26_Aux!$X$20+q26_Aux!$X$23)/(q17a!$I$20+q17a!$I$23)</f>
        <v>1053.6463234095174</v>
      </c>
      <c r="J57" s="537">
        <f>(q26_Aux!$Y$20+q26_Aux!$Y$23)/(q17a!$J$20+q17a!$J$23)</f>
        <v>1082.5929293152901</v>
      </c>
      <c r="K57" s="537">
        <f>(q26_Aux!$Z$20+q26_Aux!$Z$23)/(q17a!$K$20+q17a!$K$23)</f>
        <v>1124.778221899493</v>
      </c>
      <c r="L57" s="537">
        <f>(q26_Aux!$AA$20+q26_Aux!$AA$23)/(q17a!$L$20+q17a!$L$23)</f>
        <v>1189.0122756408252</v>
      </c>
      <c r="M57" s="537">
        <f>(q26_Aux!$AB$20+q26_Aux!$AB$23)/(q17a!$M$20+q17a!$M$23)</f>
        <v>1266.5928282166901</v>
      </c>
      <c r="P57" s="618"/>
      <c r="Q57" s="618"/>
      <c r="R57" s="618"/>
      <c r="S57" s="618"/>
      <c r="T57" s="618"/>
      <c r="Y57" s="775" t="str">
        <f>CONCATENATE(W58,X58,CHAR(10),W59,W60,W61," ",W62,W63," ",W64,W65)</f>
        <v>2023:
56,0% dos TCO eram profissionais qualificados e semi-qualificados, onde a taxa de feminização era de  41,8% e de 56,4%, respetivamente.</v>
      </c>
      <c r="Z57" s="775"/>
      <c r="AA57" s="775"/>
      <c r="AB57" s="775"/>
      <c r="AC57" s="775"/>
      <c r="AD57" s="775"/>
    </row>
    <row r="58" spans="1:30">
      <c r="B58" s="532" t="str">
        <f>+Aux!$B$92</f>
        <v>45 - 54 anos</v>
      </c>
      <c r="C58" s="537">
        <f>(q26_Aux!$R$26+q26_Aux!$R$29)/(q17a!$C$26+q17a!$C$29)</f>
        <v>981.94926456981136</v>
      </c>
      <c r="D58" s="537">
        <f>(q26_Aux!$S$26+q26_Aux!$S$29)/(q17a!$D$26+q17a!$D$29)</f>
        <v>974.93762269811566</v>
      </c>
      <c r="E58" s="537">
        <f>(q26_Aux!$T$26+q26_Aux!$T$29)/(q17a!$E$26+q17a!$E$29)</f>
        <v>979.294847972973</v>
      </c>
      <c r="F58" s="537">
        <f>(q26_Aux!$U$26+q26_Aux!$U$29)/(q17a!$F$26+q17a!$F$29)</f>
        <v>991.38945268754503</v>
      </c>
      <c r="G58" s="537">
        <f>(q26_Aux!$V$26+q26_Aux!$V$29)/(q17a!$G$26+q17a!$G$29)</f>
        <v>1011.9434192559409</v>
      </c>
      <c r="H58" s="537">
        <f>(q26_Aux!$W$26+q26_Aux!$W$29)/(q17a!$H$26+q17a!$H$29)</f>
        <v>1043.1209500657196</v>
      </c>
      <c r="I58" s="537">
        <f>(q26_Aux!$X$26+q26_Aux!$X$29)/(q17a!$I$26+q17a!$I$29)</f>
        <v>1081.87579734422</v>
      </c>
      <c r="J58" s="537">
        <f>(q26_Aux!$Y$26+q26_Aux!$Y$29)/(q17a!$J$26+q17a!$J$29)</f>
        <v>1118.5980386850276</v>
      </c>
      <c r="K58" s="537">
        <f>(q26_Aux!$Z$26+q26_Aux!$Z$29)/(q17a!$K$26+q17a!$K$29)</f>
        <v>1158.7734341856565</v>
      </c>
      <c r="L58" s="537">
        <f>(q26_Aux!$AA$26+q26_Aux!$AA$29)/(q17a!$L$26+q17a!$L$29)</f>
        <v>1224.3068725982714</v>
      </c>
      <c r="M58" s="537">
        <f>(q26_Aux!$AB$26+q26_Aux!$AB$29)/(q17a!$M$26+q17a!$M$29)</f>
        <v>1314.2108032221263</v>
      </c>
      <c r="P58" s="618"/>
      <c r="Q58" s="618"/>
      <c r="R58" s="618"/>
      <c r="S58" s="618"/>
      <c r="T58" s="618"/>
      <c r="W58" s="532">
        <f>+P43</f>
        <v>2023</v>
      </c>
      <c r="X58" s="532" t="s">
        <v>443</v>
      </c>
      <c r="Y58" s="775"/>
      <c r="Z58" s="775"/>
      <c r="AA58" s="775"/>
      <c r="AB58" s="775"/>
      <c r="AC58" s="775"/>
      <c r="AD58" s="775"/>
    </row>
    <row r="59" spans="1:30">
      <c r="B59" s="532" t="str">
        <f>+Aux!$B$93</f>
        <v>55 - 64 anos</v>
      </c>
      <c r="C59" s="537">
        <f>(q26_Aux!$R$32+q26_Aux!$R$35)/(q17a!$C$32+q17a!$C$35)</f>
        <v>1046.1400136867887</v>
      </c>
      <c r="D59" s="537">
        <f>(q26_Aux!$S$32+q26_Aux!$S$35)/(q17a!$D$32+q17a!$D$35)</f>
        <v>1028.7361212539406</v>
      </c>
      <c r="E59" s="537">
        <f>(q26_Aux!$T$32+q26_Aux!$T$35)/(q17a!$E$32+q17a!$E$35)</f>
        <v>1027.1053867734413</v>
      </c>
      <c r="F59" s="537">
        <f>(q26_Aux!$U$32+q26_Aux!$U$35)/(q17a!$F$32+q17a!$F$35)</f>
        <v>1023.6258350842712</v>
      </c>
      <c r="G59" s="537">
        <f>(q26_Aux!$V$32+q26_Aux!$V$35)/(q17a!$G$32+q17a!$G$35)</f>
        <v>1024.5613717001218</v>
      </c>
      <c r="H59" s="537">
        <f>(q26_Aux!$W$32+q26_Aux!$W$35)/(q17a!$H$32+q17a!$H$35)</f>
        <v>1039.1877519779352</v>
      </c>
      <c r="I59" s="537">
        <f>(q26_Aux!$X$32+q26_Aux!$X$35)/(q17a!$I$32+q17a!$I$35)</f>
        <v>1053.8106765937009</v>
      </c>
      <c r="J59" s="537">
        <f>(q26_Aux!$Y$32+q26_Aux!$Y$35)/(q17a!$J$32+q17a!$J$35)</f>
        <v>1084.9770251136447</v>
      </c>
      <c r="K59" s="537">
        <f>(q26_Aux!$Z$32+q26_Aux!$Z$35)/(q17a!$K$32+q17a!$K$35)</f>
        <v>1108.4561717962138</v>
      </c>
      <c r="L59" s="537">
        <f>(q26_Aux!$AA$32+q26_Aux!$AA$35)/(q17a!$L$32+q17a!$L$35)</f>
        <v>1154.6307363603999</v>
      </c>
      <c r="M59" s="537">
        <f>(q26_Aux!$AB$32+q26_Aux!$AB$35)/(q17a!$M$32+q17a!$M$35)</f>
        <v>1231.2502046094103</v>
      </c>
      <c r="P59" s="618"/>
      <c r="Q59" s="590"/>
      <c r="R59" s="618"/>
      <c r="S59" s="618"/>
      <c r="T59" s="618"/>
      <c r="W59" s="552" t="str">
        <f>TEXT(V49,"##.###,0%")</f>
        <v>56,0%</v>
      </c>
      <c r="Y59" s="775"/>
      <c r="Z59" s="775"/>
      <c r="AA59" s="775"/>
      <c r="AB59" s="775"/>
      <c r="AC59" s="775"/>
      <c r="AD59" s="775"/>
    </row>
    <row r="60" spans="1:30">
      <c r="B60" s="532" t="str">
        <f>+Aux!$B$94</f>
        <v>65 e + anos</v>
      </c>
      <c r="C60" s="537">
        <f>+q26_Aux!$R$38</f>
        <v>1220.43</v>
      </c>
      <c r="D60" s="537">
        <f>+q26_Aux!$S$38</f>
        <v>1170.01</v>
      </c>
      <c r="E60" s="537">
        <f>+q26_Aux!$T$38</f>
        <v>1185.02</v>
      </c>
      <c r="F60" s="537">
        <f>+q26_Aux!$U$38</f>
        <v>1181.94</v>
      </c>
      <c r="G60" s="537">
        <f>+q26_Aux!$V$38</f>
        <v>1181.47</v>
      </c>
      <c r="H60" s="537">
        <f>+q26_Aux!$W$38</f>
        <v>1177.69</v>
      </c>
      <c r="I60" s="537">
        <f>+q26_Aux!$X$38</f>
        <v>1219.73</v>
      </c>
      <c r="J60" s="537">
        <f>+q26_Aux!$Y$38</f>
        <v>1280.79</v>
      </c>
      <c r="K60" s="537">
        <f>+q26_Aux!$Z$38</f>
        <v>1291.3499999999999</v>
      </c>
      <c r="L60" s="537">
        <f>+q26_Aux!$AA$38</f>
        <v>1298</v>
      </c>
      <c r="M60" s="537">
        <f>+q26_Aux!$AB$38</f>
        <v>1345.46</v>
      </c>
      <c r="P60" s="618"/>
      <c r="Q60" s="618"/>
      <c r="R60" s="590"/>
      <c r="S60" s="590"/>
      <c r="T60" s="590"/>
      <c r="W60" s="532" t="s">
        <v>517</v>
      </c>
      <c r="Y60" s="775"/>
      <c r="Z60" s="775"/>
      <c r="AA60" s="775"/>
      <c r="AB60" s="775"/>
      <c r="AC60" s="775"/>
      <c r="AD60" s="775"/>
    </row>
    <row r="61" spans="1:30">
      <c r="B61" s="532" t="str">
        <f>+Aux!$B$95</f>
        <v>Total</v>
      </c>
      <c r="C61" s="537">
        <f>+q26_Aux!$C$5</f>
        <v>912.18</v>
      </c>
      <c r="D61" s="537">
        <f>+q26_Aux!$D$5</f>
        <v>909.49</v>
      </c>
      <c r="E61" s="537">
        <f>+q26_Aux!$E$5</f>
        <v>913.93</v>
      </c>
      <c r="F61" s="537">
        <f>+q26_Aux!$F$5</f>
        <v>924.94</v>
      </c>
      <c r="G61" s="537">
        <f>+q26_Aux!$G$5</f>
        <v>943</v>
      </c>
      <c r="H61" s="537">
        <f>+q26_Aux!$H$5</f>
        <v>970.42</v>
      </c>
      <c r="I61" s="537">
        <f>+q26_Aux!$I$5</f>
        <v>1005.09</v>
      </c>
      <c r="J61" s="537">
        <f>+q26_Aux!$J$5</f>
        <v>1041.99</v>
      </c>
      <c r="K61" s="537">
        <f>+q26_Aux!$K$5</f>
        <v>1082.77</v>
      </c>
      <c r="L61" s="537">
        <f>+q26_Aux!$L$5</f>
        <v>1143.45</v>
      </c>
      <c r="M61" s="537">
        <f>+q26_Aux!$M$5</f>
        <v>1219.8699999999999</v>
      </c>
      <c r="P61" s="618"/>
      <c r="Q61" s="618"/>
      <c r="R61" s="620"/>
      <c r="S61" s="620"/>
      <c r="T61" s="620"/>
      <c r="W61" s="532" t="s">
        <v>433</v>
      </c>
    </row>
    <row r="62" spans="1:30">
      <c r="P62" s="618"/>
      <c r="Q62" s="618"/>
      <c r="R62" s="620"/>
      <c r="S62" s="620"/>
      <c r="T62" s="620"/>
      <c r="W62" s="552" t="str">
        <f>TEXT(P49,"##.###,0%")</f>
        <v>41,8%</v>
      </c>
    </row>
    <row r="63" spans="1:30">
      <c r="A63" s="539" t="s">
        <v>382</v>
      </c>
      <c r="C63" s="501">
        <f>+'q17'!$C$4</f>
        <v>2013</v>
      </c>
      <c r="D63" s="501">
        <f>+'q17'!$D$4</f>
        <v>2014</v>
      </c>
      <c r="E63" s="501">
        <f>+'q17'!$E$4</f>
        <v>2015</v>
      </c>
      <c r="F63" s="501">
        <f>+'q17'!$F$4</f>
        <v>2016</v>
      </c>
      <c r="G63" s="501">
        <f>+'q17'!$G$4</f>
        <v>2017</v>
      </c>
      <c r="H63" s="501">
        <f>+'q17'!$H$4</f>
        <v>2018</v>
      </c>
      <c r="I63" s="501">
        <f>+'q17'!$I$4</f>
        <v>2019</v>
      </c>
      <c r="J63" s="501">
        <f>+'q17'!$J$4</f>
        <v>2020</v>
      </c>
      <c r="K63" s="501">
        <f>+'q17'!$K$4</f>
        <v>2021</v>
      </c>
      <c r="L63" s="501">
        <f>+'q17'!$L$4</f>
        <v>2022</v>
      </c>
      <c r="M63" s="501">
        <f>+'q17'!$M$4</f>
        <v>2023</v>
      </c>
      <c r="P63" s="618"/>
      <c r="Q63" s="618"/>
      <c r="R63" s="620"/>
      <c r="S63" s="620"/>
      <c r="T63" s="620"/>
      <c r="W63" s="532" t="s">
        <v>518</v>
      </c>
    </row>
    <row r="64" spans="1:30">
      <c r="A64" s="539" t="s">
        <v>116</v>
      </c>
      <c r="B64" s="532" t="str">
        <f>+Aux!$B$88</f>
        <v>&lt; 18 anos</v>
      </c>
      <c r="C64" s="537">
        <f>+q37_Aux!$R$9</f>
        <v>652.38</v>
      </c>
      <c r="D64" s="537">
        <f>+q37_Aux!$S$9</f>
        <v>837.34</v>
      </c>
      <c r="E64" s="537">
        <f>+q37_Aux!$T$9</f>
        <v>767.94</v>
      </c>
      <c r="F64" s="537">
        <f>+q37_Aux!$U$9</f>
        <v>814.54</v>
      </c>
      <c r="G64" s="537">
        <f>+q37_Aux!$V$9</f>
        <v>805.1</v>
      </c>
      <c r="H64" s="537">
        <f>+q37_Aux!$W$9</f>
        <v>813.3</v>
      </c>
      <c r="I64" s="537">
        <f>+q37_Aux!$X$9</f>
        <v>1105.51</v>
      </c>
      <c r="J64" s="537">
        <f>+q37_Aux!$Y$9</f>
        <v>1339.07</v>
      </c>
      <c r="K64" s="537">
        <f>+q37_Aux!$Z$9</f>
        <v>1291.68</v>
      </c>
      <c r="L64" s="537">
        <f>+q37_Aux!$AA$9</f>
        <v>1255.19</v>
      </c>
      <c r="M64" s="537">
        <f>+q37_Aux!$AB$9</f>
        <v>1290.02</v>
      </c>
      <c r="P64" s="618"/>
      <c r="Q64" s="618"/>
      <c r="R64" s="620"/>
      <c r="S64" s="620"/>
      <c r="T64" s="620"/>
      <c r="W64" s="552" t="str">
        <f>TEXT(P50,"##.###,0%")</f>
        <v>56,4%</v>
      </c>
    </row>
    <row r="65" spans="1:23">
      <c r="B65" s="532" t="str">
        <f>+Aux!$B$89</f>
        <v>18 - 24 anos</v>
      </c>
      <c r="C65" s="537">
        <f>+q37_Aux!$R$12</f>
        <v>753.12</v>
      </c>
      <c r="D65" s="537">
        <f>+q37_Aux!$S$12</f>
        <v>752.86</v>
      </c>
      <c r="E65" s="537">
        <f>+q37_Aux!$T$12</f>
        <v>768.96</v>
      </c>
      <c r="F65" s="537">
        <f>+q37_Aux!$U$12</f>
        <v>785.59</v>
      </c>
      <c r="G65" s="537">
        <f>+q37_Aux!$V$12</f>
        <v>818.25</v>
      </c>
      <c r="H65" s="537">
        <f>+q37_Aux!$W$12</f>
        <v>858.87</v>
      </c>
      <c r="I65" s="537">
        <f>+q37_Aux!$X$12</f>
        <v>904.02</v>
      </c>
      <c r="J65" s="537">
        <f>+q37_Aux!$Y$12</f>
        <v>939.89</v>
      </c>
      <c r="K65" s="537">
        <f>+q37_Aux!$Z$12</f>
        <v>975.75</v>
      </c>
      <c r="L65" s="537">
        <f>+q37_Aux!$AA$12</f>
        <v>1047.2</v>
      </c>
      <c r="M65" s="537">
        <f>+q37_Aux!$AB$12</f>
        <v>1135</v>
      </c>
      <c r="P65" s="618"/>
      <c r="Q65" s="618"/>
      <c r="R65" s="620"/>
      <c r="S65" s="620"/>
      <c r="T65" s="620"/>
      <c r="W65" s="532" t="s">
        <v>519</v>
      </c>
    </row>
    <row r="66" spans="1:23">
      <c r="B66" s="532" t="str">
        <f>+Aux!$B$90</f>
        <v>25 - 34 anos</v>
      </c>
      <c r="C66" s="537">
        <f>(q37_Aux!$R$15+q37_Aux!$R$18)/(q17a!$C$15+q17a!$C$18)</f>
        <v>990.32454639209925</v>
      </c>
      <c r="D66" s="537">
        <f>(q37_Aux!$S$15+q37_Aux!$S$18)/(q17a!$D$15+q17a!$D$18)</f>
        <v>979.42560590279106</v>
      </c>
      <c r="E66" s="537">
        <f>(q37_Aux!$T$15+q37_Aux!$T$18)/(q17a!$E$15+q17a!$E$18)</f>
        <v>988.94765891023178</v>
      </c>
      <c r="F66" s="537">
        <f>(q37_Aux!$U$15+q37_Aux!$U$18)/(q17a!$F$15+q17a!$F$18)</f>
        <v>1002.7521601706637</v>
      </c>
      <c r="G66" s="537">
        <f>(q37_Aux!$V$15+q37_Aux!$V$18)/(q17a!$G$15+q17a!$G$18)</f>
        <v>1040.4067085955421</v>
      </c>
      <c r="H66" s="537">
        <f>(q37_Aux!$W$15+q37_Aux!$W$18)/(q17a!$H$15+q17a!$H$18)</f>
        <v>1090.5079991929636</v>
      </c>
      <c r="I66" s="537">
        <f>(q37_Aux!$X$15+q37_Aux!$X$18)/(q17a!$I$15+q17a!$I$18)</f>
        <v>1141.2349278630659</v>
      </c>
      <c r="J66" s="537">
        <f>(q37_Aux!$Y$15+q37_Aux!$Y$18)/(q17a!$J$15+q17a!$J$18)</f>
        <v>1179.0551420526426</v>
      </c>
      <c r="K66" s="537">
        <f>(q37_Aux!$Z$15+q37_Aux!$Z$18)/(q17a!$K$15+q17a!$K$18)</f>
        <v>1237.7919683593373</v>
      </c>
      <c r="L66" s="537">
        <f>(q37_Aux!$AA$15+q37_Aux!$AA$18)/(q17a!$L$15+q17a!$L$18)</f>
        <v>1322.174098190314</v>
      </c>
      <c r="M66" s="537">
        <f>(q37_Aux!$AB$15+q37_Aux!$AB$18)/(q17a!$M$15+q17a!$M$18)</f>
        <v>1407.9649789743371</v>
      </c>
      <c r="P66" s="618"/>
      <c r="Q66" s="618"/>
      <c r="R66" s="620"/>
      <c r="S66" s="620"/>
      <c r="T66" s="620"/>
    </row>
    <row r="67" spans="1:23">
      <c r="B67" s="532" t="str">
        <f>+Aux!$B$91</f>
        <v>35 - 44 anos</v>
      </c>
      <c r="C67" s="537">
        <f>(q37_Aux!$R$21+q37_Aux!$R$24)/(q17a!$C$21+q17a!$C$24)</f>
        <v>1270.1053834129211</v>
      </c>
      <c r="D67" s="537">
        <f>(q37_Aux!$S$21+q37_Aux!$S$24)/(q17a!$D$21+q17a!$D$24)</f>
        <v>1263.3239162339164</v>
      </c>
      <c r="E67" s="537">
        <f>(q37_Aux!$T$21+q37_Aux!$T$24)/(q17a!$E$21+q17a!$E$24)</f>
        <v>1261.0269444485407</v>
      </c>
      <c r="F67" s="537">
        <f>(q37_Aux!$U$21+q37_Aux!$U$24)/(q17a!$F$21+q17a!$F$24)</f>
        <v>1266.9325657171034</v>
      </c>
      <c r="G67" s="537">
        <f>(q37_Aux!$V$21+q37_Aux!$V$24)/(q17a!$G$21+q17a!$G$24)</f>
        <v>1285.2364685676209</v>
      </c>
      <c r="H67" s="537">
        <f>(q37_Aux!$W$21+q37_Aux!$W$24)/(q17a!$H$21+q17a!$H$24)</f>
        <v>1322.5097081108077</v>
      </c>
      <c r="I67" s="537">
        <f>(q37_Aux!$X$21+q37_Aux!$X$24)/(q17a!$I$21+q17a!$I$24)</f>
        <v>1364.2437640100513</v>
      </c>
      <c r="J67" s="537">
        <f>(q37_Aux!$Y$21+q37_Aux!$Y$24)/(q17a!$J$21+q17a!$J$24)</f>
        <v>1387.9189023509157</v>
      </c>
      <c r="K67" s="537">
        <f>(q37_Aux!$Z$21+q37_Aux!$Z$24)/(q17a!$K$21+q17a!$K$24)</f>
        <v>1440.6788638505072</v>
      </c>
      <c r="L67" s="537">
        <f>(q37_Aux!$AA$21+q37_Aux!$AA$24)/(q17a!$L$21+q17a!$L$24)</f>
        <v>1529.7375763877594</v>
      </c>
      <c r="M67" s="537">
        <f>(q37_Aux!$AB$21+q37_Aux!$AB$24)/(q17a!$M$21+q17a!$M$24)</f>
        <v>1633.6152324644449</v>
      </c>
      <c r="P67" s="618"/>
      <c r="Q67" s="618"/>
      <c r="R67" s="620"/>
      <c r="S67" s="620"/>
      <c r="T67" s="620"/>
    </row>
    <row r="68" spans="1:23">
      <c r="B68" s="532" t="str">
        <f>+Aux!$B$92</f>
        <v>45 - 54 anos</v>
      </c>
      <c r="C68" s="537">
        <f>(q37_Aux!$R$27+q37_Aux!$R$30)/(q17a!$C$27+q17a!$C$30)</f>
        <v>1357.0877597801154</v>
      </c>
      <c r="D68" s="537">
        <f>(q37_Aux!$S$27+q37_Aux!$S$30)/(q17a!$D$27+q17a!$D$30)</f>
        <v>1345.8113154351688</v>
      </c>
      <c r="E68" s="537">
        <f>(q37_Aux!$T$27+q37_Aux!$T$30)/(q17a!$E$27+q17a!$E$30)</f>
        <v>1348.1394156173803</v>
      </c>
      <c r="F68" s="537">
        <f>(q37_Aux!$U$27+q37_Aux!$U$30)/(q17a!$F$27+q17a!$F$30)</f>
        <v>1354.9789802585899</v>
      </c>
      <c r="G68" s="537">
        <f>(q37_Aux!$V$27+q37_Aux!$V$30)/(q17a!$G$27+q17a!$G$30)</f>
        <v>1376.3732827151562</v>
      </c>
      <c r="H68" s="537">
        <f>(q37_Aux!$W$27+q37_Aux!$W$30)/(q17a!$H$27+q17a!$H$30)</f>
        <v>1414.8437443110197</v>
      </c>
      <c r="I68" s="537">
        <f>(q37_Aux!$X$27+q37_Aux!$X$30)/(q17a!$I$27+q17a!$I$30)</f>
        <v>1457.0114294773521</v>
      </c>
      <c r="J68" s="537">
        <f>(q37_Aux!$Y$27+q37_Aux!$Y$30)/(q17a!$J$27+q17a!$J$30)</f>
        <v>1494.2195461778497</v>
      </c>
      <c r="K68" s="537">
        <f>(q37_Aux!$Z$27+q37_Aux!$Z$30)/(q17a!$K$27+q17a!$K$30)</f>
        <v>1539.20042182062</v>
      </c>
      <c r="L68" s="537">
        <f>(q37_Aux!$AA$27+q37_Aux!$AA$30)/(q17a!$L$27+q17a!$L$30)</f>
        <v>1630.4877356006516</v>
      </c>
      <c r="M68" s="537">
        <f>(q37_Aux!$AB$27+q37_Aux!$AB$30)/(q17a!$M$27+q17a!$M$30)</f>
        <v>1751.7699752233802</v>
      </c>
      <c r="P68" s="618"/>
      <c r="Q68" s="618"/>
      <c r="R68" s="620"/>
      <c r="S68" s="620"/>
      <c r="T68" s="620"/>
    </row>
    <row r="69" spans="1:23">
      <c r="B69" s="532" t="str">
        <f>+Aux!$B$93</f>
        <v>55 - 64 anos</v>
      </c>
      <c r="C69" s="537">
        <f>(q37_Aux!$R$33+q37_Aux!$R$36)/(q17a!$C$33+q17a!$C$36)</f>
        <v>1450.4410171277311</v>
      </c>
      <c r="D69" s="537">
        <f>(q37_Aux!$S$33+q37_Aux!$S$36)/(q17a!$D$33+q17a!$D$36)</f>
        <v>1431.898728354455</v>
      </c>
      <c r="E69" s="537">
        <f>(q37_Aux!$T$33+q37_Aux!$T$36)/(q17a!$E$33+q17a!$E$36)</f>
        <v>1425.1228859541823</v>
      </c>
      <c r="F69" s="537">
        <f>(q37_Aux!$U$33+q37_Aux!$U$36)/(q17a!$F$33+q17a!$F$36)</f>
        <v>1411.3194058700776</v>
      </c>
      <c r="G69" s="537">
        <f>(q37_Aux!$V$33+q37_Aux!$V$36)/(q17a!$G$33+q17a!$G$36)</f>
        <v>1401.2831835674242</v>
      </c>
      <c r="H69" s="537">
        <f>(q37_Aux!$W$33+q37_Aux!$W$36)/(q17a!$H$33+q17a!$H$36)</f>
        <v>1418.7636846811845</v>
      </c>
      <c r="I69" s="537">
        <f>(q37_Aux!$X$33+q37_Aux!$X$36)/(q17a!$I$33+q17a!$I$36)</f>
        <v>1426.1792149217492</v>
      </c>
      <c r="J69" s="537">
        <f>(q37_Aux!$Y$33+q37_Aux!$Y$36)/(q17a!$J$33+q17a!$J$36)</f>
        <v>1457.4482235324731</v>
      </c>
      <c r="K69" s="537">
        <f>(q37_Aux!$Z$33+q37_Aux!$Z$36)/(q17a!$K$33+q17a!$K$36)</f>
        <v>1476.9971912084943</v>
      </c>
      <c r="L69" s="537">
        <f>(q37_Aux!$AA$33+q37_Aux!$AA$36)/(q17a!$L$33+q17a!$L$36)</f>
        <v>1547.5641622791202</v>
      </c>
      <c r="M69" s="537">
        <f>(q37_Aux!$AB$33+q37_Aux!$AB$36)/(q17a!$M$33+q17a!$M$36)</f>
        <v>1655.5514476389026</v>
      </c>
      <c r="P69" s="618"/>
      <c r="Q69" s="618"/>
      <c r="R69" s="620"/>
      <c r="S69" s="620"/>
      <c r="T69" s="620"/>
    </row>
    <row r="70" spans="1:23">
      <c r="B70" s="532" t="str">
        <f>+Aux!$B$94</f>
        <v>65 e + anos</v>
      </c>
      <c r="C70" s="537">
        <f>+q37_Aux!$R$39</f>
        <v>1552.87</v>
      </c>
      <c r="D70" s="537">
        <f>+q37_Aux!$S$39</f>
        <v>1528.66</v>
      </c>
      <c r="E70" s="537">
        <f>+q37_Aux!$T$39</f>
        <v>1547.17</v>
      </c>
      <c r="F70" s="537">
        <f>+q37_Aux!$U$39</f>
        <v>1537.86</v>
      </c>
      <c r="G70" s="537">
        <f>+q37_Aux!$V$39</f>
        <v>1547.82</v>
      </c>
      <c r="H70" s="537">
        <f>+q37_Aux!$W$39</f>
        <v>1534.46</v>
      </c>
      <c r="I70" s="537">
        <f>+q37_Aux!$X$39</f>
        <v>1560.37</v>
      </c>
      <c r="J70" s="537">
        <f>+q37_Aux!$Y$39</f>
        <v>1639.16</v>
      </c>
      <c r="K70" s="537">
        <f>+q37_Aux!$Z$39</f>
        <v>1631.35</v>
      </c>
      <c r="L70" s="537">
        <f>+q37_Aux!$AA$39</f>
        <v>1636.3</v>
      </c>
      <c r="M70" s="537">
        <f>+q37_Aux!$AB$39</f>
        <v>1696.46</v>
      </c>
    </row>
    <row r="71" spans="1:23">
      <c r="B71" s="532" t="str">
        <f>+Aux!$B$95</f>
        <v>Total</v>
      </c>
      <c r="C71" s="537">
        <f>+q37_Aux!$C$6</f>
        <v>1209.21</v>
      </c>
      <c r="D71" s="537">
        <f>+q37_Aux!$D$6</f>
        <v>1203.32</v>
      </c>
      <c r="E71" s="537">
        <f>+q37_Aux!$E$6</f>
        <v>1207.76</v>
      </c>
      <c r="F71" s="537">
        <f>+q37_Aux!$F$6</f>
        <v>1215.1099999999999</v>
      </c>
      <c r="G71" s="537">
        <f>+q37_Aux!$G$6</f>
        <v>1236.8499999999999</v>
      </c>
      <c r="H71" s="537">
        <f>+q37_Aux!$H$6</f>
        <v>1273.99</v>
      </c>
      <c r="I71" s="537">
        <f>+q37_Aux!$I$6</f>
        <v>1312.43</v>
      </c>
      <c r="J71" s="537">
        <f>+q37_Aux!$J$6</f>
        <v>1349.35</v>
      </c>
      <c r="K71" s="537">
        <f>+q37_Aux!$K$6</f>
        <v>1395.7</v>
      </c>
      <c r="L71" s="537">
        <f>+q37_Aux!$L$6</f>
        <v>1476.2</v>
      </c>
      <c r="M71" s="537">
        <f>+q37_Aux!$M$6</f>
        <v>1577.33</v>
      </c>
    </row>
    <row r="72" spans="1:23">
      <c r="C72" s="501">
        <f>+'q17'!$C$4</f>
        <v>2013</v>
      </c>
      <c r="D72" s="501">
        <f>+'q17'!$D$4</f>
        <v>2014</v>
      </c>
      <c r="E72" s="501">
        <f>+'q17'!$E$4</f>
        <v>2015</v>
      </c>
      <c r="F72" s="501">
        <f>+'q17'!$F$4</f>
        <v>2016</v>
      </c>
      <c r="G72" s="501">
        <f>+'q17'!$G$4</f>
        <v>2017</v>
      </c>
      <c r="H72" s="501">
        <f>+'q17'!$H$4</f>
        <v>2018</v>
      </c>
      <c r="I72" s="501">
        <f>+'q17'!$I$4</f>
        <v>2019</v>
      </c>
      <c r="J72" s="501">
        <f>+'q17'!$J$4</f>
        <v>2020</v>
      </c>
      <c r="K72" s="501">
        <f>+'q17'!$K$4</f>
        <v>2021</v>
      </c>
      <c r="L72" s="501">
        <f>+'q17'!$L$4</f>
        <v>2022</v>
      </c>
      <c r="M72" s="501">
        <f>+'q17'!$M$4</f>
        <v>2023</v>
      </c>
      <c r="S72" s="533"/>
    </row>
    <row r="73" spans="1:23">
      <c r="A73" s="539" t="s">
        <v>117</v>
      </c>
      <c r="B73" s="532" t="str">
        <f>+Aux!$B$88</f>
        <v>&lt; 18 anos</v>
      </c>
      <c r="C73" s="537">
        <f>+q37_Aux!$R$10</f>
        <v>574.46</v>
      </c>
      <c r="D73" s="537">
        <f>+q37_Aux!$S$10</f>
        <v>590.63</v>
      </c>
      <c r="E73" s="537">
        <f>+q37_Aux!$T$10</f>
        <v>590.91999999999996</v>
      </c>
      <c r="F73" s="537">
        <f>+q37_Aux!$U$10</f>
        <v>620.16</v>
      </c>
      <c r="G73" s="537">
        <f>+q37_Aux!$V$10</f>
        <v>647.80999999999995</v>
      </c>
      <c r="H73" s="537">
        <f>+q37_Aux!$W$10</f>
        <v>696.86</v>
      </c>
      <c r="I73" s="537">
        <f>+q37_Aux!$X$10</f>
        <v>782.86</v>
      </c>
      <c r="J73" s="537">
        <f>+q37_Aux!$Y$10</f>
        <v>744.24</v>
      </c>
      <c r="K73" s="537">
        <f>+q37_Aux!$Z$10</f>
        <v>762.78</v>
      </c>
      <c r="L73" s="537">
        <f>+q37_Aux!$AA$10</f>
        <v>833.07</v>
      </c>
      <c r="M73" s="537">
        <f>+q37_Aux!$AB$10</f>
        <v>912.59</v>
      </c>
    </row>
    <row r="74" spans="1:23">
      <c r="B74" s="532" t="str">
        <f>+Aux!$B$89</f>
        <v>18 - 24 anos</v>
      </c>
      <c r="C74" s="537">
        <f>+q37_Aux!$R$13</f>
        <v>666.16</v>
      </c>
      <c r="D74" s="537">
        <f>+q37_Aux!$S$13</f>
        <v>675</v>
      </c>
      <c r="E74" s="537">
        <f>+q37_Aux!$T$13</f>
        <v>688.01</v>
      </c>
      <c r="F74" s="537">
        <f>+q37_Aux!$U$13</f>
        <v>711.72</v>
      </c>
      <c r="G74" s="537">
        <f>+q37_Aux!$V$13</f>
        <v>749.37</v>
      </c>
      <c r="H74" s="537">
        <f>+q37_Aux!$W$13</f>
        <v>786.48</v>
      </c>
      <c r="I74" s="537">
        <f>+q37_Aux!$X$13</f>
        <v>827.95</v>
      </c>
      <c r="J74" s="537">
        <f>+q37_Aux!$Y$13</f>
        <v>870.5</v>
      </c>
      <c r="K74" s="537">
        <f>+q37_Aux!$Z$13</f>
        <v>912.9</v>
      </c>
      <c r="L74" s="537">
        <f>+q37_Aux!$AA$13</f>
        <v>974.41</v>
      </c>
      <c r="M74" s="537">
        <f>+q37_Aux!$AB$13</f>
        <v>1053.73</v>
      </c>
      <c r="P74" s="501" t="s">
        <v>392</v>
      </c>
    </row>
    <row r="75" spans="1:23">
      <c r="B75" s="532" t="str">
        <f>+Aux!$B$90</f>
        <v>25 - 34 anos</v>
      </c>
      <c r="C75" s="537">
        <f>(q37_Aux!$R$16+q37_Aux!$R$19)/(q17a!$C$16+q17a!$C$19)</f>
        <v>887.73556620789395</v>
      </c>
      <c r="D75" s="537">
        <f>(q37_Aux!$S$16+q37_Aux!$S$19)/(q17a!$D$16+q17a!$D$19)</f>
        <v>884.35962753950344</v>
      </c>
      <c r="E75" s="537">
        <f>(q37_Aux!$T$16+q37_Aux!$T$19)/(q17a!$E$16+q17a!$E$19)</f>
        <v>884.39027306548871</v>
      </c>
      <c r="F75" s="537">
        <f>(q37_Aux!$U$16+q37_Aux!$U$19)/(q17a!$F$16+q17a!$F$19)</f>
        <v>900.34577551243194</v>
      </c>
      <c r="G75" s="537">
        <f>(q37_Aux!$V$16+q37_Aux!$V$19)/(q17a!$G$16+q17a!$G$19)</f>
        <v>931.1102329053947</v>
      </c>
      <c r="H75" s="537">
        <f>(q37_Aux!$W$16+q37_Aux!$W$19)/(q17a!$H$16+q17a!$H$19)</f>
        <v>967.4122262011216</v>
      </c>
      <c r="I75" s="537">
        <f>(q37_Aux!$X$16+q37_Aux!$X$19)/(q17a!$I$16+q17a!$I$19)</f>
        <v>1018.6624595951736</v>
      </c>
      <c r="J75" s="537">
        <f>(q37_Aux!$Y$16+q37_Aux!$Y$19)/(q17a!$J$16+q17a!$J$19)</f>
        <v>1065.0166244535426</v>
      </c>
      <c r="K75" s="537">
        <f>(q37_Aux!$Z$16+q37_Aux!$Z$19)/(q17a!$K$16+q17a!$K$19)</f>
        <v>1116.266193043924</v>
      </c>
      <c r="L75" s="537">
        <f>(q37_Aux!$AA$16+q37_Aux!$AA$19)/(q17a!$L$16+q17a!$L$19)</f>
        <v>1193.8440320246707</v>
      </c>
      <c r="M75" s="537">
        <f>(q37_Aux!$AB$16+q37_Aux!$AB$19)/(q17a!$M$16+q17a!$M$19)</f>
        <v>1283.0776747445054</v>
      </c>
      <c r="P75" s="532">
        <f>INDEX($A$2:$A$12,$P$9)</f>
        <v>2023</v>
      </c>
      <c r="Q75" s="501" t="s">
        <v>389</v>
      </c>
    </row>
    <row r="76" spans="1:23">
      <c r="B76" s="532" t="str">
        <f>+Aux!$B$91</f>
        <v>35 - 44 anos</v>
      </c>
      <c r="C76" s="537">
        <f>(q37_Aux!$R$22+q37_Aux!$R$25)/(q17a!$C$22+q17a!$C$25)</f>
        <v>1040.2366412040694</v>
      </c>
      <c r="D76" s="537">
        <f>(q37_Aux!$S$22+q37_Aux!$S$25)/(q17a!$D$22+q17a!$D$25)</f>
        <v>1046.0377585369311</v>
      </c>
      <c r="E76" s="537">
        <f>(q37_Aux!$T$22+q37_Aux!$T$25)/(q17a!$E$22+q17a!$E$25)</f>
        <v>1047.7701304670466</v>
      </c>
      <c r="F76" s="537">
        <f>(q37_Aux!$U$22+q37_Aux!$U$25)/(q17a!$F$22+q17a!$F$25)</f>
        <v>1060.7392852696726</v>
      </c>
      <c r="G76" s="537">
        <f>(q37_Aux!$V$22+q37_Aux!$V$25)/(q17a!$G$22+q17a!$G$25)</f>
        <v>1087.8159710448372</v>
      </c>
      <c r="H76" s="537">
        <f>(q37_Aux!$W$22+q37_Aux!$W$25)/(q17a!$H$22+q17a!$H$25)</f>
        <v>1119.9342907440507</v>
      </c>
      <c r="I76" s="537">
        <f>(q37_Aux!$X$22+q37_Aux!$X$25)/(q17a!$I$22+q17a!$I$25)</f>
        <v>1158.2264907930178</v>
      </c>
      <c r="J76" s="537">
        <f>(q37_Aux!$Y$22+q37_Aux!$Y$25)/(q17a!$J$22+q17a!$J$25)</f>
        <v>1194.5679098242581</v>
      </c>
      <c r="K76" s="537">
        <f>(q37_Aux!$Z$22+q37_Aux!$Z$25)/(q17a!$K$22+q17a!$K$25)</f>
        <v>1230.2914277699858</v>
      </c>
      <c r="L76" s="537">
        <f>(q37_Aux!$AA$22+q37_Aux!$AA$25)/(q17a!$L$22+q17a!$L$25)</f>
        <v>1293.6450266126737</v>
      </c>
      <c r="M76" s="537">
        <f>(q37_Aux!$AB$22+q37_Aux!$AB$25)/(q17a!$M$22+q17a!$M$25)</f>
        <v>1388.7278106261283</v>
      </c>
      <c r="R76" s="501" t="s">
        <v>185</v>
      </c>
      <c r="S76" s="501" t="s">
        <v>393</v>
      </c>
      <c r="T76" s="501"/>
    </row>
    <row r="77" spans="1:23">
      <c r="B77" s="532" t="str">
        <f>+Aux!$B$92</f>
        <v>45 - 54 anos</v>
      </c>
      <c r="C77" s="537">
        <f>(q37_Aux!$R$28+q37_Aux!$R$31)/(q17a!$C$28+q17a!$C$31)</f>
        <v>985.59235993242771</v>
      </c>
      <c r="D77" s="537">
        <f>(q37_Aux!$S$28+q37_Aux!$S$31)/(q17a!$D$28+q17a!$D$31)</f>
        <v>992.19005442999696</v>
      </c>
      <c r="E77" s="537">
        <f>(q37_Aux!$T$28+q37_Aux!$T$31)/(q17a!$E$28+q17a!$E$31)</f>
        <v>999.77822179296777</v>
      </c>
      <c r="F77" s="537">
        <f>(q37_Aux!$U$28+q37_Aux!$U$31)/(q17a!$F$28+q17a!$F$31)</f>
        <v>1022.0808632111816</v>
      </c>
      <c r="G77" s="537">
        <f>(q37_Aux!$V$28+q37_Aux!$V$31)/(q17a!$G$28+q17a!$G$31)</f>
        <v>1056.2989717478763</v>
      </c>
      <c r="H77" s="537">
        <f>(q37_Aux!$W$28+q37_Aux!$W$31)/(q17a!$H$28+q17a!$H$31)</f>
        <v>1100.5702988719665</v>
      </c>
      <c r="I77" s="537">
        <f>(q37_Aux!$X$28+q37_Aux!$X$31)/(q17a!$I$28+q17a!$I$31)</f>
        <v>1145.9944885702171</v>
      </c>
      <c r="J77" s="537">
        <f>(q37_Aux!$Y$28+q37_Aux!$Y$31)/(q17a!$J$28+q17a!$J$31)</f>
        <v>1191.6004595626516</v>
      </c>
      <c r="K77" s="537">
        <f>(q37_Aux!$Z$28+q37_Aux!$Z$31)/(q17a!$K$28+q17a!$K$31)</f>
        <v>1236.4034258482986</v>
      </c>
      <c r="L77" s="537">
        <f>(q37_Aux!$AA$28+q37_Aux!$AA$31)/(q17a!$L$28+q17a!$L$31)</f>
        <v>1309.6340481433153</v>
      </c>
      <c r="M77" s="537">
        <f>(q37_Aux!$AB$28+q37_Aux!$AB$31)/(q17a!$M$28+q17a!$M$31)</f>
        <v>1416.7996478544317</v>
      </c>
      <c r="Q77" s="532" t="s">
        <v>390</v>
      </c>
      <c r="R77" s="541">
        <f t="shared" ref="R77:R82" si="8">INDEX($B$202:$M$208,MATCH($Q$71:$Q$82,$B$202:$B$208,0),MATCH($P$75,$B$202:$M$202,0))</f>
        <v>6162</v>
      </c>
      <c r="S77" s="542">
        <f t="shared" ref="S77:S82" si="9">IF($S$74=1,INDEX($B$212:$M$218,MATCH($Q$77:$Q$82,$B$212:$B$218,0),MATCH($P$75,$B$212:$M$212,0)),INDEX($B$222:$M$228,MATCH($Q$77:$Q$82,$B$222:$B$228,0),MATCH($P$75,$B$222:$M$222,0)))</f>
        <v>968.17</v>
      </c>
      <c r="T77" s="617">
        <f>+R77/$R$82</f>
        <v>2.4971632355325012E-3</v>
      </c>
    </row>
    <row r="78" spans="1:23">
      <c r="B78" s="532" t="str">
        <f>+Aux!$B$93</f>
        <v>55 - 64 anos</v>
      </c>
      <c r="C78" s="537">
        <f>(q37_Aux!$R$34+q37_Aux!$R$37)/(q17a!$C$34+q17a!$C$37)</f>
        <v>975.19002767121572</v>
      </c>
      <c r="D78" s="537">
        <f>(q37_Aux!$S$34+q37_Aux!$S$37)/(q17a!$D$34+q17a!$D$37)</f>
        <v>983.53937232280532</v>
      </c>
      <c r="E78" s="537">
        <f>(q37_Aux!$T$34+q37_Aux!$T$37)/(q17a!$E$34+q17a!$E$37)</f>
        <v>987.11651047403257</v>
      </c>
      <c r="F78" s="537">
        <f>(q37_Aux!$U$34+q37_Aux!$U$37)/(q17a!$F$34+q17a!$F$37)</f>
        <v>991.87087697964898</v>
      </c>
      <c r="G78" s="537">
        <f>(q37_Aux!$V$34+q37_Aux!$V$37)/(q17a!$G$34+q17a!$G$37)</f>
        <v>1011.0021613491258</v>
      </c>
      <c r="H78" s="537">
        <f>(q37_Aux!$W$34+q37_Aux!$W$37)/(q17a!$H$34+q17a!$H$37)</f>
        <v>1039.8267382787924</v>
      </c>
      <c r="I78" s="537">
        <f>(q37_Aux!$X$34+q37_Aux!$X$37)/(q17a!$I$34+q17a!$I$37)</f>
        <v>1060.3666618910022</v>
      </c>
      <c r="J78" s="537">
        <f>(q37_Aux!$Y$34+q37_Aux!$Y$37)/(q17a!$J$34+q17a!$J$37)</f>
        <v>1099.1122244774983</v>
      </c>
      <c r="K78" s="537">
        <f>(q37_Aux!$Z$34+q37_Aux!$Z$37)/(q17a!$K$34+q17a!$K$37)</f>
        <v>1132.1153484085496</v>
      </c>
      <c r="L78" s="537">
        <f>(q37_Aux!$AA$34+q37_Aux!$AA$37)/(q17a!$L$34+q17a!$L$37)</f>
        <v>1182.8287407926118</v>
      </c>
      <c r="M78" s="537">
        <f>(q37_Aux!$AB$34+q37_Aux!$AB$37)/(q17a!$M$34+q17a!$M$37)</f>
        <v>1274.8774038965282</v>
      </c>
      <c r="Q78" s="532" t="s">
        <v>191</v>
      </c>
      <c r="R78" s="541">
        <f t="shared" si="8"/>
        <v>946247</v>
      </c>
      <c r="S78" s="542">
        <f t="shared" si="9"/>
        <v>1122.23</v>
      </c>
      <c r="T78" s="617">
        <f t="shared" ref="T78:T81" si="10">+R78/$R$82</f>
        <v>0.38346855243961742</v>
      </c>
    </row>
    <row r="79" spans="1:23">
      <c r="B79" s="532" t="str">
        <f>+Aux!$B$94</f>
        <v>65 e + anos</v>
      </c>
      <c r="C79" s="537">
        <f>+q37_Aux!$R$40</f>
        <v>1027.83</v>
      </c>
      <c r="D79" s="537">
        <f>+q37_Aux!$S$40</f>
        <v>986.9</v>
      </c>
      <c r="E79" s="537">
        <f>+q37_Aux!$T$40</f>
        <v>1010.31</v>
      </c>
      <c r="F79" s="537">
        <f>+q37_Aux!$U$40</f>
        <v>1024.6099999999999</v>
      </c>
      <c r="G79" s="537">
        <f>+q37_Aux!$V$40</f>
        <v>1018.23</v>
      </c>
      <c r="H79" s="537">
        <f>+q37_Aux!$W$40</f>
        <v>1057.3800000000001</v>
      </c>
      <c r="I79" s="537">
        <f>+q37_Aux!$X$40</f>
        <v>1112.47</v>
      </c>
      <c r="J79" s="537">
        <f>+q37_Aux!$Y$40</f>
        <v>1155.7</v>
      </c>
      <c r="K79" s="537">
        <f>+q37_Aux!$Z$40</f>
        <v>1202</v>
      </c>
      <c r="L79" s="537">
        <f>+q37_Aux!$AA$40</f>
        <v>1240.21</v>
      </c>
      <c r="M79" s="537">
        <f>+q37_Aux!$AB$40</f>
        <v>1323.72</v>
      </c>
      <c r="Q79" s="532" t="s">
        <v>196</v>
      </c>
      <c r="R79" s="541">
        <f t="shared" si="8"/>
        <v>861654</v>
      </c>
      <c r="S79" s="542">
        <f t="shared" si="9"/>
        <v>1297.5899999999999</v>
      </c>
      <c r="T79" s="617">
        <f t="shared" si="10"/>
        <v>0.34918706435402819</v>
      </c>
      <c r="U79" s="537">
        <f>+T79+T80</f>
        <v>0.61074931107148644</v>
      </c>
    </row>
    <row r="80" spans="1:23">
      <c r="B80" s="532" t="str">
        <f>+Aux!$B$95</f>
        <v>Total</v>
      </c>
      <c r="C80" s="537">
        <f>+q37_Aux!$C$7</f>
        <v>958.12</v>
      </c>
      <c r="D80" s="537">
        <f>+q37_Aux!$D$7</f>
        <v>963.12</v>
      </c>
      <c r="E80" s="537">
        <f>+q37_Aux!$E$7</f>
        <v>966.85</v>
      </c>
      <c r="F80" s="537">
        <f>+q37_Aux!$F$7</f>
        <v>982.49</v>
      </c>
      <c r="G80" s="537">
        <f>+q37_Aux!$G$7</f>
        <v>1011.02</v>
      </c>
      <c r="H80" s="537">
        <f>+q37_Aux!$H$7</f>
        <v>1046.5899999999999</v>
      </c>
      <c r="I80" s="537">
        <f>+q37_Aux!$I$7</f>
        <v>1086.97</v>
      </c>
      <c r="J80" s="537">
        <f>+q37_Aux!$J$7</f>
        <v>1130.8699999999999</v>
      </c>
      <c r="K80" s="537">
        <f>+q37_Aux!$K$7</f>
        <v>1172.08</v>
      </c>
      <c r="L80" s="537">
        <f>+q37_Aux!$L$7</f>
        <v>1237.52</v>
      </c>
      <c r="M80" s="537">
        <f>+q37_Aux!$M$7</f>
        <v>1332.02</v>
      </c>
      <c r="Q80" s="532" t="s">
        <v>394</v>
      </c>
      <c r="R80" s="541">
        <f t="shared" si="8"/>
        <v>645431</v>
      </c>
      <c r="S80" s="542">
        <f t="shared" si="9"/>
        <v>2204.65</v>
      </c>
      <c r="T80" s="617">
        <f t="shared" si="10"/>
        <v>0.26156224671745826</v>
      </c>
    </row>
    <row r="81" spans="1:58">
      <c r="C81" s="501">
        <f>+'q17'!$C$4</f>
        <v>2013</v>
      </c>
      <c r="D81" s="501">
        <f>+'q17'!$D$4</f>
        <v>2014</v>
      </c>
      <c r="E81" s="501">
        <f>+'q17'!$E$4</f>
        <v>2015</v>
      </c>
      <c r="F81" s="501">
        <f>+'q17'!$F$4</f>
        <v>2016</v>
      </c>
      <c r="G81" s="501">
        <f>+'q17'!$G$4</f>
        <v>2017</v>
      </c>
      <c r="H81" s="501">
        <f>+'q17'!$H$4</f>
        <v>2018</v>
      </c>
      <c r="I81" s="501">
        <f>+'q17'!$I$4</f>
        <v>2019</v>
      </c>
      <c r="J81" s="501">
        <f>+'q17'!$J$4</f>
        <v>2020</v>
      </c>
      <c r="K81" s="501">
        <f>+'q17'!$K$4</f>
        <v>2021</v>
      </c>
      <c r="L81" s="501">
        <f>+'q17'!$L$4</f>
        <v>2022</v>
      </c>
      <c r="M81" s="501">
        <f>+'q17'!$M$4</f>
        <v>2023</v>
      </c>
      <c r="Q81" s="532" t="s">
        <v>13</v>
      </c>
      <c r="R81" s="541">
        <f t="shared" si="8"/>
        <v>8106</v>
      </c>
      <c r="S81" s="542">
        <f t="shared" si="9"/>
        <v>1260.92</v>
      </c>
      <c r="T81" s="617">
        <f t="shared" si="10"/>
        <v>3.2849732533635923E-3</v>
      </c>
    </row>
    <row r="82" spans="1:58">
      <c r="A82" s="539" t="s">
        <v>12</v>
      </c>
      <c r="B82" s="532" t="str">
        <f>+Aux!$B$88</f>
        <v>&lt; 18 anos</v>
      </c>
      <c r="C82" s="537">
        <f>+q37_Aux!$R$8</f>
        <v>626.53</v>
      </c>
      <c r="D82" s="537">
        <f>+q37_Aux!$S$8</f>
        <v>752.91</v>
      </c>
      <c r="E82" s="537">
        <f>+q37_Aux!$T$8</f>
        <v>711.88</v>
      </c>
      <c r="F82" s="537">
        <f>+q37_Aux!$U$8</f>
        <v>759.21</v>
      </c>
      <c r="G82" s="537">
        <f>+q37_Aux!$V$8</f>
        <v>761.64</v>
      </c>
      <c r="H82" s="537">
        <f>+q37_Aux!$W$8</f>
        <v>775.74</v>
      </c>
      <c r="I82" s="537">
        <f>+q37_Aux!$X$8</f>
        <v>1016.76</v>
      </c>
      <c r="J82" s="537">
        <f>+q37_Aux!$Y$8</f>
        <v>1233.5</v>
      </c>
      <c r="K82" s="537">
        <f>+q37_Aux!$Z$8</f>
        <v>1171.6400000000001</v>
      </c>
      <c r="L82" s="537">
        <f>+q37_Aux!$AA$8</f>
        <v>1142.0999999999999</v>
      </c>
      <c r="M82" s="537">
        <f>+q37_Aux!$AB$8</f>
        <v>1193.83</v>
      </c>
      <c r="Q82" s="532" t="s">
        <v>12</v>
      </c>
      <c r="R82" s="541">
        <f t="shared" si="8"/>
        <v>2467600</v>
      </c>
      <c r="S82" s="542">
        <f t="shared" si="9"/>
        <v>1466.66</v>
      </c>
      <c r="T82" s="549"/>
    </row>
    <row r="83" spans="1:58">
      <c r="B83" s="532" t="str">
        <f>+Aux!$B$89</f>
        <v>18 - 24 anos</v>
      </c>
      <c r="C83" s="537">
        <f>+q37_Aux!$R$11</f>
        <v>715.26</v>
      </c>
      <c r="D83" s="537">
        <f>+q37_Aux!$S$11</f>
        <v>719.2</v>
      </c>
      <c r="E83" s="537">
        <f>+q37_Aux!$T$11</f>
        <v>733.69</v>
      </c>
      <c r="F83" s="537">
        <f>+q37_Aux!$U$11</f>
        <v>753.41</v>
      </c>
      <c r="G83" s="537">
        <f>+q37_Aux!$V$11</f>
        <v>788.29</v>
      </c>
      <c r="H83" s="537">
        <f>+q37_Aux!$W$11</f>
        <v>827.84</v>
      </c>
      <c r="I83" s="537">
        <f>+q37_Aux!$X$11</f>
        <v>871.35</v>
      </c>
      <c r="J83" s="537">
        <f>+q37_Aux!$Y$11</f>
        <v>910.8</v>
      </c>
      <c r="K83" s="537">
        <f>+q37_Aux!$Z$11</f>
        <v>948.81</v>
      </c>
      <c r="L83" s="537">
        <f>+q37_Aux!$AA$11</f>
        <v>1015.84</v>
      </c>
      <c r="M83" s="537">
        <f>+q37_Aux!$AB$11</f>
        <v>1100.3599999999999</v>
      </c>
      <c r="R83" s="541"/>
    </row>
    <row r="84" spans="1:58">
      <c r="B84" s="532" t="str">
        <f>+Aux!$B$90</f>
        <v>25 - 34 anos</v>
      </c>
      <c r="C84" s="537">
        <f>(q37_Aux!$R$14+q37_Aux!$R$17)/(q17a!$C$14+q17a!$C$17)</f>
        <v>941.17606284730005</v>
      </c>
      <c r="D84" s="537">
        <f>(q37_Aux!$S$14+q37_Aux!$S$17)/(q17a!$D$14+q17a!$D$17)</f>
        <v>934.32325048450582</v>
      </c>
      <c r="E84" s="537">
        <f>(q37_Aux!$T$14+q37_Aux!$T$17)/(q17a!$E$14+q17a!$E$17)</f>
        <v>939.1642290275048</v>
      </c>
      <c r="F84" s="537">
        <f>(q37_Aux!$U$14+q37_Aux!$U$17)/(q17a!$F$14+q17a!$F$17)</f>
        <v>954.30683432804688</v>
      </c>
      <c r="G84" s="537">
        <f>(q37_Aux!$V$14+q37_Aux!$V$17)/(q17a!$G$14+q17a!$G$17)</f>
        <v>989.16168552290605</v>
      </c>
      <c r="H84" s="537">
        <f>(q37_Aux!$W$14+q37_Aux!$W$17)/(q17a!$H$14+q17a!$H$17)</f>
        <v>1033.3593355729606</v>
      </c>
      <c r="I84" s="537">
        <f>(q37_Aux!$X$14+q37_Aux!$X$17)/(q17a!$I$14+q17a!$I$17)</f>
        <v>1084.744468098361</v>
      </c>
      <c r="J84" s="537">
        <f>(q37_Aux!$Y$14+q37_Aux!$Y$17)/(q17a!$J$14+q17a!$J$17)</f>
        <v>1127.2105629748796</v>
      </c>
      <c r="K84" s="537">
        <f>(q37_Aux!$Z$14+q37_Aux!$Z$17)/(q17a!$K$14+q17a!$K$17)</f>
        <v>1182.4511681678352</v>
      </c>
      <c r="L84" s="537">
        <f>(q37_Aux!$AA$14+q37_Aux!$AA$17)/(q17a!$L$14+q17a!$L$17)</f>
        <v>1264.5018730388865</v>
      </c>
      <c r="M84" s="537">
        <f>(q37_Aux!$AB$14+q37_Aux!$AB$17)/(q17a!$M$14+q17a!$M$17)</f>
        <v>1352.4112985865575</v>
      </c>
      <c r="R84" s="541"/>
      <c r="AX84" s="533" t="s">
        <v>866</v>
      </c>
      <c r="BC84" s="533" t="s">
        <v>867</v>
      </c>
    </row>
    <row r="85" spans="1:58" ht="12" customHeight="1">
      <c r="B85" s="532" t="str">
        <f>+Aux!$B$91</f>
        <v>35 - 44 anos</v>
      </c>
      <c r="C85" s="537">
        <f>(q37_Aux!$R$20+q37_Aux!$R$23)/(q17a!$C$20+q17a!$C$23)</f>
        <v>1161.8194891422709</v>
      </c>
      <c r="D85" s="537">
        <f>(q37_Aux!$S$20+q37_Aux!$S$23)/(q17a!$D$20+q17a!$D$23)</f>
        <v>1161.0463477787252</v>
      </c>
      <c r="E85" s="537">
        <f>(q37_Aux!$T$20+q37_Aux!$T$23)/(q17a!$E$20+q17a!$E$23)</f>
        <v>1159.8838887303941</v>
      </c>
      <c r="F85" s="537">
        <f>(q37_Aux!$U$20+q37_Aux!$U$23)/(q17a!$F$20+q17a!$F$23)</f>
        <v>1168.990362572383</v>
      </c>
      <c r="G85" s="537">
        <f>(q37_Aux!$V$20+q37_Aux!$V$23)/(q17a!$G$20+q17a!$G$23)</f>
        <v>1191.7310318101008</v>
      </c>
      <c r="H85" s="537">
        <f>(q37_Aux!$W$20+q37_Aux!$W$23)/(q17a!$H$20+q17a!$H$23)</f>
        <v>1226.9919137742797</v>
      </c>
      <c r="I85" s="537">
        <f>(q37_Aux!$X$20+q37_Aux!$X$23)/(q17a!$I$20+q17a!$I$23)</f>
        <v>1267.8098977714603</v>
      </c>
      <c r="J85" s="537">
        <f>(q37_Aux!$Y$20+q37_Aux!$Y$23)/(q17a!$J$20+q17a!$J$23)</f>
        <v>1298.1402712529523</v>
      </c>
      <c r="K85" s="537">
        <f>(q37_Aux!$Z$20+q37_Aux!$Z$23)/(q17a!$K$20+q17a!$K$23)</f>
        <v>1342.9873002054685</v>
      </c>
      <c r="L85" s="537">
        <f>(q37_Aux!$AA$20+q37_Aux!$AA$23)/(q17a!$L$20+q17a!$L$23)</f>
        <v>1420.7299027584093</v>
      </c>
      <c r="M85" s="537">
        <f>(q37_Aux!$AB$20+q37_Aux!$AB$23)/(q17a!$M$20+q17a!$M$23)</f>
        <v>1521.5461508740502</v>
      </c>
      <c r="X85" s="550"/>
      <c r="Y85" s="550"/>
      <c r="Z85" s="550"/>
      <c r="AA85" s="576"/>
      <c r="AB85" s="576"/>
      <c r="AM85" s="532">
        <f>+P95</f>
        <v>2023</v>
      </c>
      <c r="AN85" s="532" t="s">
        <v>460</v>
      </c>
      <c r="AX85" s="533" t="s">
        <v>870</v>
      </c>
      <c r="BC85" s="533" t="s">
        <v>869</v>
      </c>
    </row>
    <row r="86" spans="1:58" ht="15.75" customHeight="1">
      <c r="B86" s="532" t="str">
        <f>+Aux!$B$92</f>
        <v>45 - 54 anos</v>
      </c>
      <c r="C86" s="537">
        <f>(q37_Aux!$R$26+q37_Aux!$R$29)/(q17a!$C$26+q17a!$C$29)</f>
        <v>1188.9310328328361</v>
      </c>
      <c r="D86" s="537">
        <f>(q37_Aux!$S$26+q37_Aux!$S$29)/(q17a!$D$26+q17a!$D$29)</f>
        <v>1185.1796197721119</v>
      </c>
      <c r="E86" s="537">
        <f>(q37_Aux!$T$26+q37_Aux!$T$29)/(q17a!$E$26+q17a!$E$29)</f>
        <v>1188.671702702703</v>
      </c>
      <c r="F86" s="537">
        <f>(q37_Aux!$U$26+q37_Aux!$U$29)/(q17a!$F$26+q17a!$F$29)</f>
        <v>1202.1262688632162</v>
      </c>
      <c r="G86" s="537">
        <f>(q37_Aux!$V$26+q37_Aux!$V$29)/(q17a!$G$26+q17a!$G$29)</f>
        <v>1229.8147572502503</v>
      </c>
      <c r="H86" s="537">
        <f>(q37_Aux!$W$26+q37_Aux!$W$29)/(q17a!$H$26+q17a!$H$29)</f>
        <v>1270.9175971633604</v>
      </c>
      <c r="I86" s="537">
        <f>(q37_Aux!$X$26+q37_Aux!$X$29)/(q17a!$I$26+q17a!$I$29)</f>
        <v>1314.3027640700259</v>
      </c>
      <c r="J86" s="537">
        <f>(q37_Aux!$Y$26+q37_Aux!$Y$29)/(q17a!$J$26+q17a!$J$29)</f>
        <v>1355.4263411074849</v>
      </c>
      <c r="K86" s="537">
        <f>(q37_Aux!$Z$26+q37_Aux!$Z$29)/(q17a!$K$26+q17a!$K$29)</f>
        <v>1398.4728428460587</v>
      </c>
      <c r="L86" s="537">
        <f>(q37_Aux!$AA$26+q37_Aux!$AA$29)/(q17a!$L$26+q17a!$L$29)</f>
        <v>1480.6128226312073</v>
      </c>
      <c r="M86" s="537">
        <f>(q37_Aux!$AB$26+q37_Aux!$AB$29)/(q17a!$M$26+q17a!$M$29)</f>
        <v>1594.9782009025278</v>
      </c>
      <c r="U86" s="532">
        <f>+P75</f>
        <v>2023</v>
      </c>
      <c r="V86" s="532" t="s">
        <v>443</v>
      </c>
      <c r="W86" s="550" t="str">
        <f>CONCATENATE(U86,V86,CHAR(10),U87,U88)</f>
        <v>2023:
61,1% dos TCO tinham os Ensinos Secundário e Superior completos.</v>
      </c>
      <c r="X86" s="550"/>
      <c r="Y86" s="550"/>
      <c r="Z86" s="550"/>
      <c r="AA86" s="576"/>
      <c r="AB86" s="576"/>
      <c r="AM86" s="532" t="s">
        <v>871</v>
      </c>
      <c r="AP86" s="532" t="s">
        <v>872</v>
      </c>
      <c r="AR86" s="532" t="s">
        <v>447</v>
      </c>
      <c r="AT86" s="532" t="s">
        <v>448</v>
      </c>
      <c r="AX86" s="775" t="str">
        <f>CONCATENATE(AM85," - ",AN85,CHAR(10),AM86," ",AM87,AM88," ",AN89,AM90,AM91,AM92," ",AN93,AM94,AM95,AN95,CHAR(10),AP86," ",AP87," ",AQ88," ",AP89," ",AP90," ",AQ91,AO92)</f>
        <v>2023 - Continente:
Base:  83,2% do Ganho, entre  925 € (18 - 24 anos) e  1.345 €  (65 e + anos).
Ganho:  Entre  1.100 € 18 - 24 anos e 1.595 €, nos mesmos grupos etários, respetivamente.</v>
      </c>
      <c r="AY86" s="775"/>
      <c r="AZ86" s="775"/>
      <c r="BA86" s="775"/>
      <c r="BC86" s="776" t="str">
        <f>CONCATENATE(AM85," - ",AN85,CHAR(10),AM86,AM87,AM88,AN89,AM90,AM91,AM92,AN93,AM94,AM95,AN95,CHAR(10),AP86,AP87,AQ88,AM90,AP89,AM92,AQ91,AM94,AP92,AN95)</f>
        <v>2023 - Continente:
Base: 83,2% do Ganho, entre 925 € (18 - 24 anos) e 1.345 €  (65 e + anos).
Ganho: Entre 1.100 € (18 - 24 anos) e 1.595 €  (45 - 54 anos).</v>
      </c>
      <c r="BD86" s="776"/>
      <c r="BE86" s="776"/>
      <c r="BF86" s="776"/>
    </row>
    <row r="87" spans="1:58">
      <c r="B87" s="532" t="str">
        <f>+Aux!$B$93</f>
        <v>55 - 64 anos</v>
      </c>
      <c r="C87" s="537">
        <f>(q37_Aux!$R$32+q37_Aux!$R$35)/(q17a!$C$32+q17a!$C$35)</f>
        <v>1256.0221368884681</v>
      </c>
      <c r="D87" s="537">
        <f>(q37_Aux!$S$32+q37_Aux!$S$35)/(q17a!$D$32+q17a!$D$35)</f>
        <v>1246.3943797645436</v>
      </c>
      <c r="E87" s="537">
        <f>(q37_Aux!$T$32+q37_Aux!$T$35)/(q17a!$E$32+q17a!$E$35)</f>
        <v>1241.8010266981019</v>
      </c>
      <c r="F87" s="537">
        <f>(q37_Aux!$U$32+q37_Aux!$U$35)/(q17a!$F$32+q17a!$F$35)</f>
        <v>1234.0276594038726</v>
      </c>
      <c r="G87" s="537">
        <f>(q37_Aux!$V$32+q37_Aux!$V$35)/(q17a!$G$32+q17a!$G$35)</f>
        <v>1237.2338333698203</v>
      </c>
      <c r="H87" s="537">
        <f>(q37_Aux!$W$32+q37_Aux!$W$35)/(q17a!$H$32+q17a!$H$35)</f>
        <v>1258.2143274664659</v>
      </c>
      <c r="I87" s="537">
        <f>(q37_Aux!$X$32+q37_Aux!$X$35)/(q17a!$I$32+q17a!$I$35)</f>
        <v>1270.2434831537776</v>
      </c>
      <c r="J87" s="537">
        <f>(q37_Aux!$Y$32+q37_Aux!$Y$35)/(q17a!$J$32+q17a!$J$35)</f>
        <v>1304.3535235656361</v>
      </c>
      <c r="K87" s="537">
        <f>(q37_Aux!$Z$32+q37_Aux!$Z$35)/(q17a!$K$32+q17a!$K$35)</f>
        <v>1327.722061605627</v>
      </c>
      <c r="L87" s="537">
        <f>(q37_Aux!$AA$32+q37_Aux!$AA$35)/(q17a!$L$32+q17a!$L$35)</f>
        <v>1387.7511262493379</v>
      </c>
      <c r="M87" s="537">
        <f>(q37_Aux!$AB$32+q37_Aux!$AB$35)/(q17a!$M$32+q17a!$M$35)</f>
        <v>1487.9493190902751</v>
      </c>
      <c r="U87" s="552" t="str">
        <f>TEXT(U79,"##.###,0%")</f>
        <v>61,1%</v>
      </c>
      <c r="AK87" s="532">
        <f>+COLUMN(AC96)</f>
        <v>29</v>
      </c>
      <c r="AM87" s="564" t="str">
        <f>+TEXT(Y104,"##.###,0%")</f>
        <v>83,2%</v>
      </c>
      <c r="AP87" s="564" t="s">
        <v>799</v>
      </c>
      <c r="AR87" s="564" t="str">
        <f>TEXT($AA$104,"##.###,0%")</f>
        <v>87,3%</v>
      </c>
      <c r="AS87" s="532" t="s">
        <v>514</v>
      </c>
      <c r="AT87" s="564" t="str">
        <f>TEXT($AB$104,"##.###,0%")</f>
        <v>84,4%</v>
      </c>
      <c r="AU87" s="532" t="s">
        <v>515</v>
      </c>
      <c r="AX87" s="775"/>
      <c r="AY87" s="775"/>
      <c r="AZ87" s="775"/>
      <c r="BA87" s="775"/>
      <c r="BC87" s="776"/>
      <c r="BD87" s="776"/>
      <c r="BE87" s="776"/>
      <c r="BF87" s="776"/>
    </row>
    <row r="88" spans="1:58">
      <c r="B88" s="532" t="str">
        <f>+Aux!$B$94</f>
        <v>65 e + anos</v>
      </c>
      <c r="C88" s="537">
        <f>+q37_Aux!$R$38</f>
        <v>1372.67</v>
      </c>
      <c r="D88" s="537">
        <f>+q37_Aux!$S$38</f>
        <v>1328.61</v>
      </c>
      <c r="E88" s="537">
        <f>+q37_Aux!$T$38</f>
        <v>1341.63</v>
      </c>
      <c r="F88" s="537">
        <f>+q37_Aux!$U$38</f>
        <v>1337.56</v>
      </c>
      <c r="G88" s="537">
        <f>+q37_Aux!$V$38</f>
        <v>1346.83</v>
      </c>
      <c r="H88" s="537">
        <f>+q37_Aux!$W$38</f>
        <v>1353.02</v>
      </c>
      <c r="I88" s="537">
        <f>+q37_Aux!$X$38</f>
        <v>1396.55</v>
      </c>
      <c r="J88" s="537">
        <f>+q37_Aux!$Y$38</f>
        <v>1462.63</v>
      </c>
      <c r="K88" s="537">
        <f>+q37_Aux!$Z$38</f>
        <v>1470.97</v>
      </c>
      <c r="L88" s="537">
        <f>+q37_Aux!$AA$38</f>
        <v>1488.54</v>
      </c>
      <c r="M88" s="537">
        <f>+q37_Aux!$AB$38</f>
        <v>1557.94</v>
      </c>
      <c r="U88" s="532" t="s">
        <v>521</v>
      </c>
      <c r="AK88" s="532">
        <f>+COLUMN(Z96)</f>
        <v>26</v>
      </c>
      <c r="AM88" s="532" t="s">
        <v>797</v>
      </c>
      <c r="AP88" s="564">
        <f>+SMALL(X97:X103,1)</f>
        <v>1100.3599999999999</v>
      </c>
      <c r="AQ88" s="532" t="str">
        <f>+TEXT(AP88,"##.### €")</f>
        <v>1.100 €</v>
      </c>
      <c r="AR88" s="532">
        <f>+SMALL($AA$97:$AA$103,1)</f>
        <v>0.66570631507281508</v>
      </c>
      <c r="AS88" s="532" t="str">
        <f>+TEXT(AR88,"##.###,#%")</f>
        <v>66,6%</v>
      </c>
      <c r="AT88" s="532">
        <f>+SMALL($AB$97:$AB$103,1)</f>
        <v>0.70742314072650037</v>
      </c>
      <c r="AU88" s="532" t="str">
        <f>+TEXT(AT88,"##.###,#%")</f>
        <v>70,7%</v>
      </c>
      <c r="AX88" s="775"/>
      <c r="AY88" s="775"/>
      <c r="AZ88" s="775"/>
      <c r="BA88" s="775"/>
      <c r="BC88" s="776"/>
      <c r="BD88" s="776"/>
      <c r="BE88" s="776"/>
      <c r="BF88" s="776"/>
    </row>
    <row r="89" spans="1:58">
      <c r="B89" s="532" t="str">
        <f>+Aux!$B$95</f>
        <v>Total</v>
      </c>
      <c r="C89" s="537">
        <f>+q37_Aux!$C$5</f>
        <v>1093.82</v>
      </c>
      <c r="D89" s="537">
        <f>+q37_Aux!$D$5</f>
        <v>1093.21</v>
      </c>
      <c r="E89" s="537">
        <f>+q37_Aux!$E$5</f>
        <v>1096.6600000000001</v>
      </c>
      <c r="F89" s="537">
        <f>+q37_Aux!$F$5</f>
        <v>1107.8599999999999</v>
      </c>
      <c r="G89" s="537">
        <f>+q37_Aux!$G$5</f>
        <v>1133.3399999999999</v>
      </c>
      <c r="H89" s="537">
        <f>+q37_Aux!$H$5</f>
        <v>1170.25</v>
      </c>
      <c r="I89" s="537">
        <f>+q37_Aux!$I$5</f>
        <v>1209.94</v>
      </c>
      <c r="J89" s="537">
        <f>+q37_Aux!$J$5</f>
        <v>1250.75</v>
      </c>
      <c r="K89" s="537">
        <f>+q37_Aux!$K$5</f>
        <v>1294.1099999999999</v>
      </c>
      <c r="L89" s="537">
        <f>+q37_Aux!$L$5</f>
        <v>1368</v>
      </c>
      <c r="M89" s="537">
        <f>+q37_Aux!$M$5</f>
        <v>1466.66</v>
      </c>
      <c r="AK89" s="532">
        <f>+COLUMN(Z96)</f>
        <v>26</v>
      </c>
      <c r="AM89" s="532">
        <f>+SMALL(W97:W103,1)</f>
        <v>925.26</v>
      </c>
      <c r="AN89" s="532" t="str">
        <f>+TEXT(AM89,"##.### €")</f>
        <v>925 €</v>
      </c>
      <c r="AP89" s="532" t="str">
        <f>+AB108</f>
        <v>18 - 24 anos</v>
      </c>
      <c r="AR89" s="532" t="s">
        <v>516</v>
      </c>
      <c r="AT89" s="532" t="s">
        <v>516</v>
      </c>
      <c r="AX89" s="775"/>
      <c r="AY89" s="775"/>
      <c r="AZ89" s="775"/>
      <c r="BA89" s="775"/>
      <c r="BC89" s="776"/>
      <c r="BD89" s="776"/>
      <c r="BE89" s="776"/>
      <c r="BF89" s="776"/>
    </row>
    <row r="90" spans="1:58" ht="12" customHeight="1">
      <c r="AM90" s="532" t="s">
        <v>511</v>
      </c>
      <c r="AP90" s="532" t="s">
        <v>466</v>
      </c>
      <c r="AQ90" s="584"/>
      <c r="AR90" s="564" t="str">
        <f>+VLOOKUP($AR$88,$AA$96:$AC$103,COLUMN($AC$96)-26,0)</f>
        <v>&lt; 18 anos</v>
      </c>
      <c r="AS90" s="584" t="s">
        <v>441</v>
      </c>
      <c r="AT90" s="564" t="str">
        <f>+VLOOKUP($AT$88,$AB$96:$AC$103,COLUMN($AC$96)-27,0)</f>
        <v>&lt; 18 anos</v>
      </c>
      <c r="AU90" s="584" t="s">
        <v>441</v>
      </c>
      <c r="AX90" s="775"/>
      <c r="AY90" s="775"/>
      <c r="AZ90" s="775"/>
      <c r="BA90" s="775"/>
      <c r="BC90" s="776"/>
      <c r="BD90" s="776"/>
      <c r="BE90" s="776"/>
      <c r="BF90" s="776"/>
    </row>
    <row r="91" spans="1:58">
      <c r="AM91" s="564" t="str">
        <f>+VLOOKUP($AM$89,$W$96:$AC$103,COLUMN($AC$96)-22,0)</f>
        <v>18 - 24 anos</v>
      </c>
      <c r="AP91" s="564">
        <f>+LARGE(X97:X103,1)</f>
        <v>1594.9782009025278</v>
      </c>
      <c r="AQ91" s="532" t="str">
        <f>+TEXT(AP91,"##.### €")</f>
        <v>1.595 €</v>
      </c>
      <c r="AR91" s="584">
        <f>+LARGE(AA97:AA103,1)</f>
        <v>0.93769594950026303</v>
      </c>
      <c r="AS91" s="532" t="str">
        <f>+TEXT(AR91,"##.###,#%")</f>
        <v>93,8%</v>
      </c>
      <c r="AT91" s="584">
        <f>+LARGE($AB$97:$AB$103,1)</f>
        <v>0.9283964757709251</v>
      </c>
      <c r="AU91" s="532" t="str">
        <f>+TEXT(AT91,"##.###,#%")</f>
        <v>92,8%</v>
      </c>
      <c r="AV91" s="584"/>
    </row>
    <row r="92" spans="1:58">
      <c r="AM92" s="532" t="s">
        <v>463</v>
      </c>
      <c r="AO92" s="532" t="s">
        <v>513</v>
      </c>
      <c r="AP92" s="532" t="str">
        <f>+AD108</f>
        <v>45 - 54 anos</v>
      </c>
      <c r="AQ92" s="584"/>
      <c r="AR92" s="584" t="s">
        <v>511</v>
      </c>
      <c r="AT92" s="584" t="s">
        <v>511</v>
      </c>
      <c r="AV92" s="584"/>
      <c r="AX92" s="776" t="str">
        <f>CONCATENATE(AM85,":",CHAR(10),AR86," ",AR87,AS87," ",AS88,AR89,AR90,AS90," ",AS91,AR92,AR93,AS93,CHAR(10),AT86," ",AT87,AU87," ",AU88,AT89,AT90,AU90," ",AU91,AT92,AT93,AU93)</f>
        <v>2023:
Base Mulheres = 87,3% da dos Homens (H), entre  66,6% da dos H (&lt; 18 anos) e 93,8% (18 - 24 anos).
Ganho Mulheres = 84,4% da dos H, entre  70,7% da dos H (&lt; 18 anos) e 92,8% (18 - 24 anos).</v>
      </c>
      <c r="AY92" s="776"/>
      <c r="AZ92" s="776"/>
      <c r="BA92" s="776"/>
    </row>
    <row r="93" spans="1:58">
      <c r="P93" s="532" t="s">
        <v>395</v>
      </c>
      <c r="AL93" s="532" t="str">
        <f>+AD107</f>
        <v>65 e + anos</v>
      </c>
      <c r="AM93" s="532">
        <f>+LARGE(W97:W103,1)</f>
        <v>1345.46</v>
      </c>
      <c r="AN93" s="532" t="str">
        <f>+TEXT(AM93,"##.### €")</f>
        <v>1.345 €</v>
      </c>
      <c r="AQ93" s="584"/>
      <c r="AR93" s="564" t="str">
        <f>+VLOOKUP($AR$91,$AA$96:$AC$103,COLUMN($AC$96)-26,0)</f>
        <v>18 - 24 anos</v>
      </c>
      <c r="AS93" s="584" t="s">
        <v>442</v>
      </c>
      <c r="AT93" s="564" t="str">
        <f>+VLOOKUP($AT$91,$AB$96:$AC$103,COLUMN($AC$96)-27,0)</f>
        <v>18 - 24 anos</v>
      </c>
      <c r="AU93" s="584" t="s">
        <v>442</v>
      </c>
      <c r="AV93" s="584"/>
      <c r="AX93" s="776"/>
      <c r="AY93" s="776"/>
      <c r="AZ93" s="776"/>
      <c r="BA93" s="776"/>
    </row>
    <row r="94" spans="1:58">
      <c r="AM94" s="532" t="s">
        <v>512</v>
      </c>
      <c r="AO94" s="564"/>
      <c r="AQ94" s="584"/>
      <c r="AR94" s="584"/>
      <c r="AS94" s="584"/>
      <c r="AT94" s="584"/>
      <c r="AU94" s="584"/>
      <c r="AV94" s="584"/>
      <c r="AX94" s="776"/>
      <c r="AY94" s="776"/>
      <c r="AZ94" s="776"/>
      <c r="BA94" s="776"/>
    </row>
    <row r="95" spans="1:58">
      <c r="P95" s="532">
        <f>INDEX($A$2:$A$12,$P$9)</f>
        <v>2023</v>
      </c>
      <c r="Q95" s="501" t="s">
        <v>371</v>
      </c>
      <c r="AM95" s="564" t="str">
        <f>+VLOOKUP($AM$93,$W$96:$AC$103,COLUMN($AC$96)-22,0)</f>
        <v>65 e + anos</v>
      </c>
      <c r="AN95" s="532" t="s">
        <v>442</v>
      </c>
      <c r="AX95" s="776"/>
      <c r="AY95" s="776"/>
      <c r="AZ95" s="776"/>
      <c r="BA95" s="776"/>
    </row>
    <row r="96" spans="1:58">
      <c r="S96" s="501" t="s">
        <v>398</v>
      </c>
      <c r="T96" s="501" t="s">
        <v>402</v>
      </c>
      <c r="U96" s="501" t="s">
        <v>399</v>
      </c>
      <c r="V96" s="501" t="s">
        <v>403</v>
      </c>
      <c r="W96" s="501" t="s">
        <v>400</v>
      </c>
      <c r="X96" s="501" t="s">
        <v>401</v>
      </c>
      <c r="Y96" s="583" t="s">
        <v>462</v>
      </c>
      <c r="Z96" s="532" t="s">
        <v>297</v>
      </c>
      <c r="AA96" s="532" t="s">
        <v>467</v>
      </c>
      <c r="AB96" s="532" t="s">
        <v>468</v>
      </c>
      <c r="AX96" s="776"/>
      <c r="AY96" s="776"/>
      <c r="AZ96" s="776"/>
      <c r="BA96" s="776"/>
    </row>
    <row r="97" spans="1:50">
      <c r="A97" s="534" t="s">
        <v>383</v>
      </c>
      <c r="Q97" s="550"/>
      <c r="R97" s="532" t="s">
        <v>55</v>
      </c>
      <c r="S97" s="542">
        <f>INDEX($B$35:$M$43,MATCH($R$97,$B$35:$B$43,0),MATCH($P$95,$B$35:$M$35,0))*-1</f>
        <v>-1204.42</v>
      </c>
      <c r="T97" s="542">
        <f>INDEX($B$63:$M$71,MATCH($R$97,$B$63:$B$71,0),MATCH($P$95,$B$63:$M$63,0))*-1</f>
        <v>-1290.02</v>
      </c>
      <c r="U97" s="542">
        <f>INDEX($B$44:$M$52,MATCH($R$97,$B$44:$B$52,0),MATCH($P$95,$B$44:$M$44,0))</f>
        <v>801.79</v>
      </c>
      <c r="V97" s="542">
        <f>INDEX($B$72:$M$80,MATCH($R$97,$B$72:$B$80,0),MATCH($P$95,$B$72:$M$72,0))</f>
        <v>912.59</v>
      </c>
      <c r="W97" s="542">
        <f>INDEX($B$53:$M$61,MATCH($R$97,$B$53:$B$61,0),MATCH($P$95,$B$53:$M$53,0))</f>
        <v>1101.81</v>
      </c>
      <c r="X97" s="542">
        <f>INDEX($B$81:$M$89,MATCH($R$97,$B$81:$B$89,0),MATCH($P$95,$B$81:$M$81,0))</f>
        <v>1193.83</v>
      </c>
      <c r="Y97" s="619">
        <f t="shared" ref="Y97:Y104" si="11">W97/X97</f>
        <v>0.92292034879337925</v>
      </c>
      <c r="Z97" s="542">
        <f>+X97</f>
        <v>1193.83</v>
      </c>
      <c r="AA97" s="619">
        <f t="shared" ref="AA97:AB104" si="12">+(U97/(S97*-1))</f>
        <v>0.66570631507281508</v>
      </c>
      <c r="AB97" s="619">
        <f t="shared" si="12"/>
        <v>0.70742314072650037</v>
      </c>
      <c r="AC97" s="532" t="str">
        <f t="shared" ref="AC97:AC104" si="13">+R97</f>
        <v>&lt; 18 anos</v>
      </c>
    </row>
    <row r="98" spans="1:50">
      <c r="A98" s="533" t="s">
        <v>185</v>
      </c>
      <c r="C98" s="501">
        <f>+'q17'!$C$4</f>
        <v>2013</v>
      </c>
      <c r="D98" s="501">
        <f>+'q17'!$D$4</f>
        <v>2014</v>
      </c>
      <c r="E98" s="501">
        <f>+'q17'!$E$4</f>
        <v>2015</v>
      </c>
      <c r="F98" s="501">
        <f>+'q17'!$F$4</f>
        <v>2016</v>
      </c>
      <c r="G98" s="501">
        <f>+'q17'!$G$4</f>
        <v>2017</v>
      </c>
      <c r="H98" s="501">
        <f>+'q17'!$H$4</f>
        <v>2018</v>
      </c>
      <c r="I98" s="501">
        <f>+'q17'!$I$4</f>
        <v>2019</v>
      </c>
      <c r="J98" s="501">
        <f>+'q17'!$J$4</f>
        <v>2020</v>
      </c>
      <c r="K98" s="501">
        <f>+'q17'!$K$4</f>
        <v>2021</v>
      </c>
      <c r="L98" s="501">
        <f>+'q17'!$L$4</f>
        <v>2022</v>
      </c>
      <c r="M98" s="501">
        <f>+'q17'!$M$4</f>
        <v>2023</v>
      </c>
      <c r="Q98" s="550"/>
      <c r="R98" s="532" t="s">
        <v>372</v>
      </c>
      <c r="S98" s="542">
        <f>INDEX($B$35:$M$43,MATCH($R$98,$B$35:$B$43,0),MATCH($P$95,$B$35:$M$35,0))*-1</f>
        <v>-950.5</v>
      </c>
      <c r="T98" s="542">
        <f>INDEX($B$63:$M$71,MATCH($R$98,$B$63:$B$71,0),MATCH($P$95,$B$63:$M$63,0))*-1</f>
        <v>-1135</v>
      </c>
      <c r="U98" s="542">
        <f>INDEX($B$44:$M$52,MATCH($R$98,$B$44:$B$52,0),MATCH($P$95,$B$44:$M$44,0))</f>
        <v>891.28</v>
      </c>
      <c r="V98" s="542">
        <f>INDEX($B$72:$M$80,MATCH($R$98,$B$72:$B$80,0),MATCH($P$95,$B$72:$M$72,0))</f>
        <v>1053.73</v>
      </c>
      <c r="W98" s="542">
        <f>INDEX($B$53:$M$61,MATCH($R$98,$B$53:$B$61,0),MATCH($P$95,$B$53:$M$53,0))</f>
        <v>925.26</v>
      </c>
      <c r="X98" s="542">
        <f>INDEX($B$81:$M$89,MATCH($R$98,$B$81:$B$89,0),MATCH($P$95,$B$81:$M$81,0))</f>
        <v>1100.3599999999999</v>
      </c>
      <c r="Y98" s="619">
        <f t="shared" si="11"/>
        <v>0.84087026064197179</v>
      </c>
      <c r="Z98" s="542">
        <f t="shared" ref="Z98:Z104" si="14">+X98</f>
        <v>1100.3599999999999</v>
      </c>
      <c r="AA98" s="619">
        <f t="shared" si="12"/>
        <v>0.93769594950026303</v>
      </c>
      <c r="AB98" s="619">
        <f t="shared" si="12"/>
        <v>0.9283964757709251</v>
      </c>
      <c r="AC98" s="532" t="str">
        <f t="shared" si="13"/>
        <v>18 - 24 anos</v>
      </c>
      <c r="AM98" s="501"/>
    </row>
    <row r="99" spans="1:50">
      <c r="A99" s="533" t="s">
        <v>116</v>
      </c>
      <c r="B99" s="532" t="str">
        <f>+Aux!$B$107</f>
        <v>Quadros superiores</v>
      </c>
      <c r="C99" s="532">
        <f>+'q18'!$C$9</f>
        <v>108560</v>
      </c>
      <c r="D99" s="532">
        <f>+'q18'!$D$9</f>
        <v>107935</v>
      </c>
      <c r="E99" s="532">
        <f>+'q18'!$E$9</f>
        <v>110245</v>
      </c>
      <c r="F99" s="532">
        <f>+'q18'!$F$9</f>
        <v>112923</v>
      </c>
      <c r="G99" s="532">
        <f>+'q18'!$G$9</f>
        <v>116590</v>
      </c>
      <c r="H99" s="532">
        <f>+'q18'!$H$9</f>
        <v>122652</v>
      </c>
      <c r="I99" s="532">
        <f>+'q18'!$I$9</f>
        <v>129834</v>
      </c>
      <c r="J99" s="532">
        <f>+'q18'!$J$9</f>
        <v>136643</v>
      </c>
      <c r="K99" s="532">
        <f>+'q18'!$K$9</f>
        <v>142391</v>
      </c>
      <c r="L99" s="532">
        <f>+'q18'!$L$9</f>
        <v>154897</v>
      </c>
      <c r="M99" s="532">
        <f>+'q18'!$M$9</f>
        <v>162389</v>
      </c>
      <c r="Q99" s="550"/>
      <c r="R99" s="532" t="s">
        <v>373</v>
      </c>
      <c r="S99" s="542">
        <f>INDEX($B$35:$M$43,MATCH($R$99,$B$35:$B$43,0),MATCH($P$95,$B$35:$M$35,0))*-1</f>
        <v>-1171.3786871588275</v>
      </c>
      <c r="T99" s="542">
        <f>INDEX($B$63:$M$71,MATCH($R$99,$B$63:$B$71,0),MATCH($P$95,$B$63:$M$63,0))*-1</f>
        <v>-1407.9649789743371</v>
      </c>
      <c r="U99" s="542">
        <f>INDEX($B$44:$M$52,MATCH($R$99,$B$44:$B$52,0),MATCH($P$95,$B$44:$M$44,0))</f>
        <v>1089.5295678527075</v>
      </c>
      <c r="V99" s="542">
        <f>INDEX($B$72:$M$80,MATCH($R$99,$B$72:$B$80,0),MATCH($P$95,$B$72:$M$72,0))</f>
        <v>1283.0776747445054</v>
      </c>
      <c r="W99" s="542">
        <f>INDEX($B$53:$M$61,MATCH($R$99,$B$53:$B$61,0),MATCH($P$95,$B$53:$M$53,0))</f>
        <v>1134.9691398728628</v>
      </c>
      <c r="X99" s="542">
        <f>INDEX($B$81:$M$89,MATCH($R$99,$B$81:$B$89,0),MATCH($P$95,$B$81:$M$81,0))</f>
        <v>1352.4112985865575</v>
      </c>
      <c r="Y99" s="619">
        <f t="shared" si="11"/>
        <v>0.83921891295869133</v>
      </c>
      <c r="Z99" s="542">
        <f t="shared" si="14"/>
        <v>1352.4112985865575</v>
      </c>
      <c r="AA99" s="619">
        <f t="shared" si="12"/>
        <v>0.93012582506119812</v>
      </c>
      <c r="AB99" s="619">
        <f t="shared" si="12"/>
        <v>0.91129942427914046</v>
      </c>
      <c r="AC99" s="532" t="str">
        <f t="shared" si="13"/>
        <v>25 - 34 anos</v>
      </c>
      <c r="AM99" s="501" t="str">
        <f>+IF(OR(P9=1,P9=2,P9=4,P9=6,P9=7,P9=8,P9=9,P9=10),AX86,BC86)</f>
        <v>2023 - Continente:
Base: 83,2% do Ganho, entre 925 € (18 - 24 anos) e 1.345 €  (65 e + anos).
Ganho: Entre 1.100 € (18 - 24 anos) e 1.595 €  (45 - 54 anos).</v>
      </c>
      <c r="AN99" s="501"/>
      <c r="AO99" s="501"/>
      <c r="AP99" s="501"/>
      <c r="AQ99" s="501"/>
      <c r="AR99" s="501"/>
      <c r="AS99" s="501"/>
      <c r="AT99" s="501"/>
      <c r="AU99" s="501"/>
      <c r="AV99" s="501"/>
      <c r="AW99" s="501"/>
      <c r="AX99" s="501"/>
    </row>
    <row r="100" spans="1:50">
      <c r="B100" s="532" t="str">
        <f>+Aux!$B$108</f>
        <v>Quadros médios</v>
      </c>
      <c r="C100" s="532">
        <f>+'q18'!$C$12</f>
        <v>71920</v>
      </c>
      <c r="D100" s="532">
        <f>+'q18'!$D$12</f>
        <v>72941</v>
      </c>
      <c r="E100" s="532">
        <f>+'q18'!$E$12</f>
        <v>74247</v>
      </c>
      <c r="F100" s="532">
        <f>+'q18'!$F$12</f>
        <v>76819</v>
      </c>
      <c r="G100" s="532">
        <f>+'q18'!$G$12</f>
        <v>81167</v>
      </c>
      <c r="H100" s="532">
        <f>+'q18'!$H$12</f>
        <v>84803</v>
      </c>
      <c r="I100" s="532">
        <f>+'q18'!$I$12</f>
        <v>83836</v>
      </c>
      <c r="J100" s="532">
        <f>+'q18'!$J$12</f>
        <v>87718</v>
      </c>
      <c r="K100" s="532">
        <f>+'q18'!$K$12</f>
        <v>89330</v>
      </c>
      <c r="L100" s="532">
        <f>+'q18'!$L$12</f>
        <v>97684</v>
      </c>
      <c r="M100" s="532">
        <f>+'q18'!$M$12</f>
        <v>100757</v>
      </c>
      <c r="Q100" s="550"/>
      <c r="R100" s="532" t="s">
        <v>374</v>
      </c>
      <c r="S100" s="542">
        <f>INDEX($B$35:$M$43,MATCH($R$100,$B$35:$B$43,0),MATCH($P$95,$B$35:$M$35,0))*-1</f>
        <v>-1340.615528721723</v>
      </c>
      <c r="T100" s="542">
        <f>INDEX($B$63:$M$71,MATCH($R$100,$B$63:$B$71,0),MATCH($P$95,$B$63:$M$63,0))*-1</f>
        <v>-1633.6152324644449</v>
      </c>
      <c r="U100" s="542">
        <f>INDEX($B$44:$M$52,MATCH($R$100,$B$44:$B$52,0),MATCH($P$95,$B$44:$M$44,0))</f>
        <v>1178.8709557441496</v>
      </c>
      <c r="V100" s="542">
        <f>INDEX($B$72:$M$80,MATCH($R$100,$B$72:$B$80,0),MATCH($P$95,$B$72:$M$72,0))</f>
        <v>1388.7278106261283</v>
      </c>
      <c r="W100" s="542">
        <f>INDEX($B$53:$M$61,MATCH($R$100,$B$53:$B$61,0),MATCH($P$95,$B$53:$M$53,0))</f>
        <v>1266.5928282166901</v>
      </c>
      <c r="X100" s="542">
        <f>INDEX($B$81:$M$89,MATCH($R$100,$B$81:$B$89,0),MATCH($P$95,$B$81:$M$81,0))</f>
        <v>1521.5461508740502</v>
      </c>
      <c r="Y100" s="619">
        <f t="shared" si="11"/>
        <v>0.83243799571186028</v>
      </c>
      <c r="Z100" s="542">
        <f t="shared" si="14"/>
        <v>1521.5461508740502</v>
      </c>
      <c r="AA100" s="619">
        <f t="shared" si="12"/>
        <v>0.87935051510868534</v>
      </c>
      <c r="AB100" s="619">
        <f t="shared" si="12"/>
        <v>0.85009479773956098</v>
      </c>
      <c r="AC100" s="532" t="str">
        <f t="shared" si="13"/>
        <v>35 - 44 anos</v>
      </c>
      <c r="AM100" s="501"/>
      <c r="AN100" s="537"/>
      <c r="AO100" s="537"/>
      <c r="AP100" s="537"/>
      <c r="AQ100" s="537"/>
      <c r="AR100" s="537"/>
      <c r="AS100" s="537"/>
      <c r="AT100" s="537"/>
      <c r="AU100" s="537"/>
      <c r="AV100" s="537"/>
      <c r="AW100" s="537"/>
      <c r="AX100" s="537"/>
    </row>
    <row r="101" spans="1:50">
      <c r="B101" s="532" t="str">
        <f>+Aux!$B$109</f>
        <v>Encarregados, contramestres e chefes de equipa</v>
      </c>
      <c r="C101" s="532">
        <f>+'q18'!$C$15</f>
        <v>76740</v>
      </c>
      <c r="D101" s="532">
        <f>+'q18'!$D$15</f>
        <v>77240</v>
      </c>
      <c r="E101" s="532">
        <f>+'q18'!$E$15</f>
        <v>77620</v>
      </c>
      <c r="F101" s="532">
        <f>+'q18'!$F$15</f>
        <v>80653</v>
      </c>
      <c r="G101" s="532">
        <f>+'q18'!$G$15</f>
        <v>83817</v>
      </c>
      <c r="H101" s="532">
        <f>+'q18'!$H$15</f>
        <v>87877</v>
      </c>
      <c r="I101" s="532">
        <f>+'q18'!$I$15</f>
        <v>85329</v>
      </c>
      <c r="J101" s="532">
        <f>+'q18'!$J$15</f>
        <v>83980</v>
      </c>
      <c r="K101" s="532">
        <f>+'q18'!$K$15</f>
        <v>86890</v>
      </c>
      <c r="L101" s="532">
        <f>+'q18'!$L$15</f>
        <v>94376</v>
      </c>
      <c r="M101" s="532">
        <f>+'q18'!$M$15</f>
        <v>101143</v>
      </c>
      <c r="Q101" s="550"/>
      <c r="R101" s="532" t="s">
        <v>375</v>
      </c>
      <c r="S101" s="542">
        <f>INDEX($B$35:$M$43,MATCH($R$101,$B$35:$B$43,0),MATCH($P$95,$B$35:$M$35,0))*-1</f>
        <v>-1419.5283084168145</v>
      </c>
      <c r="T101" s="542">
        <f>INDEX($B$63:$M$71,MATCH($R$101,$B$63:$B$71,0),MATCH($P$95,$B$63:$M$63,0))*-1</f>
        <v>-1751.7699752233802</v>
      </c>
      <c r="U101" s="542">
        <f>INDEX($B$44:$M$52,MATCH($R$101,$B$44:$B$52,0),MATCH($P$95,$B$44:$M$44,0))</f>
        <v>1194.5282294044509</v>
      </c>
      <c r="V101" s="542">
        <f>INDEX($B$72:$M$80,MATCH($R$101,$B$72:$B$80,0),MATCH($P$95,$B$72:$M$72,0))</f>
        <v>1416.7996478544317</v>
      </c>
      <c r="W101" s="542">
        <f>INDEX($B$53:$M$61,MATCH($R$101,$B$53:$B$61,0),MATCH($P$95,$B$53:$M$53,0))</f>
        <v>1314.2108032221263</v>
      </c>
      <c r="X101" s="542">
        <f>INDEX($B$81:$M$89,MATCH($R$101,$B$81:$B$89,0),MATCH($P$95,$B$81:$M$81,0))</f>
        <v>1594.9782009025278</v>
      </c>
      <c r="Y101" s="619">
        <f t="shared" si="11"/>
        <v>0.82396787772928337</v>
      </c>
      <c r="Z101" s="542">
        <f t="shared" si="14"/>
        <v>1594.9782009025278</v>
      </c>
      <c r="AA101" s="619">
        <f t="shared" si="12"/>
        <v>0.8414965889174103</v>
      </c>
      <c r="AB101" s="619">
        <f t="shared" si="12"/>
        <v>0.80878178521912714</v>
      </c>
      <c r="AC101" s="532" t="str">
        <f t="shared" si="13"/>
        <v>45 - 54 anos</v>
      </c>
      <c r="AM101" s="501"/>
      <c r="AN101" s="537"/>
      <c r="AO101" s="537"/>
      <c r="AP101" s="537"/>
      <c r="AQ101" s="537"/>
      <c r="AR101" s="537"/>
      <c r="AS101" s="537"/>
      <c r="AT101" s="537"/>
      <c r="AU101" s="537"/>
      <c r="AV101" s="537"/>
      <c r="AW101" s="537"/>
      <c r="AX101" s="537"/>
    </row>
    <row r="102" spans="1:50">
      <c r="B102" s="532" t="str">
        <f>+Aux!$B$110</f>
        <v>Profissionais altamente qualificados</v>
      </c>
      <c r="C102" s="532">
        <f>+'q18'!$C$18</f>
        <v>89419</v>
      </c>
      <c r="D102" s="532">
        <f>+'q18'!$D$18</f>
        <v>91459</v>
      </c>
      <c r="E102" s="532">
        <f>+'q18'!$E$18</f>
        <v>93730</v>
      </c>
      <c r="F102" s="532">
        <f>+'q18'!$F$18</f>
        <v>99603</v>
      </c>
      <c r="G102" s="532">
        <f>+'q18'!$G$18</f>
        <v>106415</v>
      </c>
      <c r="H102" s="532">
        <f>+'q18'!$H$18</f>
        <v>110781</v>
      </c>
      <c r="I102" s="532">
        <f>+'q18'!$I$18</f>
        <v>121613</v>
      </c>
      <c r="J102" s="532">
        <f>+'q18'!$J$18</f>
        <v>125955</v>
      </c>
      <c r="K102" s="532">
        <f>+'q18'!$K$18</f>
        <v>129812</v>
      </c>
      <c r="L102" s="532">
        <f>+'q18'!$L$18</f>
        <v>141741</v>
      </c>
      <c r="M102" s="532">
        <f>+'q18'!$M$18</f>
        <v>149227</v>
      </c>
      <c r="Q102" s="550"/>
      <c r="R102" s="532" t="s">
        <v>376</v>
      </c>
      <c r="S102" s="542">
        <f>INDEX($B$35:$M$43,MATCH($R$102,$B$35:$B$43,0),MATCH($P$95,$B$35:$M$35,0))*-1</f>
        <v>-1344.0285848928534</v>
      </c>
      <c r="T102" s="542">
        <f>INDEX($B$63:$M$71,MATCH($R$102,$B$63:$B$71,0),MATCH($P$95,$B$63:$M$63,0))*-1</f>
        <v>-1655.5514476389026</v>
      </c>
      <c r="U102" s="542">
        <f>INDEX($B$44:$M$52,MATCH($R$102,$B$44:$B$52,0),MATCH($P$95,$B$44:$M$44,0))</f>
        <v>1087.881585360592</v>
      </c>
      <c r="V102" s="542">
        <f>INDEX($B$72:$M$80,MATCH($R$102,$B$72:$B$80,0),MATCH($P$95,$B$72:$M$72,0))</f>
        <v>1274.8774038965282</v>
      </c>
      <c r="W102" s="542">
        <f>INDEX($B$53:$M$61,MATCH($R$102,$B$53:$B$61,0),MATCH($P$95,$B$53:$M$53,0))</f>
        <v>1231.2502046094103</v>
      </c>
      <c r="X102" s="542">
        <f>INDEX($B$81:$M$89,MATCH($R$102,$B$81:$B$89,0),MATCH($P$95,$B$81:$M$81,0))</f>
        <v>1487.9493190902751</v>
      </c>
      <c r="Y102" s="619">
        <f t="shared" si="11"/>
        <v>0.82748127830199925</v>
      </c>
      <c r="Z102" s="542">
        <f t="shared" si="14"/>
        <v>1487.9493190902751</v>
      </c>
      <c r="AA102" s="619">
        <f t="shared" si="12"/>
        <v>0.80941848825880325</v>
      </c>
      <c r="AB102" s="619">
        <f t="shared" si="12"/>
        <v>0.77006208759910166</v>
      </c>
      <c r="AC102" s="532" t="str">
        <f t="shared" si="13"/>
        <v>55 - 64 anos</v>
      </c>
      <c r="AM102" s="501"/>
      <c r="AN102" s="537"/>
      <c r="AO102" s="537"/>
      <c r="AP102" s="537"/>
      <c r="AQ102" s="537"/>
      <c r="AR102" s="537"/>
      <c r="AS102" s="537"/>
      <c r="AT102" s="537"/>
      <c r="AU102" s="537"/>
      <c r="AV102" s="537"/>
      <c r="AW102" s="537"/>
      <c r="AX102" s="537"/>
    </row>
    <row r="103" spans="1:50">
      <c r="B103" s="532" t="str">
        <f>+Aux!$B$111</f>
        <v>Profissionais qualificados</v>
      </c>
      <c r="C103" s="532">
        <f>+'q18'!$C$21</f>
        <v>527897</v>
      </c>
      <c r="D103" s="532">
        <f>+'q18'!$D$21</f>
        <v>541440</v>
      </c>
      <c r="E103" s="532">
        <f>+'q18'!$E$21</f>
        <v>558904</v>
      </c>
      <c r="F103" s="532">
        <f>+'q18'!$F$21</f>
        <v>577377</v>
      </c>
      <c r="G103" s="532">
        <f>+'q18'!$G$21</f>
        <v>623424</v>
      </c>
      <c r="H103" s="532">
        <f>+'q18'!$H$21</f>
        <v>656464</v>
      </c>
      <c r="I103" s="532">
        <f>+'q18'!$I$21</f>
        <v>631996</v>
      </c>
      <c r="J103" s="532">
        <f>+'q18'!$J$21</f>
        <v>627429</v>
      </c>
      <c r="K103" s="532">
        <f>+'q18'!$K$21</f>
        <v>617966</v>
      </c>
      <c r="L103" s="532">
        <f>+'q18'!$L$21</f>
        <v>660462</v>
      </c>
      <c r="M103" s="532">
        <f>+'q18'!$M$21</f>
        <v>686194</v>
      </c>
      <c r="Q103" s="550"/>
      <c r="R103" s="532" t="s">
        <v>65</v>
      </c>
      <c r="S103" s="542">
        <f>INDEX($B$35:$M$43,MATCH($R$103,$B$35:$B$43,0),MATCH($P$95,$B$35:$M$35,0))*-1</f>
        <v>-1456.5</v>
      </c>
      <c r="T103" s="542">
        <f>INDEX($B$63:$M$71,MATCH($R$103,$B$63:$B$71,0),MATCH($P$95,$B$63:$M$63,0))*-1</f>
        <v>-1696.46</v>
      </c>
      <c r="U103" s="542">
        <f>INDEX($B$44:$M$52,MATCH($R$103,$B$44:$B$52,0),MATCH($P$95,$B$44:$M$44,0))</f>
        <v>1157.69</v>
      </c>
      <c r="V103" s="542">
        <f>INDEX($B$72:$M$80,MATCH($R$103,$B$72:$B$80,0),MATCH($P$95,$B$72:$M$72,0))</f>
        <v>1323.72</v>
      </c>
      <c r="W103" s="542">
        <f>INDEX($B$53:$M$61,MATCH($R$103,$B$53:$B$61,0),MATCH($P$95,$B$53:$M$53,0))</f>
        <v>1345.46</v>
      </c>
      <c r="X103" s="542">
        <f>INDEX($B$81:$M$89,MATCH($R$103,$B$81:$B$89,0),MATCH($P$95,$B$81:$M$81,0))</f>
        <v>1557.94</v>
      </c>
      <c r="Y103" s="619">
        <f t="shared" si="11"/>
        <v>0.86361477335455794</v>
      </c>
      <c r="Z103" s="542">
        <f t="shared" si="14"/>
        <v>1557.94</v>
      </c>
      <c r="AA103" s="619">
        <f t="shared" si="12"/>
        <v>0.79484380363886031</v>
      </c>
      <c r="AB103" s="619">
        <f t="shared" si="12"/>
        <v>0.78028364948186224</v>
      </c>
      <c r="AC103" s="532" t="str">
        <f t="shared" si="13"/>
        <v>65 e + anos</v>
      </c>
      <c r="AM103" s="501"/>
      <c r="AN103" s="537"/>
      <c r="AO103" s="537"/>
      <c r="AP103" s="537"/>
      <c r="AQ103" s="537"/>
      <c r="AR103" s="537"/>
      <c r="AS103" s="537"/>
      <c r="AT103" s="537"/>
      <c r="AU103" s="537"/>
      <c r="AV103" s="537"/>
      <c r="AW103" s="537"/>
      <c r="AX103" s="537"/>
    </row>
    <row r="104" spans="1:50">
      <c r="B104" s="532" t="str">
        <f>+Aux!$B$112</f>
        <v>Profissionais semi-qualificados</v>
      </c>
      <c r="C104" s="532">
        <f>+'q18'!$C$24</f>
        <v>222139</v>
      </c>
      <c r="D104" s="532">
        <f>+'q18'!$D$24</f>
        <v>233306</v>
      </c>
      <c r="E104" s="532">
        <f>+'q18'!$E$24</f>
        <v>237914</v>
      </c>
      <c r="F104" s="532">
        <f>+'q18'!$F$24</f>
        <v>254447</v>
      </c>
      <c r="G104" s="532">
        <f>+'q18'!$G$24</f>
        <v>248727</v>
      </c>
      <c r="H104" s="532">
        <f>+'q18'!$H$24</f>
        <v>255362</v>
      </c>
      <c r="I104" s="532">
        <f>+'q18'!$I$24</f>
        <v>257099</v>
      </c>
      <c r="J104" s="532">
        <f>+'q18'!$J$24</f>
        <v>251110</v>
      </c>
      <c r="K104" s="532">
        <f>+'q18'!$K$24</f>
        <v>240263</v>
      </c>
      <c r="L104" s="532">
        <f>+'q18'!$L$24</f>
        <v>260895</v>
      </c>
      <c r="M104" s="532">
        <f>+'q18'!$M$24</f>
        <v>289714</v>
      </c>
      <c r="Q104" s="550"/>
      <c r="R104" s="532" t="s">
        <v>12</v>
      </c>
      <c r="S104" s="542">
        <f>INDEX($B$35:$M$43,MATCH($R$104,$B$35:$B$43,0),MATCH($P$95,$B$35:$M$35,0))*-1</f>
        <v>-1294.03</v>
      </c>
      <c r="T104" s="542">
        <f>INDEX($B$63:$M$71,MATCH($R$104,$B$63:$B$71,0),MATCH($P$95,$B$63:$M$63,0))*-1</f>
        <v>-1577.33</v>
      </c>
      <c r="U104" s="542">
        <f>INDEX($B$44:$M$52,MATCH($R$104,$B$44:$B$52,0),MATCH($P$95,$B$44:$M$44,0))</f>
        <v>1129.6400000000001</v>
      </c>
      <c r="V104" s="542">
        <f>INDEX($B$72:$M$80,MATCH($R$104,$B$72:$B$80,0),MATCH($P$95,$B$72:$M$72,0))</f>
        <v>1332.02</v>
      </c>
      <c r="W104" s="542">
        <f>INDEX($B$53:$M$61,MATCH($R$104,$B$53:$B$61,0),MATCH($P$95,$B$53:$M$53,0))</f>
        <v>1219.8699999999999</v>
      </c>
      <c r="X104" s="542">
        <f>INDEX($B$81:$M$89,MATCH($R$104,$B$81:$B$89,0),MATCH($P$95,$B$81:$M$81,0))</f>
        <v>1466.66</v>
      </c>
      <c r="Y104" s="619">
        <f t="shared" si="11"/>
        <v>0.83173332606057293</v>
      </c>
      <c r="Z104" s="542">
        <f t="shared" si="14"/>
        <v>1466.66</v>
      </c>
      <c r="AA104" s="619">
        <f t="shared" si="12"/>
        <v>0.87296275975054682</v>
      </c>
      <c r="AB104" s="619">
        <f t="shared" si="12"/>
        <v>0.84447769331718792</v>
      </c>
      <c r="AC104" s="532" t="str">
        <f t="shared" si="13"/>
        <v>Total</v>
      </c>
      <c r="AM104" s="501"/>
      <c r="AN104" s="537"/>
      <c r="AO104" s="537"/>
      <c r="AP104" s="537"/>
      <c r="AQ104" s="537"/>
      <c r="AR104" s="537"/>
      <c r="AS104" s="537"/>
      <c r="AT104" s="537"/>
      <c r="AU104" s="537"/>
      <c r="AV104" s="537"/>
      <c r="AW104" s="537"/>
      <c r="AX104" s="537"/>
    </row>
    <row r="105" spans="1:50">
      <c r="B105" s="532" t="str">
        <f>+Aux!$B$113</f>
        <v>Profissionais não qualificados</v>
      </c>
      <c r="C105" s="532">
        <f>+'q18'!$C$27</f>
        <v>110519</v>
      </c>
      <c r="D105" s="532">
        <f>+'q18'!$D$27</f>
        <v>117350</v>
      </c>
      <c r="E105" s="532">
        <f>+'q18'!$E$27</f>
        <v>120466</v>
      </c>
      <c r="F105" s="532">
        <f>+'q18'!$F$27</f>
        <v>127061</v>
      </c>
      <c r="G105" s="532">
        <f>+'q18'!$G$27</f>
        <v>136792</v>
      </c>
      <c r="H105" s="532">
        <f>+'q18'!$H$27</f>
        <v>139286</v>
      </c>
      <c r="I105" s="532">
        <f>+'q18'!$I$27</f>
        <v>175214</v>
      </c>
      <c r="J105" s="532">
        <f>+'q18'!$J$27</f>
        <v>175948</v>
      </c>
      <c r="K105" s="532">
        <f>+'q18'!$K$27</f>
        <v>183201</v>
      </c>
      <c r="L105" s="532">
        <f>+'q18'!$L$27</f>
        <v>202071</v>
      </c>
      <c r="M105" s="532">
        <f>+'q18'!$M$27</f>
        <v>210562</v>
      </c>
      <c r="Q105" s="550"/>
      <c r="S105" s="542"/>
      <c r="U105" s="564">
        <f>+U104/S104*(-1)*100</f>
        <v>87.296275975054684</v>
      </c>
      <c r="V105" s="564">
        <f>+V104/T104*(-1)*100</f>
        <v>84.447769331718789</v>
      </c>
      <c r="AM105" s="501"/>
      <c r="AN105" s="537"/>
      <c r="AO105" s="537"/>
      <c r="AP105" s="537"/>
      <c r="AQ105" s="537"/>
      <c r="AR105" s="537"/>
      <c r="AS105" s="537"/>
      <c r="AT105" s="537"/>
      <c r="AU105" s="537"/>
      <c r="AV105" s="537"/>
      <c r="AW105" s="537"/>
      <c r="AX105" s="537"/>
    </row>
    <row r="106" spans="1:50">
      <c r="B106" s="532" t="str">
        <f>+Aux!$B$114</f>
        <v>Praticantes e aprendizes</v>
      </c>
      <c r="C106" s="532">
        <f>+'q18'!$C$30</f>
        <v>34813</v>
      </c>
      <c r="D106" s="532">
        <f>+'q18'!$D$30</f>
        <v>37250</v>
      </c>
      <c r="E106" s="532">
        <f>+'q18'!$E$30</f>
        <v>38595</v>
      </c>
      <c r="F106" s="532">
        <f>+'q18'!$F$30</f>
        <v>38822</v>
      </c>
      <c r="G106" s="532">
        <f>+'q18'!$G$30</f>
        <v>40797</v>
      </c>
      <c r="H106" s="532">
        <f>+'q18'!$H$30</f>
        <v>42768</v>
      </c>
      <c r="I106" s="532">
        <f>+'q18'!$I$30</f>
        <v>44355</v>
      </c>
      <c r="J106" s="532">
        <f>+'q18'!$J$30</f>
        <v>37514</v>
      </c>
      <c r="K106" s="532">
        <f>+'q18'!$K$30</f>
        <v>40387</v>
      </c>
      <c r="L106" s="532">
        <f>+'q18'!$L$30</f>
        <v>41791</v>
      </c>
      <c r="M106" s="532">
        <f>+'q18'!$M$30</f>
        <v>43325</v>
      </c>
      <c r="R106" s="532" t="s">
        <v>12</v>
      </c>
      <c r="S106" s="532" t="s">
        <v>55</v>
      </c>
      <c r="T106" s="532" t="s">
        <v>372</v>
      </c>
      <c r="U106" s="532" t="s">
        <v>373</v>
      </c>
      <c r="V106" s="532" t="s">
        <v>374</v>
      </c>
      <c r="W106" s="532" t="s">
        <v>375</v>
      </c>
      <c r="X106" s="532" t="s">
        <v>376</v>
      </c>
      <c r="Y106" s="532" t="s">
        <v>65</v>
      </c>
      <c r="AA106" s="532" t="s">
        <v>305</v>
      </c>
      <c r="AC106" s="532" t="s">
        <v>304</v>
      </c>
      <c r="AM106" s="501"/>
      <c r="AN106" s="537"/>
      <c r="AO106" s="537"/>
      <c r="AP106" s="537"/>
      <c r="AQ106" s="537"/>
      <c r="AR106" s="537"/>
      <c r="AS106" s="537"/>
      <c r="AT106" s="537"/>
      <c r="AU106" s="537"/>
      <c r="AV106" s="537"/>
      <c r="AW106" s="537"/>
      <c r="AX106" s="537"/>
    </row>
    <row r="107" spans="1:50">
      <c r="B107" s="532" t="str">
        <f>+Aux!$B$115</f>
        <v>Total</v>
      </c>
      <c r="C107" s="532">
        <f>+'q18'!$C$6</f>
        <v>1242007</v>
      </c>
      <c r="D107" s="532">
        <f>+'q18'!$D$6</f>
        <v>1278921</v>
      </c>
      <c r="E107" s="532">
        <f>+'q18'!$E$6</f>
        <v>1311721</v>
      </c>
      <c r="F107" s="532">
        <f>+'q18'!$F$6</f>
        <v>1367705</v>
      </c>
      <c r="G107" s="532">
        <f>+'q18'!$G$6</f>
        <v>1437729</v>
      </c>
      <c r="H107" s="532">
        <f>+'q18'!$H$6</f>
        <v>1499993</v>
      </c>
      <c r="I107" s="532">
        <f>+'q18'!$I$6</f>
        <v>1529276</v>
      </c>
      <c r="J107" s="532">
        <f>+'q18'!$J$6</f>
        <v>1526297</v>
      </c>
      <c r="K107" s="532">
        <f>+'q18'!$K$6</f>
        <v>1530240</v>
      </c>
      <c r="L107" s="532">
        <f>+'q18'!$L$6</f>
        <v>1653917</v>
      </c>
      <c r="M107" s="532">
        <f>+'q18'!$M$6</f>
        <v>1743311</v>
      </c>
      <c r="Q107" s="501" t="s">
        <v>404</v>
      </c>
      <c r="R107" s="542">
        <f>INDEX($B$53:$M$61,MATCH($R$104,$B$53:$B$61,0),MATCH($P$95,$B$53:$M$53,0))</f>
        <v>1219.8699999999999</v>
      </c>
      <c r="S107" s="542">
        <f>INDEX($B$53:$M$61,MATCH($R$97,$B$53:$B$61,0),MATCH($P$95,$B$53:$M$53,0))</f>
        <v>1101.81</v>
      </c>
      <c r="T107" s="542">
        <f>INDEX($B$53:$M$61,MATCH($R$98,$B$53:$B$61,0),MATCH($P$95,$B$53:$M$53,0))</f>
        <v>925.26</v>
      </c>
      <c r="U107" s="542">
        <f>INDEX($B$53:$M$61,MATCH($R$99,$B$53:$B$61,0),MATCH($P$95,$B$53:$M$53,0))</f>
        <v>1134.9691398728628</v>
      </c>
      <c r="V107" s="542">
        <f>INDEX($B$53:$M$61,MATCH($R$100,$B$53:$B$61,0),MATCH($P$95,$B$53:$M$53,0))</f>
        <v>1266.5928282166901</v>
      </c>
      <c r="W107" s="542">
        <f>INDEX($B$53:$M$61,MATCH($R$101,$B$53:$B$61,0),MATCH($P$95,$B$53:$M$53,0))</f>
        <v>1314.2108032221263</v>
      </c>
      <c r="X107" s="542">
        <f>INDEX($B$53:$M$61,MATCH($R$102,$B$53:$B$61,0),MATCH($P$95,$B$53:$M$53,0))</f>
        <v>1231.2502046094103</v>
      </c>
      <c r="Y107" s="542">
        <f>INDEX($B$53:$M$61,MATCH($R$103,$B$53:$B$61,0),MATCH($P$95,$B$53:$M$53,0))</f>
        <v>1345.46</v>
      </c>
      <c r="AA107" s="532">
        <f>+SMALL(S107:Y107,1)</f>
        <v>925.26</v>
      </c>
      <c r="AB107" s="532" t="str">
        <f>+HLOOKUP(AA107,$S$107:$Y$109,3,0)</f>
        <v>18 - 24 anos</v>
      </c>
      <c r="AC107" s="532">
        <f>+LARGE(S107:Y107,1)</f>
        <v>1345.46</v>
      </c>
      <c r="AD107" s="532" t="str">
        <f>+HLOOKUP(AC107,$S$107:$Y$109,3,0)</f>
        <v>65 e + anos</v>
      </c>
      <c r="AM107" s="501"/>
    </row>
    <row r="108" spans="1:50">
      <c r="Q108" s="501" t="s">
        <v>297</v>
      </c>
      <c r="R108" s="542">
        <f>INDEX($B$81:$M$89,MATCH($R$104,$B$81:$B$89,0),MATCH($P$95,$B$81:$M$81,0))</f>
        <v>1466.66</v>
      </c>
      <c r="S108" s="542">
        <f>INDEX($B$81:$M$89,MATCH($R$97,$B$81:$B$89,0),MATCH($P$95,$B$81:$M$81,0))</f>
        <v>1193.83</v>
      </c>
      <c r="T108" s="542">
        <f>INDEX($B$81:$M$89,MATCH($R$98,$B$81:$B$89,0),MATCH($P$95,$B$81:$M$81,0))</f>
        <v>1100.3599999999999</v>
      </c>
      <c r="U108" s="542">
        <f>INDEX($B$81:$M$89,MATCH($R$99,$B$81:$B$89,0),MATCH($P$95,$B$81:$M$81,0))</f>
        <v>1352.4112985865575</v>
      </c>
      <c r="V108" s="542">
        <f>INDEX($B$81:$M$89,MATCH($R$100,$B$81:$B$89,0),MATCH($P$95,$B$81:$M$81,0))</f>
        <v>1521.5461508740502</v>
      </c>
      <c r="W108" s="542">
        <f>INDEX($B$81:$M$89,MATCH($R$101,$B$81:$B$89,0),MATCH($P$95,$B$81:$M$81,0))</f>
        <v>1594.9782009025278</v>
      </c>
      <c r="X108" s="542">
        <f>INDEX($B$81:$M$89,MATCH($R$102,$B$81:$B$89,0),MATCH($P$95,$B$81:$M$81,0))</f>
        <v>1487.9493190902751</v>
      </c>
      <c r="Y108" s="542">
        <f>INDEX($B$81:$M$89,MATCH($R$103,$B$81:$B$89,0),MATCH($P$95,$B$81:$M$81,0))</f>
        <v>1557.94</v>
      </c>
      <c r="AA108" s="532">
        <f>+SMALL(S108:Y108,1)</f>
        <v>1100.3599999999999</v>
      </c>
      <c r="AB108" s="532" t="str">
        <f>+HLOOKUP(AA108,$S$108:$Y$109,2,0)</f>
        <v>18 - 24 anos</v>
      </c>
      <c r="AC108" s="537">
        <f>+LARGE(S108:Y108,1)</f>
        <v>1594.9782009025278</v>
      </c>
      <c r="AD108" s="532" t="str">
        <f>+HLOOKUP(AC108,$S$108:$Y$109,2,0)</f>
        <v>45 - 54 anos</v>
      </c>
      <c r="AM108" s="501"/>
    </row>
    <row r="109" spans="1:50">
      <c r="C109" s="501">
        <f>+'q17'!$C$4</f>
        <v>2013</v>
      </c>
      <c r="D109" s="501">
        <f>+'q17'!$D$4</f>
        <v>2014</v>
      </c>
      <c r="E109" s="501">
        <f>+'q17'!$E$4</f>
        <v>2015</v>
      </c>
      <c r="F109" s="501">
        <f>+'q17'!$F$4</f>
        <v>2016</v>
      </c>
      <c r="G109" s="501">
        <f>+'q17'!$G$4</f>
        <v>2017</v>
      </c>
      <c r="H109" s="501">
        <f>+'q17'!$H$4</f>
        <v>2018</v>
      </c>
      <c r="I109" s="501">
        <f>+'q17'!$I$4</f>
        <v>2019</v>
      </c>
      <c r="J109" s="501">
        <f>+'q17'!$J$4</f>
        <v>2020</v>
      </c>
      <c r="K109" s="501">
        <f>+'q17'!$K$4</f>
        <v>2021</v>
      </c>
      <c r="L109" s="501">
        <f>+'q17'!$L$4</f>
        <v>2022</v>
      </c>
      <c r="M109" s="501">
        <f>+'q17'!$M$4</f>
        <v>2023</v>
      </c>
      <c r="Q109" s="550"/>
      <c r="R109" s="542"/>
      <c r="S109" s="542" t="str">
        <f>+S106</f>
        <v>&lt; 18 anos</v>
      </c>
      <c r="T109" s="542" t="str">
        <f t="shared" ref="T109:Y109" si="15">+T106</f>
        <v>18 - 24 anos</v>
      </c>
      <c r="U109" s="542" t="str">
        <f t="shared" si="15"/>
        <v>25 - 34 anos</v>
      </c>
      <c r="V109" s="542" t="str">
        <f t="shared" si="15"/>
        <v>35 - 44 anos</v>
      </c>
      <c r="W109" s="542" t="str">
        <f t="shared" si="15"/>
        <v>45 - 54 anos</v>
      </c>
      <c r="X109" s="542" t="str">
        <f t="shared" si="15"/>
        <v>55 - 64 anos</v>
      </c>
      <c r="Y109" s="542" t="str">
        <f t="shared" si="15"/>
        <v>65 e + anos</v>
      </c>
      <c r="AM109" s="501"/>
      <c r="AN109" s="501"/>
      <c r="AO109" s="501"/>
      <c r="AP109" s="501"/>
      <c r="AQ109" s="501"/>
      <c r="AR109" s="501"/>
      <c r="AS109" s="501"/>
      <c r="AT109" s="501"/>
      <c r="AU109" s="501"/>
      <c r="AV109" s="501"/>
      <c r="AW109" s="501"/>
      <c r="AX109" s="501"/>
    </row>
    <row r="110" spans="1:50">
      <c r="A110" s="533" t="s">
        <v>117</v>
      </c>
      <c r="B110" s="532" t="str">
        <f>+Aux!$B$107</f>
        <v>Quadros superiores</v>
      </c>
      <c r="C110" s="532">
        <f>+'q18'!$C$10</f>
        <v>88999</v>
      </c>
      <c r="D110" s="532">
        <f>+'q18'!$D$10</f>
        <v>90293</v>
      </c>
      <c r="E110" s="532">
        <f>+'q18'!$E$10</f>
        <v>94721</v>
      </c>
      <c r="F110" s="532">
        <f>+'q18'!$F$10</f>
        <v>99374</v>
      </c>
      <c r="G110" s="532">
        <f>+'q18'!$G$10</f>
        <v>103531</v>
      </c>
      <c r="H110" s="532">
        <f>+'q18'!$H$10</f>
        <v>110528</v>
      </c>
      <c r="I110" s="532">
        <f>+'q18'!$I$10</f>
        <v>118071</v>
      </c>
      <c r="J110" s="532">
        <f>+'q18'!$J$10</f>
        <v>125514</v>
      </c>
      <c r="K110" s="532">
        <f>+'q18'!$K$10</f>
        <v>132879</v>
      </c>
      <c r="L110" s="532">
        <f>+'q18'!$L$10</f>
        <v>142625</v>
      </c>
      <c r="M110" s="532">
        <f>+'q18'!$M$10</f>
        <v>152799</v>
      </c>
      <c r="Q110" s="550"/>
      <c r="R110" s="542"/>
      <c r="S110" s="542"/>
      <c r="T110" s="542"/>
      <c r="U110" s="542"/>
      <c r="V110" s="542"/>
      <c r="W110" s="542"/>
      <c r="X110" s="542"/>
      <c r="Y110" s="542"/>
      <c r="AB110" s="533" t="b">
        <f>+EXACT(AB107,AB108)</f>
        <v>1</v>
      </c>
      <c r="AD110" s="533" t="b">
        <f>+EXACT(AD107,AD108)</f>
        <v>0</v>
      </c>
      <c r="AM110" s="501"/>
      <c r="AN110" s="537"/>
      <c r="AO110" s="537"/>
      <c r="AP110" s="537"/>
      <c r="AQ110" s="537"/>
      <c r="AR110" s="537"/>
      <c r="AS110" s="537"/>
      <c r="AT110" s="537"/>
      <c r="AU110" s="537"/>
      <c r="AV110" s="537"/>
      <c r="AW110" s="537"/>
      <c r="AX110" s="537"/>
    </row>
    <row r="111" spans="1:50">
      <c r="B111" s="532" t="str">
        <f>+Aux!$B$108</f>
        <v>Quadros médios</v>
      </c>
      <c r="C111" s="532">
        <f>+'q18'!$C$13</f>
        <v>64569</v>
      </c>
      <c r="D111" s="532">
        <f>+'q18'!$D$13</f>
        <v>66043</v>
      </c>
      <c r="E111" s="532">
        <f>+'q18'!$E$13</f>
        <v>68953</v>
      </c>
      <c r="F111" s="532">
        <f>+'q18'!$F$13</f>
        <v>72959</v>
      </c>
      <c r="G111" s="532">
        <f>+'q18'!$G$13</f>
        <v>76328</v>
      </c>
      <c r="H111" s="532">
        <f>+'q18'!$H$13</f>
        <v>80800</v>
      </c>
      <c r="I111" s="532">
        <f>+'q18'!$I$13</f>
        <v>81556</v>
      </c>
      <c r="J111" s="532">
        <f>+'q18'!$J$13</f>
        <v>85119</v>
      </c>
      <c r="K111" s="532">
        <f>+'q18'!$K$13</f>
        <v>87328</v>
      </c>
      <c r="L111" s="532">
        <f>+'q18'!$L$13</f>
        <v>94678</v>
      </c>
      <c r="M111" s="532">
        <f>+'q18'!$M$13</f>
        <v>96479</v>
      </c>
      <c r="Q111" s="550"/>
      <c r="R111" s="542"/>
      <c r="S111" s="542"/>
      <c r="T111" s="542"/>
      <c r="U111" s="542">
        <v>800</v>
      </c>
      <c r="V111" s="549"/>
      <c r="W111" s="542"/>
      <c r="X111" s="542"/>
      <c r="Y111" s="542"/>
      <c r="AA111" s="532" t="s">
        <v>864</v>
      </c>
      <c r="AB111" s="532" t="s">
        <v>866</v>
      </c>
      <c r="AM111" s="501"/>
      <c r="AN111" s="537"/>
      <c r="AO111" s="537"/>
      <c r="AP111" s="537"/>
      <c r="AQ111" s="537"/>
      <c r="AR111" s="537"/>
      <c r="AS111" s="537"/>
      <c r="AT111" s="537"/>
      <c r="AU111" s="537"/>
      <c r="AV111" s="537"/>
      <c r="AW111" s="537"/>
      <c r="AX111" s="537"/>
    </row>
    <row r="112" spans="1:50">
      <c r="B112" s="532" t="str">
        <f>+Aux!$B$109</f>
        <v>Encarregados, contramestres e chefes de equipa</v>
      </c>
      <c r="C112" s="532">
        <f>+'q18'!$C$16</f>
        <v>43155</v>
      </c>
      <c r="D112" s="532">
        <f>+'q18'!$D$16</f>
        <v>44524</v>
      </c>
      <c r="E112" s="532">
        <f>+'q18'!$E$16</f>
        <v>45857</v>
      </c>
      <c r="F112" s="532">
        <f>+'q18'!$F$16</f>
        <v>49443</v>
      </c>
      <c r="G112" s="532">
        <f>+'q18'!$G$16</f>
        <v>53054</v>
      </c>
      <c r="H112" s="532">
        <f>+'q18'!$H$16</f>
        <v>56466</v>
      </c>
      <c r="I112" s="532">
        <f>+'q18'!$I$16</f>
        <v>52920</v>
      </c>
      <c r="J112" s="532">
        <f>+'q18'!$J$16</f>
        <v>51983</v>
      </c>
      <c r="K112" s="532">
        <f>+'q18'!$K$16</f>
        <v>55052</v>
      </c>
      <c r="L112" s="532">
        <f>+'q18'!$L$16</f>
        <v>61796</v>
      </c>
      <c r="M112" s="532">
        <f>+'q18'!$M$16</f>
        <v>68210</v>
      </c>
      <c r="Q112" s="550"/>
      <c r="R112" s="542"/>
      <c r="S112" s="542"/>
      <c r="T112" s="542"/>
      <c r="U112" s="542">
        <v>1050</v>
      </c>
      <c r="V112" s="542"/>
      <c r="W112" s="542"/>
      <c r="X112" s="542"/>
      <c r="Y112" s="542"/>
      <c r="AA112" s="532" t="s">
        <v>865</v>
      </c>
      <c r="AB112" s="532" t="s">
        <v>867</v>
      </c>
      <c r="AM112" s="501"/>
      <c r="AN112" s="537"/>
      <c r="AO112" s="537"/>
      <c r="AP112" s="537"/>
      <c r="AQ112" s="537"/>
      <c r="AR112" s="537"/>
      <c r="AS112" s="537"/>
      <c r="AT112" s="537"/>
      <c r="AU112" s="537"/>
      <c r="AV112" s="537"/>
      <c r="AW112" s="537"/>
      <c r="AX112" s="537"/>
    </row>
    <row r="113" spans="1:51">
      <c r="B113" s="532" t="str">
        <f>+Aux!$B$110</f>
        <v>Profissionais altamente qualificados</v>
      </c>
      <c r="C113" s="532">
        <f>+'q18'!$C$19</f>
        <v>86965</v>
      </c>
      <c r="D113" s="532">
        <f>+'q18'!$D$19</f>
        <v>91170</v>
      </c>
      <c r="E113" s="532">
        <f>+'q18'!$E$19</f>
        <v>95815</v>
      </c>
      <c r="F113" s="532">
        <f>+'q18'!$F$19</f>
        <v>102335</v>
      </c>
      <c r="G113" s="532">
        <f>+'q18'!$G$19</f>
        <v>107156</v>
      </c>
      <c r="H113" s="532">
        <f>+'q18'!$H$19</f>
        <v>112783</v>
      </c>
      <c r="I113" s="532">
        <f>+'q18'!$I$19</f>
        <v>121557</v>
      </c>
      <c r="J113" s="532">
        <f>+'q18'!$J$19</f>
        <v>128771</v>
      </c>
      <c r="K113" s="532">
        <f>+'q18'!$K$19</f>
        <v>133721</v>
      </c>
      <c r="L113" s="532">
        <f>+'q18'!$L$19</f>
        <v>143050</v>
      </c>
      <c r="M113" s="532">
        <f>+'q18'!$M$19</f>
        <v>147330</v>
      </c>
      <c r="U113" s="562">
        <f>+U111/U112</f>
        <v>0.76190476190476186</v>
      </c>
      <c r="Z113" s="533" t="s">
        <v>868</v>
      </c>
      <c r="AM113" s="501"/>
      <c r="AN113" s="537"/>
      <c r="AO113" s="537"/>
      <c r="AP113" s="537"/>
      <c r="AQ113" s="537"/>
      <c r="AR113" s="537"/>
      <c r="AS113" s="537"/>
      <c r="AT113" s="537"/>
      <c r="AU113" s="537"/>
      <c r="AV113" s="537"/>
      <c r="AW113" s="537"/>
      <c r="AX113" s="537"/>
    </row>
    <row r="114" spans="1:51">
      <c r="B114" s="532" t="str">
        <f>+Aux!$B$111</f>
        <v>Profissionais qualificados</v>
      </c>
      <c r="C114" s="532">
        <f>+'q18'!$C$22</f>
        <v>374194</v>
      </c>
      <c r="D114" s="532">
        <f>+'q18'!$D$22</f>
        <v>386308</v>
      </c>
      <c r="E114" s="532">
        <f>+'q18'!$E$22</f>
        <v>399801</v>
      </c>
      <c r="F114" s="532">
        <f>+'q18'!$F$22</f>
        <v>416339</v>
      </c>
      <c r="G114" s="532">
        <f>+'q18'!$G$22</f>
        <v>468834</v>
      </c>
      <c r="H114" s="532">
        <f>+'q18'!$H$22</f>
        <v>492818</v>
      </c>
      <c r="I114" s="532">
        <f>+'q18'!$I$22</f>
        <v>459477</v>
      </c>
      <c r="J114" s="532">
        <f>+'q18'!$J$22</f>
        <v>445660</v>
      </c>
      <c r="K114" s="532">
        <f>+'q18'!$K$22</f>
        <v>448264</v>
      </c>
      <c r="L114" s="532">
        <f>+'q18'!$L$22</f>
        <v>480610</v>
      </c>
      <c r="M114" s="532">
        <f>+'q18'!$M$22</f>
        <v>493181</v>
      </c>
      <c r="Q114" s="550" t="s">
        <v>398</v>
      </c>
      <c r="R114" s="542">
        <f>+S104*-1</f>
        <v>1294.03</v>
      </c>
      <c r="AM114" s="501"/>
      <c r="AN114" s="537"/>
      <c r="AO114" s="537"/>
      <c r="AP114" s="537"/>
      <c r="AQ114" s="537"/>
      <c r="AR114" s="537"/>
      <c r="AS114" s="537"/>
      <c r="AT114" s="537"/>
      <c r="AU114" s="537"/>
      <c r="AV114" s="537"/>
      <c r="AW114" s="537"/>
      <c r="AX114" s="537"/>
    </row>
    <row r="115" spans="1:51">
      <c r="B115" s="532" t="str">
        <f>+Aux!$B$112</f>
        <v>Profissionais semi-qualificados</v>
      </c>
      <c r="C115" s="532">
        <f>+'q18'!$C$25</f>
        <v>296969</v>
      </c>
      <c r="D115" s="532">
        <f>+'q18'!$D$25</f>
        <v>302604</v>
      </c>
      <c r="E115" s="532">
        <f>+'q18'!$E$25</f>
        <v>317309</v>
      </c>
      <c r="F115" s="532">
        <f>+'q18'!$F$25</f>
        <v>330993</v>
      </c>
      <c r="G115" s="532">
        <f>+'q18'!$G$25</f>
        <v>320414</v>
      </c>
      <c r="H115" s="532">
        <f>+'q18'!$H$25</f>
        <v>327004</v>
      </c>
      <c r="I115" s="532">
        <f>+'q18'!$I$25</f>
        <v>337227</v>
      </c>
      <c r="J115" s="532">
        <f>+'q18'!$J$25</f>
        <v>324043</v>
      </c>
      <c r="K115" s="532">
        <f>+'q18'!$K$25</f>
        <v>315376</v>
      </c>
      <c r="L115" s="532">
        <f>+'q18'!$L$25</f>
        <v>341469</v>
      </c>
      <c r="M115" s="532">
        <f>+'q18'!$M$25</f>
        <v>375328</v>
      </c>
      <c r="Q115" s="550" t="s">
        <v>402</v>
      </c>
      <c r="R115" s="542">
        <f>+T104*-1</f>
        <v>1577.33</v>
      </c>
      <c r="AM115" s="501"/>
      <c r="AN115" s="537"/>
      <c r="AO115" s="537"/>
      <c r="AP115" s="537"/>
      <c r="AQ115" s="537"/>
      <c r="AR115" s="537"/>
      <c r="AS115" s="537"/>
      <c r="AT115" s="537"/>
      <c r="AU115" s="537"/>
      <c r="AV115" s="537"/>
      <c r="AW115" s="537"/>
      <c r="AX115" s="537"/>
    </row>
    <row r="116" spans="1:51">
      <c r="B116" s="532" t="str">
        <f>+Aux!$B$113</f>
        <v>Profissionais não qualificados</v>
      </c>
      <c r="C116" s="532">
        <f>+'q18'!$C$28</f>
        <v>150757</v>
      </c>
      <c r="D116" s="532">
        <f>+'q18'!$D$28</f>
        <v>159634</v>
      </c>
      <c r="E116" s="532">
        <f>+'q18'!$E$28</f>
        <v>164339</v>
      </c>
      <c r="F116" s="532">
        <f>+'q18'!$F$28</f>
        <v>164261</v>
      </c>
      <c r="G116" s="532">
        <f>+'q18'!$G$28</f>
        <v>161046</v>
      </c>
      <c r="H116" s="532">
        <f>+'q18'!$H$28</f>
        <v>157015</v>
      </c>
      <c r="I116" s="532">
        <f>+'q18'!$I$28</f>
        <v>191141</v>
      </c>
      <c r="J116" s="532">
        <f>+'q18'!$J$28</f>
        <v>185578</v>
      </c>
      <c r="K116" s="532">
        <f>+'q18'!$K$28</f>
        <v>187921</v>
      </c>
      <c r="L116" s="532">
        <f>+'q18'!$L$28</f>
        <v>194661</v>
      </c>
      <c r="M116" s="532">
        <f>+'q18'!$M$28</f>
        <v>185755</v>
      </c>
      <c r="Q116" s="550"/>
      <c r="AM116" s="501"/>
      <c r="AN116" s="537"/>
      <c r="AO116" s="537"/>
      <c r="AP116" s="537"/>
      <c r="AQ116" s="537"/>
      <c r="AR116" s="537"/>
      <c r="AS116" s="537"/>
      <c r="AT116" s="537"/>
      <c r="AU116" s="537"/>
      <c r="AV116" s="537"/>
      <c r="AW116" s="537"/>
      <c r="AX116" s="537"/>
    </row>
    <row r="117" spans="1:51">
      <c r="B117" s="532" t="str">
        <f>+Aux!$B$114</f>
        <v>Praticantes e aprendizes</v>
      </c>
      <c r="C117" s="532">
        <f>+'q18'!$C$31</f>
        <v>36506</v>
      </c>
      <c r="D117" s="532">
        <f>+'q18'!$D$31</f>
        <v>38666</v>
      </c>
      <c r="E117" s="532">
        <f>+'q18'!$E$31</f>
        <v>39137</v>
      </c>
      <c r="F117" s="532">
        <f>+'q18'!$F$31</f>
        <v>38510</v>
      </c>
      <c r="G117" s="532">
        <f>+'q18'!$G$31</f>
        <v>39429</v>
      </c>
      <c r="H117" s="532">
        <f>+'q18'!$H$31</f>
        <v>40511</v>
      </c>
      <c r="I117" s="532">
        <f>+'q18'!$I$31</f>
        <v>39257</v>
      </c>
      <c r="J117" s="532">
        <f>+'q18'!$J$31</f>
        <v>29860</v>
      </c>
      <c r="K117" s="532">
        <f>+'q18'!$K$31</f>
        <v>31562</v>
      </c>
      <c r="L117" s="532">
        <f>+'q18'!$L$31</f>
        <v>35341</v>
      </c>
      <c r="M117" s="532">
        <f>+'q18'!$M$31</f>
        <v>33741</v>
      </c>
      <c r="Q117" s="550"/>
    </row>
    <row r="118" spans="1:51">
      <c r="B118" s="532" t="str">
        <f>+Aux!$B$115</f>
        <v>Total</v>
      </c>
      <c r="C118" s="532">
        <f>+'q18'!$C$7</f>
        <v>1142114</v>
      </c>
      <c r="D118" s="532">
        <f>+'q18'!$D$7</f>
        <v>1179242</v>
      </c>
      <c r="E118" s="532">
        <f>+'q18'!$E$7</f>
        <v>1225932</v>
      </c>
      <c r="F118" s="532">
        <f>+'q18'!$F$7</f>
        <v>1274214</v>
      </c>
      <c r="G118" s="532">
        <f>+'q18'!$G$7</f>
        <v>1329792</v>
      </c>
      <c r="H118" s="532">
        <f>+'q18'!$H$7</f>
        <v>1377925</v>
      </c>
      <c r="I118" s="532">
        <f>+'q18'!$I$7</f>
        <v>1401206</v>
      </c>
      <c r="J118" s="532">
        <f>+'q18'!$J$7</f>
        <v>1376528</v>
      </c>
      <c r="K118" s="532">
        <f>+'q18'!$K$7</f>
        <v>1392103</v>
      </c>
      <c r="L118" s="532">
        <f>+'q18'!$L$7</f>
        <v>1494230</v>
      </c>
      <c r="M118" s="532">
        <f>+'q18'!$M$7</f>
        <v>1552823</v>
      </c>
      <c r="AC118" s="542"/>
    </row>
    <row r="119" spans="1:51">
      <c r="P119" s="532">
        <f>INDEX($A$2:$A$12,$P$9)</f>
        <v>2023</v>
      </c>
      <c r="Q119" s="501" t="s">
        <v>383</v>
      </c>
      <c r="AQ119" s="585"/>
      <c r="AR119" s="585"/>
      <c r="AS119" s="585"/>
      <c r="AT119" s="585"/>
      <c r="AU119" s="585"/>
      <c r="AV119" s="585"/>
    </row>
    <row r="120" spans="1:51">
      <c r="C120" s="501">
        <f>+'q17'!$C$4</f>
        <v>2013</v>
      </c>
      <c r="D120" s="501">
        <f>+'q17'!$D$4</f>
        <v>2014</v>
      </c>
      <c r="E120" s="501">
        <f>+'q17'!$E$4</f>
        <v>2015</v>
      </c>
      <c r="F120" s="501">
        <f>+'q17'!$F$4</f>
        <v>2016</v>
      </c>
      <c r="G120" s="501">
        <f>+'q17'!$G$4</f>
        <v>2017</v>
      </c>
      <c r="H120" s="501">
        <f>+'q17'!$H$4</f>
        <v>2018</v>
      </c>
      <c r="I120" s="501">
        <f>+'q17'!$I$4</f>
        <v>2019</v>
      </c>
      <c r="J120" s="501">
        <f>+'q17'!$J$4</f>
        <v>2020</v>
      </c>
      <c r="K120" s="501">
        <f>+'q17'!$K$4</f>
        <v>2021</v>
      </c>
      <c r="L120" s="501">
        <f>+'q17'!$L$4</f>
        <v>2022</v>
      </c>
      <c r="M120" s="501">
        <f>+'q17'!$M$4</f>
        <v>2023</v>
      </c>
      <c r="R120" s="501" t="s">
        <v>398</v>
      </c>
      <c r="S120" s="501" t="s">
        <v>402</v>
      </c>
      <c r="T120" s="501" t="s">
        <v>399</v>
      </c>
      <c r="U120" s="501" t="s">
        <v>403</v>
      </c>
      <c r="V120" s="501" t="s">
        <v>400</v>
      </c>
      <c r="W120" s="501" t="s">
        <v>401</v>
      </c>
      <c r="Y120" s="532" t="s">
        <v>434</v>
      </c>
      <c r="Z120" s="583" t="s">
        <v>462</v>
      </c>
      <c r="AA120" s="532" t="s">
        <v>297</v>
      </c>
      <c r="AB120" s="532" t="s">
        <v>467</v>
      </c>
      <c r="AC120" s="532" t="s">
        <v>468</v>
      </c>
      <c r="AN120" s="532">
        <f>+COLUMN(AD120)</f>
        <v>30</v>
      </c>
      <c r="AQ120" s="585"/>
      <c r="AR120" s="585"/>
      <c r="AS120" s="585"/>
      <c r="AT120" s="585"/>
      <c r="AU120" s="585"/>
      <c r="AV120" s="585"/>
    </row>
    <row r="121" spans="1:51">
      <c r="A121" s="533" t="s">
        <v>12</v>
      </c>
      <c r="B121" s="532" t="str">
        <f>+Aux!$B$107</f>
        <v>Quadros superiores</v>
      </c>
      <c r="C121" s="532">
        <f>+'q18'!$C$8</f>
        <v>197559</v>
      </c>
      <c r="D121" s="532">
        <f>+'q18'!$D$8</f>
        <v>198228</v>
      </c>
      <c r="E121" s="532">
        <f>+'q18'!$E$8</f>
        <v>204966</v>
      </c>
      <c r="F121" s="532">
        <f>+'q18'!$F$8</f>
        <v>212297</v>
      </c>
      <c r="G121" s="532">
        <f>+'q18'!$G$8</f>
        <v>220121</v>
      </c>
      <c r="H121" s="532">
        <f>+'q18'!$H$8</f>
        <v>233180</v>
      </c>
      <c r="I121" s="532">
        <f>+'q18'!$I$8</f>
        <v>247905</v>
      </c>
      <c r="J121" s="532">
        <f>+'q18'!$J$8</f>
        <v>262157</v>
      </c>
      <c r="K121" s="532">
        <f>+'q18'!$K$8</f>
        <v>275270</v>
      </c>
      <c r="L121" s="532">
        <f>+'q18'!$L$8</f>
        <v>297522</v>
      </c>
      <c r="M121" s="532">
        <f>+'q18'!$M$8</f>
        <v>315188</v>
      </c>
      <c r="Q121" s="532" t="s">
        <v>48</v>
      </c>
      <c r="R121" s="542">
        <f>INDEX($B$131:$M$140,MATCH($Q$121,$B$131:$B$140,0),MATCH($P$119,$B$131:$M$131,0))*-1</f>
        <v>-2702.18</v>
      </c>
      <c r="S121" s="542">
        <f>INDEX($B$164:$M$173,MATCH($Q$121,$B$164:$B$173,0),MATCH($P$119,$B$164:$M$164,0))*-1</f>
        <v>-3162.63</v>
      </c>
      <c r="T121" s="542">
        <f>INDEX($B$142:$M$151,MATCH($Q$121,$B$142:$B$151,0),MATCH($P$119,$B$142:$M$142,0))</f>
        <v>1999.71</v>
      </c>
      <c r="U121" s="542">
        <f>INDEX($B$175:$M$184,MATCH($Q$121,$B$175:$B$184,0),MATCH($P$119,$B$175:$M$175,0))</f>
        <v>2323.69</v>
      </c>
      <c r="V121" s="542">
        <f>INDEX($B$153:$M$162,MATCH($Q$121,$B$153:$B$162,0),MATCH($P$119,$B$153:$M$153,0))</f>
        <v>2373.94</v>
      </c>
      <c r="W121" s="542">
        <f>INDEX($B$186:$M$195,MATCH($Q$121,$B$186:$B$195,0),MATCH($P$119,$B$186:$M$186,0))</f>
        <v>2770.63</v>
      </c>
      <c r="X121" s="564">
        <f>+V121/$V$129</f>
        <v>1.9460598260470381</v>
      </c>
      <c r="Y121" s="564">
        <f>(T121/R121*(-1)-1)*100</f>
        <v>-25.996417707184559</v>
      </c>
      <c r="Z121" s="619">
        <f>V121/W121</f>
        <v>0.85682317740008584</v>
      </c>
      <c r="AA121" s="542">
        <f>+W121</f>
        <v>2770.63</v>
      </c>
      <c r="AB121" s="549">
        <f>+(T121/(R121*-1))</f>
        <v>0.7400358229281544</v>
      </c>
      <c r="AC121" s="549">
        <f>+(U121/(S121*-1))</f>
        <v>0.73473343388255974</v>
      </c>
      <c r="AD121" s="532" t="str">
        <f>+Q121</f>
        <v>Quadros superiores</v>
      </c>
      <c r="AQ121" s="585"/>
      <c r="AR121" s="585"/>
      <c r="AS121" s="585"/>
      <c r="AT121" s="585"/>
      <c r="AU121" s="585"/>
      <c r="AV121" s="585"/>
    </row>
    <row r="122" spans="1:51">
      <c r="B122" s="532" t="str">
        <f>+Aux!$B$108</f>
        <v>Quadros médios</v>
      </c>
      <c r="C122" s="532">
        <f>+'q18'!$C$11</f>
        <v>136489</v>
      </c>
      <c r="D122" s="532">
        <f>+'q18'!$D$11</f>
        <v>138984</v>
      </c>
      <c r="E122" s="532">
        <f>+'q18'!$E$11</f>
        <v>143200</v>
      </c>
      <c r="F122" s="532">
        <f>+'q18'!$F$11</f>
        <v>149778</v>
      </c>
      <c r="G122" s="532">
        <f>+'q18'!$G$11</f>
        <v>157495</v>
      </c>
      <c r="H122" s="532">
        <f>+'q18'!$H$11</f>
        <v>165603</v>
      </c>
      <c r="I122" s="532">
        <f>+'q18'!$I$11</f>
        <v>165392</v>
      </c>
      <c r="J122" s="532">
        <f>+'q18'!$J$11</f>
        <v>172837</v>
      </c>
      <c r="K122" s="532">
        <f>+'q18'!$K$11</f>
        <v>176658</v>
      </c>
      <c r="L122" s="532">
        <f>+'q18'!$L$11</f>
        <v>192362</v>
      </c>
      <c r="M122" s="532">
        <f>+'q18'!$M$11</f>
        <v>197236</v>
      </c>
      <c r="Q122" s="532" t="s">
        <v>49</v>
      </c>
      <c r="R122" s="542">
        <f>INDEX($B$131:$M$140,MATCH($Q$122,$B$131:$B$140,0),MATCH($P$119,$B$131:$M$131,0))*-1</f>
        <v>-1872.23</v>
      </c>
      <c r="S122" s="542">
        <f>INDEX($B$164:$M$173,MATCH($Q$122,$B$164:$B$173,0),MATCH($P$119,$B$164:$M$164,0))*-1</f>
        <v>-2243.9499999999998</v>
      </c>
      <c r="T122" s="542">
        <f>INDEX($B$142:$M$151,MATCH($Q$122,$B$142:$B$151,0),MATCH($P$119,$B$142:$M$142,0))</f>
        <v>1585.82</v>
      </c>
      <c r="U122" s="542">
        <f>INDEX($B$175:$M$184,MATCH($Q$122,$B$175:$B$184,0),MATCH($P$119,$B$175:$M$175,0))</f>
        <v>1876.78</v>
      </c>
      <c r="V122" s="542">
        <f>INDEX($B$153:$M$162,MATCH($Q$122,$B$153:$B$162,0),MATCH($P$119,$B$153:$M$153,0))</f>
        <v>1735.82</v>
      </c>
      <c r="W122" s="542">
        <f>INDEX($B$186:$M$195,MATCH($Q$122,$B$186:$B$195,0),MATCH($P$119,$B$186:$M$186,0))</f>
        <v>2069.0700000000002</v>
      </c>
      <c r="X122" s="564">
        <f t="shared" ref="X122:X128" si="16">+V122/$V$129</f>
        <v>1.4229549050308641</v>
      </c>
      <c r="Y122" s="564">
        <f t="shared" ref="Y122:Y128" si="17">(T122/R122*(-1)-1)*100</f>
        <v>-15.297799949792502</v>
      </c>
      <c r="Z122" s="619">
        <f t="shared" ref="Z122:Z129" si="18">V122/W122</f>
        <v>0.83893730033299974</v>
      </c>
      <c r="AA122" s="542">
        <f t="shared" ref="AA122:AA129" si="19">+W122</f>
        <v>2069.0700000000002</v>
      </c>
      <c r="AB122" s="549">
        <f t="shared" ref="AB122:AB129" si="20">+(T122/(R122*-1))</f>
        <v>0.84702200050207499</v>
      </c>
      <c r="AC122" s="549">
        <f t="shared" ref="AC122:AC129" si="21">+(U122/(S122*-1))</f>
        <v>0.83637335947770675</v>
      </c>
      <c r="AD122" s="532" t="str">
        <f t="shared" ref="AD122:AD128" si="22">+Q122</f>
        <v>Quadros médios</v>
      </c>
      <c r="AN122" s="532">
        <f>+P119</f>
        <v>2023</v>
      </c>
      <c r="AO122" s="532" t="s">
        <v>460</v>
      </c>
    </row>
    <row r="123" spans="1:51">
      <c r="B123" s="532" t="str">
        <f>+Aux!$B$109</f>
        <v>Encarregados, contramestres e chefes de equipa</v>
      </c>
      <c r="C123" s="532">
        <f>+'q18'!$C$14</f>
        <v>119895</v>
      </c>
      <c r="D123" s="532">
        <f>+'q18'!$D$14</f>
        <v>121764</v>
      </c>
      <c r="E123" s="532">
        <f>+'q18'!$E$14</f>
        <v>123477</v>
      </c>
      <c r="F123" s="532">
        <f>+'q18'!$F$14</f>
        <v>130096</v>
      </c>
      <c r="G123" s="532">
        <f>+'q18'!$G$14</f>
        <v>136871</v>
      </c>
      <c r="H123" s="532">
        <f>+'q18'!$H$14</f>
        <v>144343</v>
      </c>
      <c r="I123" s="532">
        <f>+'q18'!$I$14</f>
        <v>138249</v>
      </c>
      <c r="J123" s="532">
        <f>+'q18'!$J$14</f>
        <v>135963</v>
      </c>
      <c r="K123" s="532">
        <f>+'q18'!$K$14</f>
        <v>141942</v>
      </c>
      <c r="L123" s="532">
        <f>+'q18'!$L$14</f>
        <v>156172</v>
      </c>
      <c r="M123" s="532">
        <f>+'q18'!$M$14</f>
        <v>169353</v>
      </c>
      <c r="Q123" s="532" t="s">
        <v>386</v>
      </c>
      <c r="R123" s="542">
        <f>INDEX($B$131:$M$140,MATCH($Q$123,$B$131:$B$140,0),MATCH($P$119,$B$131:$M$131,0))*-1</f>
        <v>-1701.91</v>
      </c>
      <c r="S123" s="542">
        <f>INDEX($B$164:$M$173,MATCH($Q$123,$B$164:$B$173,0),MATCH($P$119,$B$164:$M$164,0))*-1</f>
        <v>-2066.9499999999998</v>
      </c>
      <c r="T123" s="542">
        <f>INDEX($B$142:$M$151,MATCH($Q$123,$B$142:$B$151,0),MATCH($P$119,$B$142:$M$142,0))</f>
        <v>1574.82</v>
      </c>
      <c r="U123" s="542">
        <f>INDEX($B$175:$M$184,MATCH($Q$123,$B$175:$B$184,0),MATCH($P$119,$B$175:$M$175,0))</f>
        <v>1874.53</v>
      </c>
      <c r="V123" s="542">
        <f>INDEX($B$153:$M$162,MATCH($Q$123,$B$153:$B$162,0),MATCH($P$119,$B$153:$M$153,0))</f>
        <v>1651.96</v>
      </c>
      <c r="W123" s="542">
        <f>INDEX($B$186:$M$195,MATCH($Q$123,$B$186:$B$195,0),MATCH($P$119,$B$186:$M$186,0))</f>
        <v>1991.34</v>
      </c>
      <c r="X123" s="564">
        <f t="shared" si="16"/>
        <v>1.3542098748227271</v>
      </c>
      <c r="Y123" s="564">
        <f t="shared" si="17"/>
        <v>-7.4674924055913694</v>
      </c>
      <c r="Z123" s="619">
        <f t="shared" si="18"/>
        <v>0.82957204696335141</v>
      </c>
      <c r="AA123" s="542">
        <f t="shared" si="19"/>
        <v>1991.34</v>
      </c>
      <c r="AB123" s="549">
        <f t="shared" si="20"/>
        <v>0.92532507594408631</v>
      </c>
      <c r="AC123" s="549">
        <f t="shared" si="21"/>
        <v>0.90690631123152476</v>
      </c>
      <c r="AD123" s="532" t="str">
        <f t="shared" si="22"/>
        <v>Encarregados, contramestres e chefes de equipa</v>
      </c>
      <c r="AN123" s="532" t="s">
        <v>461</v>
      </c>
      <c r="AQ123" s="532" t="s">
        <v>464</v>
      </c>
      <c r="AS123" s="532" t="s">
        <v>447</v>
      </c>
      <c r="AU123" s="532" t="s">
        <v>448</v>
      </c>
    </row>
    <row r="124" spans="1:51">
      <c r="B124" s="532" t="str">
        <f>+Aux!$B$110</f>
        <v>Profissionais altamente qualificados</v>
      </c>
      <c r="C124" s="532">
        <f>+'q18'!$C$17</f>
        <v>176384</v>
      </c>
      <c r="D124" s="532">
        <f>+'q18'!$D$17</f>
        <v>182629</v>
      </c>
      <c r="E124" s="532">
        <f>+'q18'!$E$17</f>
        <v>189545</v>
      </c>
      <c r="F124" s="532">
        <f>+'q18'!$F$17</f>
        <v>201938</v>
      </c>
      <c r="G124" s="532">
        <f>+'q18'!$G$17</f>
        <v>213571</v>
      </c>
      <c r="H124" s="532">
        <f>+'q18'!$H$17</f>
        <v>223564</v>
      </c>
      <c r="I124" s="532">
        <f>+'q18'!$I$17</f>
        <v>243170</v>
      </c>
      <c r="J124" s="532">
        <f>+'q18'!$J$17</f>
        <v>254726</v>
      </c>
      <c r="K124" s="532">
        <f>+'q18'!$K$17</f>
        <v>263533</v>
      </c>
      <c r="L124" s="532">
        <f>+'q18'!$L$17</f>
        <v>284791</v>
      </c>
      <c r="M124" s="532">
        <f>+'q18'!$M$17</f>
        <v>296557</v>
      </c>
      <c r="Q124" s="532" t="s">
        <v>384</v>
      </c>
      <c r="R124" s="542">
        <f>INDEX($B$131:$M$140,MATCH($Q$124,$B$131:$B$140,0),MATCH($P$119,$B$131:$M$131,0))*-1</f>
        <v>-1437.35</v>
      </c>
      <c r="S124" s="542">
        <f>INDEX($B$164:$M$173,MATCH($Q$124,$B$164:$B$173,0),MATCH($P$119,$B$164:$M$164,0))*-1</f>
        <v>-1817.72</v>
      </c>
      <c r="T124" s="542">
        <f>INDEX($B$142:$M$151,MATCH($Q$124,$B$142:$B$151,0),MATCH($P$119,$B$142:$M$142,0))</f>
        <v>1225.3</v>
      </c>
      <c r="U124" s="542">
        <f>INDEX($B$175:$M$184,MATCH($Q$124,$B$175:$B$184,0),MATCH($P$119,$B$175:$M$175,0))</f>
        <v>1471.6</v>
      </c>
      <c r="V124" s="542">
        <f>INDEX($B$153:$M$162,MATCH($Q$124,$B$153:$B$162,0),MATCH($P$119,$B$153:$M$153,0))</f>
        <v>1334.45</v>
      </c>
      <c r="W124" s="542">
        <f>INDEX($B$186:$M$195,MATCH($Q$124,$B$186:$B$195,0),MATCH($P$119,$B$186:$M$186,0))</f>
        <v>1649.77</v>
      </c>
      <c r="X124" s="564">
        <f t="shared" si="16"/>
        <v>1.0939280415126202</v>
      </c>
      <c r="Y124" s="564">
        <f t="shared" si="17"/>
        <v>-14.75284377500261</v>
      </c>
      <c r="Z124" s="619">
        <f t="shared" si="18"/>
        <v>0.80887032737896802</v>
      </c>
      <c r="AA124" s="542">
        <f t="shared" si="19"/>
        <v>1649.77</v>
      </c>
      <c r="AB124" s="549">
        <f t="shared" si="20"/>
        <v>0.85247156224997389</v>
      </c>
      <c r="AC124" s="549">
        <f t="shared" si="21"/>
        <v>0.8095856347512268</v>
      </c>
      <c r="AD124" s="532" t="str">
        <f t="shared" si="22"/>
        <v>Profissionais altamente qualificados</v>
      </c>
      <c r="AN124" s="564" t="str">
        <f>TEXT(Z129,"##.###,0%")</f>
        <v>83,2%</v>
      </c>
      <c r="AQ124" s="564" t="s">
        <v>465</v>
      </c>
      <c r="AS124" s="564" t="str">
        <f>TEXT($AB$129,"##.###,0%")</f>
        <v>87,3%</v>
      </c>
      <c r="AT124" s="532" t="s">
        <v>514</v>
      </c>
      <c r="AU124" s="564" t="str">
        <f>TEXT($AC$129,"##.###,0%")</f>
        <v>84,4%</v>
      </c>
      <c r="AV124" s="532" t="s">
        <v>515</v>
      </c>
    </row>
    <row r="125" spans="1:51">
      <c r="B125" s="532" t="str">
        <f>+Aux!$B$111</f>
        <v>Profissionais qualificados</v>
      </c>
      <c r="C125" s="532">
        <f>+'q18'!$C$20</f>
        <v>902091</v>
      </c>
      <c r="D125" s="532">
        <f>+'q18'!$D$20</f>
        <v>927748</v>
      </c>
      <c r="E125" s="532">
        <f>+'q18'!$E$20</f>
        <v>958705</v>
      </c>
      <c r="F125" s="532">
        <f>+'q18'!$F$20</f>
        <v>993716</v>
      </c>
      <c r="G125" s="532">
        <f>+'q18'!$G$20</f>
        <v>1092258</v>
      </c>
      <c r="H125" s="532">
        <f>+'q18'!$H$20</f>
        <v>1149282</v>
      </c>
      <c r="I125" s="532">
        <f>+'q18'!$I$20</f>
        <v>1091473</v>
      </c>
      <c r="J125" s="532">
        <f>+'q18'!$J$20</f>
        <v>1073089</v>
      </c>
      <c r="K125" s="532">
        <f>+'q18'!$K$20</f>
        <v>1066230</v>
      </c>
      <c r="L125" s="532">
        <f>+'q18'!$L$20</f>
        <v>1141072</v>
      </c>
      <c r="M125" s="532">
        <f>+'q18'!$M$20</f>
        <v>1179375</v>
      </c>
      <c r="Q125" s="532" t="s">
        <v>50</v>
      </c>
      <c r="R125" s="542">
        <f>INDEX($B$131:$M$140,MATCH($Q$125,$B$131:$B$140,0),MATCH($P$119,$B$131:$M$131,0))*-1</f>
        <v>-1006.52</v>
      </c>
      <c r="S125" s="542">
        <f>INDEX($B$164:$M$173,MATCH($Q$125,$B$164:$B$173,0),MATCH($P$119,$B$164:$M$164,0))*-1</f>
        <v>-1254.57</v>
      </c>
      <c r="T125" s="542">
        <f>INDEX($B$142:$M$151,MATCH($Q$125,$B$142:$B$151,0),MATCH($P$119,$B$142:$M$142,0))</f>
        <v>933.93</v>
      </c>
      <c r="U125" s="542">
        <f>INDEX($B$175:$M$184,MATCH($Q$125,$B$175:$B$184,0),MATCH($P$119,$B$175:$M$175,0))</f>
        <v>1105.1600000000001</v>
      </c>
      <c r="V125" s="542">
        <f>INDEX($B$153:$M$162,MATCH($Q$125,$B$153:$B$162,0),MATCH($P$119,$B$153:$M$153,0))</f>
        <v>976.9</v>
      </c>
      <c r="W125" s="542">
        <f>INDEX($B$186:$M$195,MATCH($Q$125,$B$186:$B$195,0),MATCH($P$119,$B$186:$M$186,0))</f>
        <v>1193.5999999999999</v>
      </c>
      <c r="X125" s="564">
        <f t="shared" si="16"/>
        <v>0.80082303852049819</v>
      </c>
      <c r="Y125" s="564">
        <f t="shared" si="17"/>
        <v>-7.2119779040654919</v>
      </c>
      <c r="Z125" s="619">
        <f t="shared" si="18"/>
        <v>0.81844839142091153</v>
      </c>
      <c r="AA125" s="542">
        <f t="shared" si="19"/>
        <v>1193.5999999999999</v>
      </c>
      <c r="AB125" s="549">
        <f t="shared" si="20"/>
        <v>0.92788022095934508</v>
      </c>
      <c r="AC125" s="549">
        <f t="shared" si="21"/>
        <v>0.88090740253632727</v>
      </c>
      <c r="AD125" s="532" t="str">
        <f t="shared" si="22"/>
        <v>Profissionais qualificados</v>
      </c>
      <c r="AN125" s="532" t="s">
        <v>510</v>
      </c>
      <c r="AQ125" s="564">
        <f>+SMALL($AA$121:$AA$128,1)</f>
        <v>950.15</v>
      </c>
      <c r="AR125" s="532" t="str">
        <f>+TEXT(AQ125,"##.### €")</f>
        <v>950 €</v>
      </c>
      <c r="AS125" s="532">
        <f>+SMALL(AB121:AB128,1)</f>
        <v>0.7400358229281544</v>
      </c>
      <c r="AT125" s="532" t="str">
        <f>+TEXT(AS125,"##.###,0%")</f>
        <v>74,0%</v>
      </c>
      <c r="AU125" s="532">
        <f>+SMALL(AC121:AC128,1)</f>
        <v>0.73473343388255974</v>
      </c>
      <c r="AV125" s="532" t="str">
        <f>+TEXT(AU125,"##.###,0%")</f>
        <v>73,5%</v>
      </c>
      <c r="AX125" s="501"/>
      <c r="AY125" s="501"/>
    </row>
    <row r="126" spans="1:51">
      <c r="B126" s="532" t="str">
        <f>+Aux!$B$112</f>
        <v>Profissionais semi-qualificados</v>
      </c>
      <c r="C126" s="532">
        <f>+'q18'!$C$23</f>
        <v>519108</v>
      </c>
      <c r="D126" s="532">
        <f>+'q18'!$D$23</f>
        <v>535910</v>
      </c>
      <c r="E126" s="532">
        <f>+'q18'!$E$23</f>
        <v>555223</v>
      </c>
      <c r="F126" s="532">
        <f>+'q18'!$F$23</f>
        <v>585440</v>
      </c>
      <c r="G126" s="532">
        <f>+'q18'!$G$23</f>
        <v>569141</v>
      </c>
      <c r="H126" s="532">
        <f>+'q18'!$H$23</f>
        <v>582366</v>
      </c>
      <c r="I126" s="532">
        <f>+'q18'!$I$23</f>
        <v>594326</v>
      </c>
      <c r="J126" s="532">
        <f>+'q18'!$J$23</f>
        <v>575153</v>
      </c>
      <c r="K126" s="532">
        <f>+'q18'!$K$23</f>
        <v>555639</v>
      </c>
      <c r="L126" s="532">
        <f>+'q18'!$L$23</f>
        <v>602364</v>
      </c>
      <c r="M126" s="532">
        <f>+'q18'!$M$23</f>
        <v>665042</v>
      </c>
      <c r="Q126" s="532" t="s">
        <v>385</v>
      </c>
      <c r="R126" s="542">
        <f>INDEX($B$131:$M$140,MATCH($Q$126,$B$131:$B$140,0),MATCH($P$119,$B$131:$M$131,0))*-1</f>
        <v>-890.82</v>
      </c>
      <c r="S126" s="542">
        <f>INDEX($B$164:$M$173,MATCH($Q$126,$B$164:$B$173,0),MATCH($P$119,$B$164:$M$164,0))*-1</f>
        <v>-1097.93</v>
      </c>
      <c r="T126" s="542">
        <f>INDEX($B$142:$M$151,MATCH($Q$126,$B$142:$B$151,0),MATCH($P$119,$B$142:$M$142,0))</f>
        <v>820.02</v>
      </c>
      <c r="U126" s="542">
        <f>INDEX($B$175:$M$184,MATCH($Q$126,$B$175:$B$184,0),MATCH($P$119,$B$175:$M$175,0))</f>
        <v>969.55</v>
      </c>
      <c r="V126" s="542">
        <f>INDEX($B$153:$M$162,MATCH($Q$126,$B$153:$B$162,0),MATCH($P$119,$B$153:$M$153,0))</f>
        <v>852.76</v>
      </c>
      <c r="W126" s="542">
        <f>INDEX($B$186:$M$195,MATCH($Q$126,$B$186:$B$195,0),MATCH($P$119,$B$186:$M$186,0))</f>
        <v>1028.9100000000001</v>
      </c>
      <c r="X126" s="564">
        <f t="shared" si="16"/>
        <v>0.69905809635452965</v>
      </c>
      <c r="Y126" s="564">
        <f t="shared" si="17"/>
        <v>-7.9477335488650986</v>
      </c>
      <c r="Z126" s="619">
        <f t="shared" si="18"/>
        <v>0.82879940908339889</v>
      </c>
      <c r="AA126" s="542">
        <f t="shared" si="19"/>
        <v>1028.9100000000001</v>
      </c>
      <c r="AB126" s="549">
        <f t="shared" si="20"/>
        <v>0.92052266451134901</v>
      </c>
      <c r="AC126" s="549">
        <f t="shared" si="21"/>
        <v>0.8830708697275782</v>
      </c>
      <c r="AD126" s="532" t="str">
        <f t="shared" si="22"/>
        <v>Profissionais semi-qualificados</v>
      </c>
      <c r="AN126" s="532">
        <f>+SMALL(V121:V128,1)</f>
        <v>805.63</v>
      </c>
      <c r="AO126" s="532" t="str">
        <f>+TEXT(AN126,"##.### €")</f>
        <v>806 €</v>
      </c>
      <c r="AS126" s="532" t="s">
        <v>516</v>
      </c>
      <c r="AU126" s="532" t="s">
        <v>516</v>
      </c>
      <c r="AX126" s="537"/>
      <c r="AY126" s="537"/>
    </row>
    <row r="127" spans="1:51">
      <c r="B127" s="532" t="str">
        <f>+Aux!$B$113</f>
        <v>Profissionais não qualificados</v>
      </c>
      <c r="C127" s="532">
        <f>+'q18'!$C$26</f>
        <v>261276</v>
      </c>
      <c r="D127" s="532">
        <f>+'q18'!$D$26</f>
        <v>276984</v>
      </c>
      <c r="E127" s="532">
        <f>+'q18'!$E$26</f>
        <v>284805</v>
      </c>
      <c r="F127" s="532">
        <f>+'q18'!$F$26</f>
        <v>291322</v>
      </c>
      <c r="G127" s="532">
        <f>+'q18'!$G$26</f>
        <v>297838</v>
      </c>
      <c r="H127" s="532">
        <f>+'q18'!$H$26</f>
        <v>296301</v>
      </c>
      <c r="I127" s="532">
        <f>+'q18'!$I$26</f>
        <v>366355</v>
      </c>
      <c r="J127" s="532">
        <f>+'q18'!$J$26</f>
        <v>361526</v>
      </c>
      <c r="K127" s="532">
        <f>+'q18'!$K$26</f>
        <v>371122</v>
      </c>
      <c r="L127" s="532">
        <f>+'q18'!$L$26</f>
        <v>396732</v>
      </c>
      <c r="M127" s="532">
        <f>+'q18'!$M$26</f>
        <v>396317</v>
      </c>
      <c r="Q127" s="532" t="s">
        <v>51</v>
      </c>
      <c r="R127" s="542">
        <f>INDEX($B$131:$M$140,MATCH($Q$127,$B$131:$B$140,0),MATCH($P$119,$B$131:$M$131,0))*-1</f>
        <v>-820.99</v>
      </c>
      <c r="S127" s="542">
        <f>INDEX($B$164:$M$173,MATCH($Q$127,$B$164:$B$173,0),MATCH($P$119,$B$164:$M$164,0))*-1</f>
        <v>-985.99</v>
      </c>
      <c r="T127" s="542">
        <f>INDEX($B$142:$M$151,MATCH($Q$127,$B$142:$B$151,0),MATCH($P$119,$B$142:$M$142,0))</f>
        <v>785.16</v>
      </c>
      <c r="U127" s="542">
        <f>INDEX($B$175:$M$184,MATCH($Q$127,$B$175:$B$184,0),MATCH($P$119,$B$175:$M$175,0))</f>
        <v>902.36</v>
      </c>
      <c r="V127" s="542">
        <f>INDEX($B$153:$M$162,MATCH($Q$127,$B$153:$B$162,0),MATCH($P$119,$B$153:$M$153,0))</f>
        <v>805.63</v>
      </c>
      <c r="W127" s="542">
        <f>INDEX($B$186:$M$195,MATCH($Q$127,$B$186:$B$195,0),MATCH($P$119,$B$186:$M$186,0))</f>
        <v>950.15</v>
      </c>
      <c r="X127" s="564">
        <f t="shared" si="16"/>
        <v>0.66042283194110851</v>
      </c>
      <c r="Y127" s="564">
        <f t="shared" si="17"/>
        <v>-4.3642431698315498</v>
      </c>
      <c r="Z127" s="619">
        <f t="shared" si="18"/>
        <v>0.84789770036310053</v>
      </c>
      <c r="AA127" s="542">
        <f t="shared" si="19"/>
        <v>950.15</v>
      </c>
      <c r="AB127" s="549">
        <f t="shared" si="20"/>
        <v>0.9563575683016845</v>
      </c>
      <c r="AC127" s="549">
        <f t="shared" si="21"/>
        <v>0.91518169555472162</v>
      </c>
      <c r="AD127" s="532" t="str">
        <f t="shared" si="22"/>
        <v>Profissionais não qualificados</v>
      </c>
      <c r="AN127" s="532" t="s">
        <v>512</v>
      </c>
      <c r="AQ127" s="532" t="s">
        <v>466</v>
      </c>
      <c r="AR127" s="584"/>
      <c r="AS127" s="564" t="str">
        <f>+VLOOKUP(AS125,$AB$120:$AD$128,COLUMN($AD$120)-27,0)</f>
        <v>Quadros superiores</v>
      </c>
      <c r="AT127" s="584" t="s">
        <v>441</v>
      </c>
      <c r="AU127" s="564" t="str">
        <f>+VLOOKUP(AU125,$AC$120:$AD$128,COLUMN($AD$120)-28,0)</f>
        <v>Quadros superiores</v>
      </c>
      <c r="AV127" s="584" t="s">
        <v>441</v>
      </c>
      <c r="AX127" s="537"/>
      <c r="AY127" s="537"/>
    </row>
    <row r="128" spans="1:51">
      <c r="B128" s="532" t="str">
        <f>+Aux!$B$114</f>
        <v>Praticantes e aprendizes</v>
      </c>
      <c r="C128" s="532">
        <f>+'q18'!$C$29</f>
        <v>71319</v>
      </c>
      <c r="D128" s="532">
        <f>+'q18'!$D$29</f>
        <v>75916</v>
      </c>
      <c r="E128" s="532">
        <f>+'q18'!$E$29</f>
        <v>77732</v>
      </c>
      <c r="F128" s="532">
        <f>+'q18'!$F$29</f>
        <v>77332</v>
      </c>
      <c r="G128" s="532">
        <f>+'q18'!$G$29</f>
        <v>80226</v>
      </c>
      <c r="H128" s="532">
        <f>+'q18'!$H$29</f>
        <v>83279</v>
      </c>
      <c r="I128" s="532">
        <f>+'q18'!$I$29</f>
        <v>83612</v>
      </c>
      <c r="J128" s="532">
        <f>+'q18'!$J$29</f>
        <v>67374</v>
      </c>
      <c r="K128" s="532">
        <f>+'q18'!$K$29</f>
        <v>71949</v>
      </c>
      <c r="L128" s="532">
        <f>+'q18'!$L$29</f>
        <v>77132</v>
      </c>
      <c r="M128" s="532">
        <f>+'q18'!$M$29</f>
        <v>77066</v>
      </c>
      <c r="Q128" s="532" t="s">
        <v>52</v>
      </c>
      <c r="R128" s="542">
        <f>INDEX($B$131:$M$140,MATCH($Q$128,$B$131:$B$140,0),MATCH($P$119,$B$131:$M$131,0))*-1</f>
        <v>-832.8</v>
      </c>
      <c r="S128" s="542">
        <f>INDEX($B$164:$M$173,MATCH($Q$128,$B$164:$B$173,0),MATCH($P$119,$B$164:$M$164,0))*-1</f>
        <v>-997.54</v>
      </c>
      <c r="T128" s="542">
        <f>INDEX($B$142:$M$151,MATCH($Q$128,$B$142:$B$151,0),MATCH($P$119,$B$142:$M$142,0))</f>
        <v>812.84</v>
      </c>
      <c r="U128" s="542">
        <f>INDEX($B$175:$M$184,MATCH($Q$128,$B$175:$B$184,0),MATCH($P$119,$B$175:$M$175,0))</f>
        <v>951.06</v>
      </c>
      <c r="V128" s="542">
        <f>INDEX($B$153:$M$162,MATCH($Q$128,$B$153:$B$162,0),MATCH($P$119,$B$153:$M$153,0))</f>
        <v>824.83</v>
      </c>
      <c r="W128" s="542">
        <f>INDEX($B$186:$M$195,MATCH($Q$128,$B$186:$B$195,0),MATCH($P$119,$B$186:$M$186,0))</f>
        <v>979</v>
      </c>
      <c r="X128" s="564">
        <f t="shared" si="16"/>
        <v>0.67616221400641063</v>
      </c>
      <c r="Y128" s="564">
        <f t="shared" si="17"/>
        <v>-2.3967339097021978</v>
      </c>
      <c r="Z128" s="619">
        <f t="shared" si="18"/>
        <v>0.8425229826353422</v>
      </c>
      <c r="AA128" s="542">
        <f t="shared" si="19"/>
        <v>979</v>
      </c>
      <c r="AB128" s="549">
        <f t="shared" si="20"/>
        <v>0.97603266090297802</v>
      </c>
      <c r="AC128" s="549">
        <f t="shared" si="21"/>
        <v>0.9534053772279808</v>
      </c>
      <c r="AD128" s="532" t="str">
        <f t="shared" si="22"/>
        <v>Praticantes e aprendizes</v>
      </c>
      <c r="AN128" s="564" t="str">
        <f>+VLOOKUP(AN126,$V$120:$AE$1283,COLUMN($AD$120)-21,0)</f>
        <v>Profissionais não qualificados</v>
      </c>
      <c r="AQ128" s="564">
        <f>+LARGE($AA$121:$AA$128,1)</f>
        <v>2770.63</v>
      </c>
      <c r="AR128" s="532" t="str">
        <f>+TEXT(AQ128,"##.### €")</f>
        <v>2.771 €</v>
      </c>
      <c r="AS128" s="584">
        <f>+LARGE(AB121:AB128,1)</f>
        <v>0.97603266090297802</v>
      </c>
      <c r="AT128" s="532" t="str">
        <f>+TEXT(AS128,"##.###,0%")</f>
        <v>97,6%</v>
      </c>
      <c r="AU128" s="584">
        <f>+LARGE(AC121:AC128,1)</f>
        <v>0.9534053772279808</v>
      </c>
      <c r="AV128" s="532" t="str">
        <f>+TEXT(AU128,"##.###,0%")</f>
        <v>95,3%</v>
      </c>
      <c r="AW128" s="584"/>
      <c r="AX128" s="537"/>
      <c r="AY128" s="537"/>
    </row>
    <row r="129" spans="1:51">
      <c r="B129" s="532" t="str">
        <f>+Aux!$B$115</f>
        <v>Total</v>
      </c>
      <c r="C129" s="532">
        <f>+'q18'!$C$5</f>
        <v>2384121</v>
      </c>
      <c r="D129" s="532">
        <f>+'q18'!$D$5</f>
        <v>2458163</v>
      </c>
      <c r="E129" s="532">
        <f>+'q18'!$E$5</f>
        <v>2537653</v>
      </c>
      <c r="F129" s="532">
        <f>+'q18'!$F$5</f>
        <v>2641919</v>
      </c>
      <c r="G129" s="532">
        <f>+'q18'!$G$5</f>
        <v>2767521</v>
      </c>
      <c r="H129" s="532">
        <f>+'q18'!$H$5</f>
        <v>2877918</v>
      </c>
      <c r="I129" s="532">
        <f>+'q18'!$I$5</f>
        <v>2930482</v>
      </c>
      <c r="J129" s="532">
        <f>+'q18'!$J$5</f>
        <v>2902825</v>
      </c>
      <c r="K129" s="532">
        <f>+'q18'!$K$5</f>
        <v>2922343</v>
      </c>
      <c r="L129" s="532">
        <f>+'q18'!$L$5</f>
        <v>3148147</v>
      </c>
      <c r="M129" s="532">
        <f>+'q18'!$M$5</f>
        <v>3296134</v>
      </c>
      <c r="Q129" s="532" t="s">
        <v>12</v>
      </c>
      <c r="R129" s="542">
        <f>INDEX($B$131:$M$140,MATCH($Q$129,$B$131:$B$140,0),MATCH($P$119,$B$131:$M$131,0))*-1</f>
        <v>-1294.03</v>
      </c>
      <c r="S129" s="542">
        <f>INDEX($B$164:$M$173,MATCH($Q$129,$B$164:$B$173,0),MATCH($P$119,$B$164:$M$164,0))*-1</f>
        <v>-1577.33</v>
      </c>
      <c r="T129" s="542">
        <f>INDEX($B$142:$M$151,MATCH($Q$129,$B$142:$B$151,0),MATCH($P$119,$B$142:$M$142,0))</f>
        <v>1129.6400000000001</v>
      </c>
      <c r="U129" s="542">
        <f>INDEX($B$175:$M$184,MATCH($Q$129,$B$175:$B$184,0),MATCH($P$119,$B$175:$M$175,0))</f>
        <v>1332.02</v>
      </c>
      <c r="V129" s="542">
        <f>INDEX($B$153:$M$162,MATCH($Q$129,$B$153:$B$162,0),MATCH($P$119,$B$153:$M$153,0))</f>
        <v>1219.8699999999999</v>
      </c>
      <c r="W129" s="542">
        <f>INDEX($B$186:$M$195,MATCH($Q$129,$B$186:$B$195,0),MATCH($P$119,$B$186:$M$186,0))</f>
        <v>1466.66</v>
      </c>
      <c r="Y129" s="564"/>
      <c r="Z129" s="619">
        <f t="shared" si="18"/>
        <v>0.83173332606057293</v>
      </c>
      <c r="AA129" s="542">
        <f t="shared" si="19"/>
        <v>1466.66</v>
      </c>
      <c r="AB129" s="549">
        <f t="shared" si="20"/>
        <v>0.87296275975054682</v>
      </c>
      <c r="AC129" s="549">
        <f t="shared" si="21"/>
        <v>0.84447769331718792</v>
      </c>
      <c r="AN129" s="532" t="s">
        <v>463</v>
      </c>
      <c r="AQ129" s="532" t="s">
        <v>520</v>
      </c>
      <c r="AR129" s="584"/>
      <c r="AS129" s="584" t="s">
        <v>511</v>
      </c>
      <c r="AU129" s="584" t="s">
        <v>511</v>
      </c>
      <c r="AW129" s="584"/>
      <c r="AX129" s="537"/>
      <c r="AY129" s="537"/>
    </row>
    <row r="130" spans="1:51">
      <c r="R130" s="564"/>
      <c r="T130" s="564"/>
      <c r="AN130" s="532">
        <f>+LARGE(V121:V128,1)</f>
        <v>2373.94</v>
      </c>
      <c r="AO130" s="532" t="str">
        <f>+TEXT(AN130,"##.### €")</f>
        <v>2.374 €</v>
      </c>
      <c r="AR130" s="584"/>
      <c r="AS130" s="564" t="str">
        <f>+VLOOKUP(AS128,$AB$120:$AD$128,COLUMN($AD$120)-27,0)</f>
        <v>Praticantes e aprendizes</v>
      </c>
      <c r="AT130" s="584" t="s">
        <v>442</v>
      </c>
      <c r="AU130" s="564" t="str">
        <f>+VLOOKUP(AU128,$AC$120:$AD$128,COLUMN($AD$120)-28,0)</f>
        <v>Praticantes e aprendizes</v>
      </c>
      <c r="AV130" s="584" t="s">
        <v>442</v>
      </c>
      <c r="AW130" s="584"/>
      <c r="AX130" s="537"/>
      <c r="AY130" s="537"/>
    </row>
    <row r="131" spans="1:51">
      <c r="A131" s="540" t="s">
        <v>377</v>
      </c>
      <c r="C131" s="501">
        <f>+'q17'!$C$4</f>
        <v>2013</v>
      </c>
      <c r="D131" s="501">
        <f>+'q17'!$D$4</f>
        <v>2014</v>
      </c>
      <c r="E131" s="501">
        <f>+'q17'!$E$4</f>
        <v>2015</v>
      </c>
      <c r="F131" s="501">
        <f>+'q17'!$F$4</f>
        <v>2016</v>
      </c>
      <c r="G131" s="501">
        <f>+'q17'!$G$4</f>
        <v>2017</v>
      </c>
      <c r="H131" s="501">
        <f>+'q17'!$H$4</f>
        <v>2018</v>
      </c>
      <c r="I131" s="501">
        <f>+'q17'!$I$4</f>
        <v>2019</v>
      </c>
      <c r="J131" s="501">
        <f>+'q17'!$J$4</f>
        <v>2020</v>
      </c>
      <c r="K131" s="501">
        <f>+'q17'!$K$4</f>
        <v>2021</v>
      </c>
      <c r="L131" s="501">
        <f>+'q17'!$L$4</f>
        <v>2022</v>
      </c>
      <c r="M131" s="501">
        <f>+'q17'!$M$4</f>
        <v>2023</v>
      </c>
      <c r="R131" s="532" t="s">
        <v>12</v>
      </c>
      <c r="S131" s="532" t="s">
        <v>48</v>
      </c>
      <c r="T131" s="532" t="s">
        <v>49</v>
      </c>
      <c r="U131" s="532" t="s">
        <v>386</v>
      </c>
      <c r="V131" s="532" t="s">
        <v>384</v>
      </c>
      <c r="W131" s="532" t="s">
        <v>50</v>
      </c>
      <c r="X131" s="532" t="s">
        <v>385</v>
      </c>
      <c r="Y131" s="532" t="s">
        <v>51</v>
      </c>
      <c r="Z131" s="532" t="s">
        <v>52</v>
      </c>
      <c r="AN131" s="532" t="s">
        <v>512</v>
      </c>
      <c r="AP131" s="564"/>
      <c r="AR131" s="584"/>
      <c r="AS131" s="584"/>
      <c r="AT131" s="584"/>
      <c r="AU131" s="584"/>
      <c r="AV131" s="584"/>
      <c r="AW131" s="584"/>
      <c r="AX131" s="537"/>
      <c r="AY131" s="537"/>
    </row>
    <row r="132" spans="1:51">
      <c r="A132" s="540" t="s">
        <v>116</v>
      </c>
      <c r="B132" s="532" t="str">
        <f>+Aux!$B$107</f>
        <v>Quadros superiores</v>
      </c>
      <c r="C132" s="537">
        <f>+'q27'!$C$9</f>
        <v>2330.2199999999998</v>
      </c>
      <c r="D132" s="537">
        <f>+'q27'!$D$9</f>
        <v>2309.1799999999998</v>
      </c>
      <c r="E132" s="537">
        <f>+'q27'!$E$9</f>
        <v>2316.87</v>
      </c>
      <c r="F132" s="537">
        <f>+'q27'!$F$9</f>
        <v>2318.81</v>
      </c>
      <c r="G132" s="537">
        <f>+'q27'!$G$9</f>
        <v>2339.4699999999998</v>
      </c>
      <c r="H132" s="537">
        <f>+'q27'!$H$9</f>
        <v>2364.11</v>
      </c>
      <c r="I132" s="537">
        <f>+'q27'!$I$9</f>
        <v>2384.6799999999998</v>
      </c>
      <c r="J132" s="537">
        <f>+'q27'!$J$9</f>
        <v>2391.21</v>
      </c>
      <c r="K132" s="537">
        <f>+'q27'!$K$9</f>
        <v>2428.31</v>
      </c>
      <c r="L132" s="537">
        <f>+'q27'!$L$9</f>
        <v>2558.3000000000002</v>
      </c>
      <c r="M132" s="537">
        <f>+'q27'!$M$9</f>
        <v>2702.18</v>
      </c>
      <c r="Q132" s="501" t="s">
        <v>404</v>
      </c>
      <c r="R132" s="542">
        <f>INDEX($B$153:$M$162,MATCH($Q$129,$B$153:$B$162,0),MATCH($P$119,$B$153:$M$153,0))</f>
        <v>1219.8699999999999</v>
      </c>
      <c r="S132" s="542">
        <f>INDEX($B$153:$M$162,MATCH($Q$121,$B$153:$B$162,0),MATCH($P$119,$B$153:$M$153,0))</f>
        <v>2373.94</v>
      </c>
      <c r="T132" s="542">
        <f>INDEX($B$153:$M$162,MATCH($Q$122,$B$153:$B$162,0),MATCH($P$119,$B$153:$M$153,0))</f>
        <v>1735.82</v>
      </c>
      <c r="U132" s="542">
        <f>INDEX($B$153:$M$162,MATCH($Q$123,$B$153:$B$162,0),MATCH($P$119,$B$153:$M$153,0))</f>
        <v>1651.96</v>
      </c>
      <c r="V132" s="542">
        <f>INDEX($B$153:$M$162,MATCH($Q$124,$B$153:$B$162,0),MATCH($P$119,$B$153:$M$153,0))</f>
        <v>1334.45</v>
      </c>
      <c r="W132" s="542">
        <f>INDEX($B$153:$M$162,MATCH($Q$125,$B$153:$B$162,0),MATCH($P$119,$B$153:$M$153,0))</f>
        <v>976.9</v>
      </c>
      <c r="X132" s="542">
        <f>INDEX($B$153:$M$162,MATCH($Q$126,$B$153:$B$162,0),MATCH($P$119,$B$153:$M$153,0))</f>
        <v>852.76</v>
      </c>
      <c r="Y132" s="542">
        <f>INDEX($B$153:$M$162,MATCH($Q$127,$B$153:$B$162,0),MATCH($P$119,$B$153:$M$153,0))</f>
        <v>805.63</v>
      </c>
      <c r="Z132" s="542">
        <f>INDEX($B$153:$M$162,MATCH($Q$128,$B$153:$B$162,0),MATCH($P$119,$B$153:$M$153,0))</f>
        <v>824.83</v>
      </c>
      <c r="AA132" s="542"/>
      <c r="AB132" s="542"/>
      <c r="AN132" s="564" t="str">
        <f>+VLOOKUP(AN130,$V$120:$AE$1283,COLUMN($AD$120)-21,0)</f>
        <v>Quadros superiores</v>
      </c>
      <c r="AO132" s="532" t="s">
        <v>442</v>
      </c>
      <c r="AX132" s="537"/>
      <c r="AY132" s="537"/>
    </row>
    <row r="133" spans="1:51">
      <c r="B133" s="532" t="str">
        <f>+Aux!$B$108</f>
        <v>Quadros médios</v>
      </c>
      <c r="C133" s="537">
        <f>+'q27'!$C$12</f>
        <v>1531.98</v>
      </c>
      <c r="D133" s="537">
        <f>+'q27'!$D$12</f>
        <v>1510.77</v>
      </c>
      <c r="E133" s="537">
        <f>+'q27'!$E$12</f>
        <v>1523.32</v>
      </c>
      <c r="F133" s="537">
        <f>+'q27'!$F$12</f>
        <v>1525.48</v>
      </c>
      <c r="G133" s="537">
        <f>+'q27'!$G$12</f>
        <v>1538.7</v>
      </c>
      <c r="H133" s="537">
        <f>+'q27'!$H$12</f>
        <v>1560.48</v>
      </c>
      <c r="I133" s="537">
        <f>+'q27'!$I$12</f>
        <v>1591.61</v>
      </c>
      <c r="J133" s="537">
        <f>+'q27'!$J$12</f>
        <v>1597.2</v>
      </c>
      <c r="K133" s="537">
        <f>+'q27'!$K$12</f>
        <v>1632.07</v>
      </c>
      <c r="L133" s="537">
        <f>+'q27'!$L$12</f>
        <v>1748.11</v>
      </c>
      <c r="M133" s="537">
        <f>+'q27'!$M$12</f>
        <v>1872.23</v>
      </c>
      <c r="Q133" s="501" t="s">
        <v>297</v>
      </c>
      <c r="R133" s="542">
        <f>INDEX($B$186:$M$195,MATCH($Q$129,$B$186:$B$195,0),MATCH($P$119,$B$186:$M$186,0))</f>
        <v>1466.66</v>
      </c>
      <c r="S133" s="542">
        <f>INDEX($B$186:$M$195,MATCH($Q$121,$B$186:$B$195,0),MATCH($P$119,$B$186:$M$186,0))</f>
        <v>2770.63</v>
      </c>
      <c r="T133" s="542">
        <f>INDEX($B$186:$M$195,MATCH($Q$122,$B$186:$B$195,0),MATCH($P$119,$B$186:$M$186,0))</f>
        <v>2069.0700000000002</v>
      </c>
      <c r="U133" s="542">
        <f>INDEX($B$186:$M$195,MATCH($Q$123,$B$186:$B$195,0),MATCH($P$119,$B$186:$M$186,0))</f>
        <v>1991.34</v>
      </c>
      <c r="V133" s="542">
        <f>INDEX($B$186:$M$195,MATCH($Q$124,$B$186:$B$195,0),MATCH($P$119,$B$186:$M$186,0))</f>
        <v>1649.77</v>
      </c>
      <c r="W133" s="542">
        <f>INDEX($B$186:$M$195,MATCH($Q$125,$B$186:$B$195,0),MATCH($P$119,$B$186:$M$186,0))</f>
        <v>1193.5999999999999</v>
      </c>
      <c r="X133" s="542">
        <f>INDEX($B$186:$M$195,MATCH($Q$126,$B$186:$B$195,0),MATCH($P$119,$B$186:$M$186,0))</f>
        <v>1028.9100000000001</v>
      </c>
      <c r="Y133" s="542">
        <f>INDEX($B$186:$M$195,MATCH($Q$127,$B$186:$B$195,0),MATCH($P$119,$B$186:$M$186,0))</f>
        <v>950.15</v>
      </c>
      <c r="Z133" s="542">
        <f>INDEX($B$186:$M$195,MATCH($Q$128,$B$186:$B$195,0),MATCH($P$119,$B$186:$M$186,0))</f>
        <v>979</v>
      </c>
      <c r="AA133" s="542"/>
      <c r="AB133" s="542"/>
      <c r="AN133" s="501"/>
      <c r="AO133" s="537"/>
      <c r="AP133" s="537"/>
      <c r="AQ133" s="537"/>
      <c r="AR133" s="537"/>
      <c r="AS133" s="537"/>
      <c r="AT133" s="537"/>
      <c r="AU133" s="537"/>
      <c r="AV133" s="537"/>
      <c r="AW133" s="537"/>
      <c r="AX133" s="537"/>
      <c r="AY133" s="537"/>
    </row>
    <row r="134" spans="1:51">
      <c r="B134" s="532" t="str">
        <f>+Aux!$B$109</f>
        <v>Encarregados, contramestres e chefes de equipa</v>
      </c>
      <c r="C134" s="537">
        <f>+'q27'!$C$15</f>
        <v>1316.52</v>
      </c>
      <c r="D134" s="537">
        <f>+'q27'!$D$15</f>
        <v>1324.49</v>
      </c>
      <c r="E134" s="537">
        <f>+'q27'!$E$15</f>
        <v>1337.21</v>
      </c>
      <c r="F134" s="537">
        <f>+'q27'!$F$15</f>
        <v>1360.2</v>
      </c>
      <c r="G134" s="537">
        <f>+'q27'!$G$15</f>
        <v>1373.74</v>
      </c>
      <c r="H134" s="537">
        <f>+'q27'!$H$15</f>
        <v>1400.55</v>
      </c>
      <c r="I134" s="537">
        <f>+'q27'!$I$15</f>
        <v>1449.64</v>
      </c>
      <c r="J134" s="537">
        <f>+'q27'!$J$15</f>
        <v>1490.41</v>
      </c>
      <c r="K134" s="537">
        <f>+'q27'!$K$15</f>
        <v>1535.87</v>
      </c>
      <c r="L134" s="537">
        <f>+'q27'!$L$15</f>
        <v>1609.69</v>
      </c>
      <c r="M134" s="537">
        <f>+'q27'!$M$15</f>
        <v>1701.91</v>
      </c>
    </row>
    <row r="135" spans="1:51" ht="12" customHeight="1">
      <c r="B135" s="532" t="str">
        <f>+Aux!$B$110</f>
        <v>Profissionais altamente qualificados</v>
      </c>
      <c r="C135" s="537">
        <f>+'q27'!$C$18</f>
        <v>1255.2</v>
      </c>
      <c r="D135" s="537">
        <f>+'q27'!$D$18</f>
        <v>1228.08</v>
      </c>
      <c r="E135" s="537">
        <f>+'q27'!$E$18</f>
        <v>1255.19</v>
      </c>
      <c r="F135" s="537">
        <f>+'q27'!$F$18</f>
        <v>1253.52</v>
      </c>
      <c r="G135" s="537">
        <f>+'q27'!$G$18</f>
        <v>1259.5999999999999</v>
      </c>
      <c r="H135" s="537">
        <f>+'q27'!$H$18</f>
        <v>1281.42</v>
      </c>
      <c r="I135" s="537">
        <f>+'q27'!$I$18</f>
        <v>1260.44</v>
      </c>
      <c r="J135" s="537">
        <f>+'q27'!$J$18</f>
        <v>1284.72</v>
      </c>
      <c r="K135" s="537">
        <f>+'q27'!$K$18</f>
        <v>1304.53</v>
      </c>
      <c r="L135" s="537">
        <f>+'q27'!$L$18</f>
        <v>1348.41</v>
      </c>
      <c r="M135" s="537">
        <f>+'q27'!$M$18</f>
        <v>1437.35</v>
      </c>
      <c r="AN135" s="583" t="str">
        <f>CONCATENATE(AN122," - ",AO122,CHAR(10),AN123," ",AN124,AN125," ",AO126,AN127,AN128,AN129," ",AO130,AN131,AN132,AO132,CHAR(10),AQ123," ",AQ124," ",AR125," "," ",AQ127," ",AR128,AQ129)</f>
        <v>2023 - Continente:
Base: 83,2% do Ganho, entre 806 €  (Profissionais não qualificados) e  2.374 €  (Quadros superiores).
Ganho: Entre 950 €  e 2.771 €, nos mesmos níveis de qualificação, respetivamente.</v>
      </c>
      <c r="AO135" s="622"/>
      <c r="AP135" s="622"/>
      <c r="AQ135" s="622"/>
      <c r="AR135" s="622"/>
      <c r="AS135" s="622"/>
      <c r="AT135" s="622"/>
      <c r="AU135" s="622"/>
      <c r="AV135" s="622"/>
    </row>
    <row r="136" spans="1:51">
      <c r="B136" s="532" t="str">
        <f>+Aux!$B$111</f>
        <v>Profissionais qualificados</v>
      </c>
      <c r="C136" s="537">
        <f>+'q27'!$C$21</f>
        <v>756.74</v>
      </c>
      <c r="D136" s="537">
        <f>+'q27'!$D$21</f>
        <v>755.75</v>
      </c>
      <c r="E136" s="537">
        <f>+'q27'!$E$21</f>
        <v>762.14</v>
      </c>
      <c r="F136" s="537">
        <f>+'q27'!$F$21</f>
        <v>768.86</v>
      </c>
      <c r="G136" s="537">
        <f>+'q27'!$G$21</f>
        <v>774.33</v>
      </c>
      <c r="H136" s="537">
        <f>+'q27'!$H$21</f>
        <v>798.21</v>
      </c>
      <c r="I136" s="537">
        <f>+'q27'!$I$21</f>
        <v>840.48</v>
      </c>
      <c r="J136" s="537">
        <f>+'q27'!$J$21</f>
        <v>866.46</v>
      </c>
      <c r="K136" s="537">
        <f>+'q27'!$K$21</f>
        <v>897.9</v>
      </c>
      <c r="L136" s="537">
        <f>+'q27'!$L$21</f>
        <v>944.17</v>
      </c>
      <c r="M136" s="537">
        <f>+'q27'!$M$21</f>
        <v>1006.52</v>
      </c>
      <c r="Q136" s="550" t="s">
        <v>398</v>
      </c>
      <c r="R136" s="542">
        <f>+R129*-1</f>
        <v>1294.03</v>
      </c>
      <c r="AN136" s="622"/>
      <c r="AO136" s="622"/>
      <c r="AP136" s="622"/>
      <c r="AQ136" s="622"/>
      <c r="AR136" s="622"/>
      <c r="AS136" s="622"/>
      <c r="AT136" s="622"/>
      <c r="AU136" s="622"/>
      <c r="AV136" s="622"/>
      <c r="AW136" s="501"/>
      <c r="AX136" s="501"/>
      <c r="AY136" s="501"/>
    </row>
    <row r="137" spans="1:51">
      <c r="B137" s="532" t="str">
        <f>+Aux!$B$112</f>
        <v>Profissionais semi-qualificados</v>
      </c>
      <c r="C137" s="537">
        <f>+'q27'!$C$24</f>
        <v>629.96</v>
      </c>
      <c r="D137" s="537">
        <f>+'q27'!$D$24</f>
        <v>640.07000000000005</v>
      </c>
      <c r="E137" s="537">
        <f>+'q27'!$E$24</f>
        <v>635.4</v>
      </c>
      <c r="F137" s="537">
        <f>+'q27'!$F$24</f>
        <v>647.95000000000005</v>
      </c>
      <c r="G137" s="537">
        <f>+'q27'!$G$24</f>
        <v>682.16</v>
      </c>
      <c r="H137" s="537">
        <f>+'q27'!$H$24</f>
        <v>706.7</v>
      </c>
      <c r="I137" s="537">
        <f>+'q27'!$I$24</f>
        <v>739.94</v>
      </c>
      <c r="J137" s="537">
        <f>+'q27'!$J$24</f>
        <v>766.71</v>
      </c>
      <c r="K137" s="537">
        <f>+'q27'!$K$24</f>
        <v>807.22</v>
      </c>
      <c r="L137" s="537">
        <f>+'q27'!$L$24</f>
        <v>851.03</v>
      </c>
      <c r="M137" s="537">
        <f>+'q27'!$M$24</f>
        <v>890.82</v>
      </c>
      <c r="Q137" s="550" t="s">
        <v>402</v>
      </c>
      <c r="R137" s="542">
        <f>+S129*-1</f>
        <v>1577.33</v>
      </c>
      <c r="AN137" s="623" t="str">
        <f>+CONCATENATE(AN122,":",CHAR(10),AS123," ",AS124," ",AT124," ",AT125,AS126,AS127," ",AT127," ",AT128,AS129,AS130,AT130,CHAR(10),AU123," ",AU124,AV124,AV125,AU126,AU127,AV127," ",AV128,AU129,AU130,AV130)</f>
        <v>2023:
Base Mulheres = 87,3%  da dos Homens (H), entre  74,0% da dos H (Quadros superiores ) e 97,6% (Praticantes e aprendizes).
Ganho Mulheres = 84,4% da dos H, entre 73,5% da dos H (Quadros superiores) e 95,3% (Praticantes e aprendizes).</v>
      </c>
      <c r="AO137" s="622"/>
      <c r="AP137" s="622"/>
      <c r="AQ137" s="622"/>
      <c r="AR137" s="622"/>
      <c r="AS137" s="622"/>
      <c r="AT137" s="622"/>
      <c r="AU137" s="622"/>
      <c r="AV137" s="622"/>
      <c r="AW137" s="537"/>
      <c r="AX137" s="537"/>
      <c r="AY137" s="537"/>
    </row>
    <row r="138" spans="1:51">
      <c r="B138" s="532" t="str">
        <f>+Aux!$B$113</f>
        <v>Profissionais não qualificados</v>
      </c>
      <c r="C138" s="537">
        <f>+'q27'!$C$27</f>
        <v>592.20000000000005</v>
      </c>
      <c r="D138" s="537">
        <f>+'q27'!$D$27</f>
        <v>597.67999999999995</v>
      </c>
      <c r="E138" s="537">
        <f>+'q27'!$E$27</f>
        <v>598.42999999999995</v>
      </c>
      <c r="F138" s="537">
        <f>+'q27'!$F$27</f>
        <v>610.32000000000005</v>
      </c>
      <c r="G138" s="537">
        <f>+'q27'!$G$27</f>
        <v>629.11</v>
      </c>
      <c r="H138" s="537">
        <f>+'q27'!$H$27</f>
        <v>648.84</v>
      </c>
      <c r="I138" s="537">
        <f>+'q27'!$I$27</f>
        <v>667.65</v>
      </c>
      <c r="J138" s="537">
        <f>+'q27'!$J$27</f>
        <v>702.96</v>
      </c>
      <c r="K138" s="537">
        <f>+'q27'!$K$27</f>
        <v>730.65</v>
      </c>
      <c r="L138" s="537">
        <f>+'q27'!$L$27</f>
        <v>762.66</v>
      </c>
      <c r="M138" s="537">
        <f>+'q27'!$M$27</f>
        <v>820.99</v>
      </c>
      <c r="AN138" s="622"/>
      <c r="AO138" s="622"/>
      <c r="AP138" s="622"/>
      <c r="AQ138" s="622"/>
      <c r="AR138" s="622"/>
      <c r="AS138" s="622"/>
      <c r="AT138" s="622"/>
      <c r="AU138" s="622"/>
      <c r="AV138" s="622"/>
      <c r="AW138" s="537"/>
      <c r="AX138" s="537"/>
      <c r="AY138" s="537"/>
    </row>
    <row r="139" spans="1:51">
      <c r="B139" s="532" t="str">
        <f>+Aux!$B$114</f>
        <v>Praticantes e aprendizes</v>
      </c>
      <c r="C139" s="537">
        <f>+'q27'!$C$30</f>
        <v>567.36</v>
      </c>
      <c r="D139" s="537">
        <f>+'q27'!$D$30</f>
        <v>576.71</v>
      </c>
      <c r="E139" s="537">
        <f>+'q27'!$E$30</f>
        <v>577.57000000000005</v>
      </c>
      <c r="F139" s="537">
        <f>+'q27'!$F$30</f>
        <v>591.55999999999995</v>
      </c>
      <c r="G139" s="537">
        <f>+'q27'!$G$30</f>
        <v>616.5</v>
      </c>
      <c r="H139" s="537">
        <f>+'q27'!$H$30</f>
        <v>643.97</v>
      </c>
      <c r="I139" s="537">
        <f>+'q27'!$I$30</f>
        <v>668.26</v>
      </c>
      <c r="J139" s="537">
        <f>+'q27'!$J$30</f>
        <v>700.41</v>
      </c>
      <c r="K139" s="537">
        <f>+'q27'!$K$30</f>
        <v>734</v>
      </c>
      <c r="L139" s="537">
        <f>+'q27'!$L$30</f>
        <v>775.21</v>
      </c>
      <c r="M139" s="537">
        <f>+'q27'!$M$30</f>
        <v>832.8</v>
      </c>
      <c r="AN139" s="622"/>
      <c r="AO139" s="622"/>
      <c r="AP139" s="622"/>
      <c r="AQ139" s="622"/>
      <c r="AR139" s="622"/>
      <c r="AS139" s="622"/>
      <c r="AT139" s="622"/>
      <c r="AU139" s="622"/>
      <c r="AV139" s="622"/>
      <c r="AW139" s="537"/>
      <c r="AX139" s="537"/>
      <c r="AY139" s="537"/>
    </row>
    <row r="140" spans="1:51">
      <c r="B140" s="532" t="str">
        <f>+Aux!$B$115</f>
        <v>Total</v>
      </c>
      <c r="C140" s="537">
        <f>+'q27'!$C$6</f>
        <v>993.79</v>
      </c>
      <c r="D140" s="537">
        <f>+'q27'!$D$6</f>
        <v>985.02</v>
      </c>
      <c r="E140" s="537">
        <f>+'q27'!$E$6</f>
        <v>990.05</v>
      </c>
      <c r="F140" s="537">
        <f>+'q27'!$F$6</f>
        <v>997.38</v>
      </c>
      <c r="G140" s="537">
        <f>+'q27'!$G$6</f>
        <v>1012.25</v>
      </c>
      <c r="H140" s="537">
        <f>+'q27'!$H$6</f>
        <v>1039.08</v>
      </c>
      <c r="I140" s="537">
        <f>+'q27'!$I$6</f>
        <v>1073.82</v>
      </c>
      <c r="J140" s="537">
        <f>+'q27'!$J$6</f>
        <v>1109.21</v>
      </c>
      <c r="K140" s="537">
        <f>+'q27'!$K$6</f>
        <v>1152.24</v>
      </c>
      <c r="L140" s="537">
        <f>+'q27'!$L$6</f>
        <v>1217.33</v>
      </c>
      <c r="M140" s="537">
        <f>+'q27'!$M$6</f>
        <v>1294.03</v>
      </c>
      <c r="AN140" s="501"/>
      <c r="AO140" s="537"/>
      <c r="AP140" s="537"/>
      <c r="AQ140" s="537"/>
      <c r="AR140" s="537"/>
      <c r="AS140" s="537"/>
      <c r="AT140" s="537"/>
      <c r="AU140" s="537"/>
      <c r="AV140" s="537"/>
      <c r="AW140" s="537"/>
      <c r="AX140" s="537"/>
      <c r="AY140" s="537"/>
    </row>
    <row r="141" spans="1:51" ht="12" customHeight="1">
      <c r="AO141" s="623"/>
      <c r="AP141" s="623"/>
      <c r="AQ141" s="623"/>
      <c r="AR141" s="623"/>
      <c r="AS141" s="623"/>
      <c r="AT141" s="623"/>
      <c r="AU141" s="623"/>
      <c r="AV141" s="623"/>
      <c r="AW141" s="537"/>
      <c r="AX141" s="537"/>
      <c r="AY141" s="537"/>
    </row>
    <row r="142" spans="1:51">
      <c r="C142" s="501">
        <f>+'q17'!$C$4</f>
        <v>2013</v>
      </c>
      <c r="D142" s="501">
        <f>+'q17'!$D$4</f>
        <v>2014</v>
      </c>
      <c r="E142" s="501">
        <f>+'q17'!$E$4</f>
        <v>2015</v>
      </c>
      <c r="F142" s="501">
        <f>+'q17'!$F$4</f>
        <v>2016</v>
      </c>
      <c r="G142" s="501">
        <f>+'q17'!$G$4</f>
        <v>2017</v>
      </c>
      <c r="H142" s="501">
        <f>+'q17'!$H$4</f>
        <v>2018</v>
      </c>
      <c r="I142" s="501">
        <f>+'q17'!$I$4</f>
        <v>2019</v>
      </c>
      <c r="J142" s="501">
        <f>+'q17'!$J$4</f>
        <v>2020</v>
      </c>
      <c r="K142" s="501">
        <f>+'q17'!$K$4</f>
        <v>2021</v>
      </c>
      <c r="L142" s="501">
        <f>+'q17'!$L$4</f>
        <v>2022</v>
      </c>
      <c r="M142" s="501">
        <f>+'q17'!$M$4</f>
        <v>2023</v>
      </c>
      <c r="AN142" s="623"/>
      <c r="AO142" s="623"/>
      <c r="AP142" s="623"/>
      <c r="AQ142" s="623"/>
      <c r="AR142" s="623"/>
      <c r="AS142" s="623"/>
      <c r="AT142" s="623"/>
      <c r="AU142" s="623"/>
      <c r="AV142" s="623"/>
      <c r="AW142" s="537"/>
      <c r="AX142" s="537"/>
      <c r="AY142" s="537"/>
    </row>
    <row r="143" spans="1:51">
      <c r="A143" s="540" t="s">
        <v>117</v>
      </c>
      <c r="B143" s="532" t="str">
        <f>+Aux!$B$107</f>
        <v>Quadros superiores</v>
      </c>
      <c r="C143" s="537">
        <f>+'q27'!$C$10</f>
        <v>1714.71</v>
      </c>
      <c r="D143" s="537">
        <f>+'q27'!$D$10</f>
        <v>1702.62</v>
      </c>
      <c r="E143" s="537">
        <f>+'q27'!$E$10</f>
        <v>1705.89</v>
      </c>
      <c r="F143" s="537">
        <f>+'q27'!$F$10</f>
        <v>1710.84</v>
      </c>
      <c r="G143" s="537">
        <f>+'q27'!$G$10</f>
        <v>1722.33</v>
      </c>
      <c r="H143" s="537">
        <f>+'q27'!$H$10</f>
        <v>1746.3</v>
      </c>
      <c r="I143" s="537">
        <f>+'q27'!$I$10</f>
        <v>1777.19</v>
      </c>
      <c r="J143" s="537">
        <f>+'q27'!$J$10</f>
        <v>1799.18</v>
      </c>
      <c r="K143" s="537">
        <f>+'q27'!$K$10</f>
        <v>1832.68</v>
      </c>
      <c r="L143" s="537">
        <f>+'q27'!$L$10</f>
        <v>1914.19</v>
      </c>
      <c r="M143" s="537">
        <f>+'q27'!$M$10</f>
        <v>1999.71</v>
      </c>
      <c r="AN143" s="623"/>
      <c r="AO143" s="623"/>
      <c r="AP143" s="623"/>
      <c r="AQ143" s="623"/>
      <c r="AR143" s="623"/>
      <c r="AS143" s="623"/>
      <c r="AT143" s="623"/>
      <c r="AU143" s="623"/>
      <c r="AV143" s="623"/>
      <c r="AW143" s="537"/>
      <c r="AX143" s="537"/>
      <c r="AY143" s="537"/>
    </row>
    <row r="144" spans="1:51">
      <c r="B144" s="532" t="str">
        <f>+Aux!$B$108</f>
        <v>Quadros médios</v>
      </c>
      <c r="C144" s="537">
        <f>+'q27'!$C$13</f>
        <v>1304.94</v>
      </c>
      <c r="D144" s="537">
        <f>+'q27'!$D$13</f>
        <v>1300.3499999999999</v>
      </c>
      <c r="E144" s="537">
        <f>+'q27'!$E$13</f>
        <v>1311.12</v>
      </c>
      <c r="F144" s="537">
        <f>+'q27'!$F$13</f>
        <v>1323.46</v>
      </c>
      <c r="G144" s="537">
        <f>+'q27'!$G$13</f>
        <v>1330.76</v>
      </c>
      <c r="H144" s="537">
        <f>+'q27'!$H$13</f>
        <v>1351.69</v>
      </c>
      <c r="I144" s="537">
        <f>+'q27'!$I$13</f>
        <v>1371.16</v>
      </c>
      <c r="J144" s="537">
        <f>+'q27'!$J$13</f>
        <v>1377.46</v>
      </c>
      <c r="K144" s="537">
        <f>+'q27'!$K$13</f>
        <v>1399.77</v>
      </c>
      <c r="L144" s="537">
        <f>+'q27'!$L$13</f>
        <v>1481.46</v>
      </c>
      <c r="M144" s="537">
        <f>+'q27'!$M$13</f>
        <v>1585.82</v>
      </c>
      <c r="Z144" s="532">
        <f>+COLUMN(Z147)</f>
        <v>26</v>
      </c>
      <c r="AN144" s="623"/>
      <c r="AO144" s="623"/>
      <c r="AP144" s="623"/>
      <c r="AQ144" s="623"/>
      <c r="AR144" s="623"/>
      <c r="AS144" s="623"/>
      <c r="AT144" s="623"/>
      <c r="AU144" s="623"/>
      <c r="AV144" s="623"/>
      <c r="AW144" s="537"/>
      <c r="AX144" s="537"/>
      <c r="AY144" s="537"/>
    </row>
    <row r="145" spans="1:51">
      <c r="B145" s="532" t="str">
        <f>+Aux!$B$109</f>
        <v>Encarregados, contramestres e chefes de equipa</v>
      </c>
      <c r="C145" s="537">
        <f>+'q27'!$C$16</f>
        <v>1210.3900000000001</v>
      </c>
      <c r="D145" s="537">
        <f>+'q27'!$D$16</f>
        <v>1219.03</v>
      </c>
      <c r="E145" s="537">
        <f>+'q27'!$E$16</f>
        <v>1230.75</v>
      </c>
      <c r="F145" s="537">
        <f>+'q27'!$F$16</f>
        <v>1247.82</v>
      </c>
      <c r="G145" s="537">
        <f>+'q27'!$G$16</f>
        <v>1272.5999999999999</v>
      </c>
      <c r="H145" s="537">
        <f>+'q27'!$H$16</f>
        <v>1283.8699999999999</v>
      </c>
      <c r="I145" s="537">
        <f>+'q27'!$I$16</f>
        <v>1330.71</v>
      </c>
      <c r="J145" s="537">
        <f>+'q27'!$J$16</f>
        <v>1366.73</v>
      </c>
      <c r="K145" s="537">
        <f>+'q27'!$K$16</f>
        <v>1411.97</v>
      </c>
      <c r="L145" s="537">
        <f>+'q27'!$L$16</f>
        <v>1484.75</v>
      </c>
      <c r="M145" s="537">
        <f>+'q27'!$M$16</f>
        <v>1574.82</v>
      </c>
      <c r="AN145" s="623"/>
      <c r="AO145" s="623"/>
      <c r="AP145" s="623"/>
      <c r="AQ145" s="623"/>
      <c r="AR145" s="623"/>
      <c r="AS145" s="623"/>
      <c r="AT145" s="623"/>
      <c r="AU145" s="623"/>
      <c r="AV145" s="623"/>
    </row>
    <row r="146" spans="1:51">
      <c r="B146" s="532" t="str">
        <f>+Aux!$B$110</f>
        <v>Profissionais altamente qualificados</v>
      </c>
      <c r="C146" s="537">
        <f>+'q27'!$C$19</f>
        <v>1052.32</v>
      </c>
      <c r="D146" s="537">
        <f>+'q27'!$D$19</f>
        <v>1046.44</v>
      </c>
      <c r="E146" s="537">
        <f>+'q27'!$E$19</f>
        <v>1041.9100000000001</v>
      </c>
      <c r="F146" s="537">
        <f>+'q27'!$F$19</f>
        <v>1033.3499999999999</v>
      </c>
      <c r="G146" s="537">
        <f>+'q27'!$G$19</f>
        <v>1038.5</v>
      </c>
      <c r="H146" s="537">
        <f>+'q27'!$H$19</f>
        <v>1056.81</v>
      </c>
      <c r="I146" s="537">
        <f>+'q27'!$I$19</f>
        <v>1066</v>
      </c>
      <c r="J146" s="537">
        <f>+'q27'!$J$19</f>
        <v>1075.79</v>
      </c>
      <c r="K146" s="537">
        <f>+'q27'!$K$19</f>
        <v>1089.94</v>
      </c>
      <c r="L146" s="537">
        <f>+'q27'!$L$19</f>
        <v>1138.8</v>
      </c>
      <c r="M146" s="537">
        <f>+'q27'!$M$19</f>
        <v>1225.3</v>
      </c>
      <c r="P146" s="532">
        <f>INDEX($A$2:$A$12,$P$9)</f>
        <v>2023</v>
      </c>
      <c r="Q146" s="501" t="s">
        <v>389</v>
      </c>
      <c r="R146" s="777" t="s">
        <v>396</v>
      </c>
      <c r="S146" s="777"/>
      <c r="T146" s="777" t="s">
        <v>397</v>
      </c>
      <c r="U146" s="777"/>
      <c r="X146" s="532" t="s">
        <v>396</v>
      </c>
      <c r="Y146" s="532" t="s">
        <v>397</v>
      </c>
      <c r="AN146" s="501"/>
    </row>
    <row r="147" spans="1:51">
      <c r="B147" s="532" t="str">
        <f>+Aux!$B$111</f>
        <v>Profissionais qualificados</v>
      </c>
      <c r="C147" s="537">
        <f>+'q27'!$C$22</f>
        <v>676.15</v>
      </c>
      <c r="D147" s="537">
        <f>+'q27'!$D$22</f>
        <v>680.56</v>
      </c>
      <c r="E147" s="537">
        <f>+'q27'!$E$22</f>
        <v>682.7</v>
      </c>
      <c r="F147" s="537">
        <f>+'q27'!$F$22</f>
        <v>692.64</v>
      </c>
      <c r="G147" s="537">
        <f>+'q27'!$G$22</f>
        <v>698.75</v>
      </c>
      <c r="H147" s="537">
        <f>+'q27'!$H$22</f>
        <v>720.02</v>
      </c>
      <c r="I147" s="537">
        <f>+'q27'!$I$22</f>
        <v>764.19</v>
      </c>
      <c r="J147" s="537">
        <f>+'q27'!$J$22</f>
        <v>794.98</v>
      </c>
      <c r="K147" s="537">
        <f>+'q27'!$K$22</f>
        <v>823.41</v>
      </c>
      <c r="L147" s="537">
        <f>+'q27'!$L$22</f>
        <v>871.09</v>
      </c>
      <c r="M147" s="537">
        <f>+'q27'!$M$22</f>
        <v>933.93</v>
      </c>
      <c r="R147" s="501" t="s">
        <v>296</v>
      </c>
      <c r="S147" s="501" t="s">
        <v>297</v>
      </c>
      <c r="T147" s="501" t="s">
        <v>296</v>
      </c>
      <c r="U147" s="501" t="s">
        <v>297</v>
      </c>
      <c r="X147" s="532" t="s">
        <v>462</v>
      </c>
      <c r="Y147" s="532" t="s">
        <v>462</v>
      </c>
      <c r="AN147" s="501"/>
      <c r="AO147" s="501"/>
      <c r="AP147" s="501"/>
      <c r="AQ147" s="501"/>
      <c r="AR147" s="501"/>
      <c r="AS147" s="501"/>
      <c r="AT147" s="501"/>
      <c r="AU147" s="501"/>
      <c r="AV147" s="501"/>
      <c r="AW147" s="501"/>
      <c r="AX147" s="501"/>
      <c r="AY147" s="501"/>
    </row>
    <row r="148" spans="1:51">
      <c r="B148" s="532" t="str">
        <f>+Aux!$B$112</f>
        <v>Profissionais semi-qualificados</v>
      </c>
      <c r="C148" s="537">
        <f>+'q27'!$C$25</f>
        <v>556.03</v>
      </c>
      <c r="D148" s="537">
        <f>+'q27'!$D$25</f>
        <v>566.28</v>
      </c>
      <c r="E148" s="537">
        <f>+'q27'!$E$25</f>
        <v>571.28</v>
      </c>
      <c r="F148" s="537">
        <f>+'q27'!$F$25</f>
        <v>586.14</v>
      </c>
      <c r="G148" s="537">
        <f>+'q27'!$G$25</f>
        <v>614.77</v>
      </c>
      <c r="H148" s="537">
        <f>+'q27'!$H$25</f>
        <v>637.49</v>
      </c>
      <c r="I148" s="537">
        <f>+'q27'!$I$25</f>
        <v>662.35</v>
      </c>
      <c r="J148" s="537">
        <f>+'q27'!$J$25</f>
        <v>688.8</v>
      </c>
      <c r="K148" s="537">
        <f>+'q27'!$K$25</f>
        <v>724.31</v>
      </c>
      <c r="L148" s="537">
        <f>+'q27'!$L$25</f>
        <v>766.5</v>
      </c>
      <c r="M148" s="537">
        <f>+'q27'!$M$25</f>
        <v>820.02</v>
      </c>
      <c r="Q148" s="532" t="s">
        <v>390</v>
      </c>
      <c r="R148" s="542">
        <f>INDEX($B$212:$M$218,MATCH($Q$148,$B$212:$B$218,0),MATCH($P$146,$B$212:$M$212,0))</f>
        <v>821.44</v>
      </c>
      <c r="S148" s="542">
        <f>INDEX($B$222:$M$228,MATCH($Q$148,$B$222:$B$228,0),MATCH($P$146,$B$222:$M$222,0))</f>
        <v>968.17</v>
      </c>
      <c r="T148" s="542">
        <f>INDEX($B$232:$M$238,MATCH($Q$148,$B$232:$B$238,0),MATCH($P$146,$B$232:$M$232,0))</f>
        <v>764</v>
      </c>
      <c r="U148" s="542">
        <f>INDEX($B$242:$M$248,MATCH($Q$148,$B$242:$B$248,0),MATCH($P$146,$B$242:$M$242,0))</f>
        <v>893.11</v>
      </c>
      <c r="X148" s="619">
        <f>(R148/S148)</f>
        <v>0.84844603736947033</v>
      </c>
      <c r="Y148" s="619">
        <f>(T148/U148)</f>
        <v>0.85543774003202289</v>
      </c>
      <c r="Z148" s="532" t="str">
        <f>+Q148</f>
        <v>&lt; 1.º ciclo do ensino básico</v>
      </c>
      <c r="AN148" s="501"/>
      <c r="AO148" s="537"/>
      <c r="AP148" s="537"/>
      <c r="AQ148" s="537"/>
      <c r="AR148" s="537"/>
      <c r="AS148" s="537"/>
      <c r="AT148" s="537"/>
      <c r="AU148" s="537"/>
      <c r="AV148" s="537"/>
      <c r="AW148" s="537"/>
      <c r="AX148" s="537"/>
      <c r="AY148" s="537"/>
    </row>
    <row r="149" spans="1:51">
      <c r="B149" s="532" t="str">
        <f>+Aux!$B$113</f>
        <v>Profissionais não qualificados</v>
      </c>
      <c r="C149" s="537">
        <f>+'q27'!$C$28</f>
        <v>522.21</v>
      </c>
      <c r="D149" s="537">
        <f>+'q27'!$D$28</f>
        <v>534.14</v>
      </c>
      <c r="E149" s="537">
        <f>+'q27'!$E$28</f>
        <v>535.83000000000004</v>
      </c>
      <c r="F149" s="537">
        <f>+'q27'!$F$28</f>
        <v>556.63</v>
      </c>
      <c r="G149" s="537">
        <f>+'q27'!$G$28</f>
        <v>581.58000000000004</v>
      </c>
      <c r="H149" s="537">
        <f>+'q27'!$H$28</f>
        <v>604.03</v>
      </c>
      <c r="I149" s="537">
        <f>+'q27'!$I$28</f>
        <v>622.26</v>
      </c>
      <c r="J149" s="537">
        <f>+'q27'!$J$28</f>
        <v>653.70000000000005</v>
      </c>
      <c r="K149" s="537">
        <f>+'q27'!$K$28</f>
        <v>685.46</v>
      </c>
      <c r="L149" s="537">
        <f>+'q27'!$L$28</f>
        <v>725.85</v>
      </c>
      <c r="M149" s="537">
        <f>+'q27'!$M$28</f>
        <v>785.16</v>
      </c>
      <c r="Q149" s="532" t="s">
        <v>191</v>
      </c>
      <c r="R149" s="542">
        <f>INDEX($B$212:$M$218,MATCH($Q$149,$B$212:$B$218,0),MATCH($P$146,$B$212:$M$212,0))</f>
        <v>927.83</v>
      </c>
      <c r="S149" s="542">
        <f>INDEX($B$222:$M$228,MATCH($Q$149,$B$222:$B$228,0),MATCH($P$146,$B$222:$M$222,0))</f>
        <v>1122.23</v>
      </c>
      <c r="T149" s="542">
        <f>INDEX($B$232:$M$238,MATCH($Q$149,$B$232:$B$238,0),MATCH($P$146,$B$232:$M$232,0))</f>
        <v>800</v>
      </c>
      <c r="U149" s="542">
        <f>INDEX($B$242:$M$248,MATCH($Q$149,$B$242:$B$248,0),MATCH($P$146,$B$242:$M$242,0))</f>
        <v>964</v>
      </c>
      <c r="X149" s="619">
        <f t="shared" ref="X149:X153" si="23">(R149/S149)</f>
        <v>0.82677347780757959</v>
      </c>
      <c r="Y149" s="619">
        <f t="shared" ref="Y149:Y153" si="24">(T149/U149)</f>
        <v>0.82987551867219922</v>
      </c>
      <c r="Z149" s="532" t="str">
        <f t="shared" ref="Z149:Z152" si="25">+Q149</f>
        <v>Ensino básico</v>
      </c>
      <c r="AN149" s="501"/>
      <c r="AO149" s="537"/>
      <c r="AP149" s="537"/>
      <c r="AQ149" s="537"/>
      <c r="AR149" s="537"/>
      <c r="AS149" s="537"/>
      <c r="AT149" s="537"/>
      <c r="AU149" s="537"/>
      <c r="AV149" s="537"/>
      <c r="AW149" s="537"/>
      <c r="AX149" s="537"/>
      <c r="AY149" s="537"/>
    </row>
    <row r="150" spans="1:51">
      <c r="B150" s="532" t="str">
        <f>+Aux!$B$114</f>
        <v>Praticantes e aprendizes</v>
      </c>
      <c r="C150" s="537">
        <f>+'q27'!$C$31</f>
        <v>538.07000000000005</v>
      </c>
      <c r="D150" s="537">
        <f>+'q27'!$D$31</f>
        <v>548.47</v>
      </c>
      <c r="E150" s="537">
        <f>+'q27'!$E$31</f>
        <v>549.49</v>
      </c>
      <c r="F150" s="537">
        <f>+'q27'!$F$31</f>
        <v>567.96</v>
      </c>
      <c r="G150" s="537">
        <f>+'q27'!$G$31</f>
        <v>593.07000000000005</v>
      </c>
      <c r="H150" s="537">
        <f>+'q27'!$H$31</f>
        <v>619.01</v>
      </c>
      <c r="I150" s="537">
        <f>+'q27'!$I$31</f>
        <v>640.91</v>
      </c>
      <c r="J150" s="537">
        <f>+'q27'!$J$31</f>
        <v>672.36</v>
      </c>
      <c r="K150" s="537">
        <f>+'q27'!$K$31</f>
        <v>706.34</v>
      </c>
      <c r="L150" s="537">
        <f>+'q27'!$L$31</f>
        <v>749.2</v>
      </c>
      <c r="M150" s="537">
        <f>+'q27'!$M$31</f>
        <v>812.84</v>
      </c>
      <c r="Q150" s="532" t="s">
        <v>196</v>
      </c>
      <c r="R150" s="542">
        <f>INDEX($B$212:$M$218,MATCH($Q$150,$B$212:$B$218,0),MATCH($P$146,$B$212:$M$212,0))</f>
        <v>1057.23</v>
      </c>
      <c r="S150" s="542">
        <f>INDEX($B$222:$M$228,MATCH($Q$150,$B$222:$B$228,0),MATCH($P$146,$B$222:$M$222,0))</f>
        <v>1297.5899999999999</v>
      </c>
      <c r="T150" s="542">
        <f>INDEX($B$232:$M$238,MATCH($Q$150,$B$232:$B$238,0),MATCH($P$146,$B$232:$M$232,0))</f>
        <v>850</v>
      </c>
      <c r="U150" s="542">
        <f>INDEX($B$242:$M$248,MATCH($Q$150,$B$242:$B$248,0),MATCH($P$146,$B$242:$M$242,0))</f>
        <v>1050.8</v>
      </c>
      <c r="V150" s="544" t="s">
        <v>74</v>
      </c>
      <c r="W150" s="544" t="s">
        <v>80</v>
      </c>
      <c r="X150" s="619">
        <f t="shared" si="23"/>
        <v>0.81476429380621007</v>
      </c>
      <c r="Y150" s="619">
        <f t="shared" si="24"/>
        <v>0.80890749904834414</v>
      </c>
      <c r="Z150" s="532" t="str">
        <f t="shared" si="25"/>
        <v>Ensino secundário + pós sec. não superior nível IV</v>
      </c>
      <c r="AN150" s="501"/>
      <c r="AO150" s="537"/>
      <c r="AP150" s="537"/>
      <c r="AQ150" s="537"/>
      <c r="AR150" s="537"/>
      <c r="AS150" s="537"/>
      <c r="AT150" s="537"/>
      <c r="AU150" s="537"/>
      <c r="AV150" s="537"/>
      <c r="AW150" s="537"/>
      <c r="AX150" s="537"/>
      <c r="AY150" s="537"/>
    </row>
    <row r="151" spans="1:51">
      <c r="B151" s="532" t="str">
        <f>+Aux!$B$115</f>
        <v>Total</v>
      </c>
      <c r="C151" s="537">
        <f>+'q27'!$C$7</f>
        <v>816.21</v>
      </c>
      <c r="D151" s="537">
        <f>+'q27'!$D$7</f>
        <v>820.25</v>
      </c>
      <c r="E151" s="537">
        <f>+'q27'!$E$7</f>
        <v>824.99</v>
      </c>
      <c r="F151" s="537">
        <f>+'q27'!$F$7</f>
        <v>840.26</v>
      </c>
      <c r="G151" s="537">
        <f>+'q27'!$G$7</f>
        <v>861.17</v>
      </c>
      <c r="H151" s="537">
        <f>+'q27'!$H$7</f>
        <v>888.56</v>
      </c>
      <c r="I151" s="537">
        <f>+'q27'!$I$7</f>
        <v>922.63</v>
      </c>
      <c r="J151" s="537">
        <f>+'q27'!$J$7</f>
        <v>960.27</v>
      </c>
      <c r="K151" s="537">
        <f>+'q27'!$K$7</f>
        <v>999.33</v>
      </c>
      <c r="L151" s="537">
        <f>+'q27'!$L$7</f>
        <v>1054.3599999999999</v>
      </c>
      <c r="M151" s="537">
        <f>+'q27'!$M$7</f>
        <v>1129.6400000000001</v>
      </c>
      <c r="Q151" s="532" t="s">
        <v>394</v>
      </c>
      <c r="R151" s="542">
        <f>INDEX($B$212:$M$218,MATCH($Q$151,$B$212:$B$218,0),MATCH($P$146,$B$212:$M$212,0))</f>
        <v>1870.81</v>
      </c>
      <c r="S151" s="542">
        <f>INDEX($B$222:$M$228,MATCH($Q$151,$B$222:$B$228,0),MATCH($P$146,$B$222:$M$222,0))</f>
        <v>2204.65</v>
      </c>
      <c r="T151" s="542">
        <f>INDEX($B$232:$M$238,MATCH($Q$151,$B$232:$B$238,0),MATCH($P$146,$B$232:$M$232,0))</f>
        <v>1452.5</v>
      </c>
      <c r="U151" s="542">
        <f>INDEX($B$242:$M$248,MATCH($Q$151,$B$242:$B$248,0),MATCH($P$146,$B$242:$M$242,0))</f>
        <v>1734.72</v>
      </c>
      <c r="V151" s="564">
        <f>(R151/R153-1)</f>
        <v>0.53361423758269333</v>
      </c>
      <c r="W151" s="564">
        <f>(S151/S153-1)</f>
        <v>0.50317728716948706</v>
      </c>
      <c r="X151" s="619">
        <f t="shared" si="23"/>
        <v>0.84857460367858839</v>
      </c>
      <c r="Y151" s="619">
        <f t="shared" si="24"/>
        <v>0.83731092049437372</v>
      </c>
      <c r="Z151" s="532" t="str">
        <f t="shared" si="25"/>
        <v>Ensino superior**</v>
      </c>
      <c r="AN151" s="501"/>
      <c r="AO151" s="537"/>
      <c r="AP151" s="537"/>
      <c r="AQ151" s="537"/>
      <c r="AR151" s="537"/>
      <c r="AS151" s="537"/>
      <c r="AT151" s="537"/>
      <c r="AU151" s="537"/>
      <c r="AV151" s="537"/>
      <c r="AW151" s="537"/>
      <c r="AX151" s="537"/>
      <c r="AY151" s="537"/>
    </row>
    <row r="152" spans="1:51">
      <c r="C152" s="537"/>
      <c r="D152" s="537"/>
      <c r="E152" s="537"/>
      <c r="F152" s="537"/>
      <c r="G152" s="537"/>
      <c r="H152" s="537"/>
      <c r="I152" s="537"/>
      <c r="J152" s="537"/>
      <c r="K152" s="537"/>
      <c r="L152" s="537"/>
      <c r="M152" s="537"/>
      <c r="Q152" s="532" t="s">
        <v>13</v>
      </c>
      <c r="R152" s="542">
        <f>INDEX($B$212:$M$218,MATCH($Q$152,$B$212:$B$218,0),MATCH($P$146,$B$212:$M$212,0))</f>
        <v>1071.4000000000001</v>
      </c>
      <c r="S152" s="542">
        <f>INDEX($B$222:$M$228,MATCH($Q$152,$B$222:$B$228,0),MATCH($P$146,$B$222:$M$222,0))</f>
        <v>1260.92</v>
      </c>
      <c r="T152" s="542">
        <f>INDEX($B$232:$M$238,MATCH($Q$152,$B$232:$B$238,0),MATCH($P$146,$B$232:$M$232,0))</f>
        <v>775</v>
      </c>
      <c r="U152" s="542">
        <f>INDEX($B$242:$M$248,MATCH($Q$152,$B$242:$B$248,0),MATCH($P$146,$B$242:$M$242,0))</f>
        <v>930.01</v>
      </c>
      <c r="X152" s="619">
        <f t="shared" si="23"/>
        <v>0.84969704660089462</v>
      </c>
      <c r="Y152" s="619">
        <f t="shared" si="24"/>
        <v>0.83332437285620586</v>
      </c>
      <c r="Z152" s="532" t="str">
        <f t="shared" si="25"/>
        <v>Ignorado</v>
      </c>
      <c r="AN152" s="501"/>
      <c r="AO152" s="537"/>
      <c r="AP152" s="537"/>
      <c r="AQ152" s="537"/>
      <c r="AR152" s="537"/>
      <c r="AS152" s="537"/>
      <c r="AT152" s="537"/>
      <c r="AU152" s="537"/>
      <c r="AV152" s="537"/>
      <c r="AW152" s="537"/>
      <c r="AX152" s="537"/>
      <c r="AY152" s="537"/>
    </row>
    <row r="153" spans="1:51">
      <c r="C153" s="501">
        <f>+'q17'!$C$4</f>
        <v>2013</v>
      </c>
      <c r="D153" s="501">
        <f>+'q17'!$D$4</f>
        <v>2014</v>
      </c>
      <c r="E153" s="501">
        <f>+'q17'!$E$4</f>
        <v>2015</v>
      </c>
      <c r="F153" s="501">
        <f>+'q17'!$F$4</f>
        <v>2016</v>
      </c>
      <c r="G153" s="501">
        <f>+'q17'!$G$4</f>
        <v>2017</v>
      </c>
      <c r="H153" s="501">
        <f>+'q17'!$H$4</f>
        <v>2018</v>
      </c>
      <c r="I153" s="501">
        <f>+'q17'!$I$4</f>
        <v>2019</v>
      </c>
      <c r="J153" s="501">
        <f>+'q17'!$J$4</f>
        <v>2020</v>
      </c>
      <c r="K153" s="501">
        <f>+'q17'!$K$4</f>
        <v>2021</v>
      </c>
      <c r="L153" s="501">
        <f>+'q17'!$L$4</f>
        <v>2022</v>
      </c>
      <c r="M153" s="501">
        <f>+'q17'!$M$4</f>
        <v>2023</v>
      </c>
      <c r="Q153" s="532" t="s">
        <v>12</v>
      </c>
      <c r="R153" s="542">
        <f>INDEX($B$212:$M$218,MATCH($Q$153,$B$212:$B$218,0),MATCH($P$146,$B$212:$M$212,0))</f>
        <v>1219.8699999999999</v>
      </c>
      <c r="S153" s="542">
        <f>INDEX($B$222:$M$228,MATCH($Q$153,$B$222:$B$228,0),MATCH($P$146,$B$222:$M$222,0))</f>
        <v>1466.66</v>
      </c>
      <c r="T153" s="542">
        <f>INDEX($B$232:$M$238,MATCH($Q$153,$B$232:$B$238,0),MATCH($P$146,$B$232:$M$232,0))</f>
        <v>880</v>
      </c>
      <c r="U153" s="542">
        <f>INDEX($B$242:$M$248,MATCH($Q$153,$B$242:$B$248,0),MATCH($P$146,$B$242:$M$242,0))</f>
        <v>1100.17</v>
      </c>
      <c r="X153" s="619">
        <f t="shared" si="23"/>
        <v>0.83173332606057293</v>
      </c>
      <c r="Y153" s="619">
        <f t="shared" si="24"/>
        <v>0.79987638274084905</v>
      </c>
      <c r="AN153" s="501"/>
      <c r="AO153" s="537"/>
      <c r="AP153" s="537"/>
      <c r="AQ153" s="537"/>
      <c r="AR153" s="537"/>
      <c r="AS153" s="537"/>
      <c r="AT153" s="537"/>
      <c r="AU153" s="537"/>
      <c r="AV153" s="537"/>
      <c r="AW153" s="537"/>
      <c r="AX153" s="537"/>
      <c r="AY153" s="537"/>
    </row>
    <row r="154" spans="1:51">
      <c r="A154" s="540" t="s">
        <v>12</v>
      </c>
      <c r="B154" s="532" t="str">
        <f>+Aux!$B$107</f>
        <v>Quadros superiores</v>
      </c>
      <c r="C154" s="537">
        <f>+'q27'!$C$8</f>
        <v>2060.3200000000002</v>
      </c>
      <c r="D154" s="537">
        <f>+'q27'!$D$8</f>
        <v>2040.59</v>
      </c>
      <c r="E154" s="537">
        <f>+'q27'!$E$8</f>
        <v>2042.63</v>
      </c>
      <c r="F154" s="537">
        <f>+'q27'!$F$8</f>
        <v>2042.11</v>
      </c>
      <c r="G154" s="537">
        <f>+'q27'!$G$8</f>
        <v>2057.33</v>
      </c>
      <c r="H154" s="537">
        <f>+'q27'!$H$8</f>
        <v>2079.73</v>
      </c>
      <c r="I154" s="537">
        <f>+'q27'!$I$8</f>
        <v>2104.34</v>
      </c>
      <c r="J154" s="537">
        <f>+'q27'!$J$8</f>
        <v>2116.66</v>
      </c>
      <c r="K154" s="537">
        <f>+'q27'!$K$8</f>
        <v>2148.96</v>
      </c>
      <c r="L154" s="537">
        <f>+'q27'!$L$8</f>
        <v>2260.27</v>
      </c>
      <c r="M154" s="537">
        <f>+'q27'!$M$8</f>
        <v>2373.94</v>
      </c>
      <c r="N154" s="537"/>
      <c r="AN154" s="501"/>
      <c r="AO154" s="537"/>
      <c r="AP154" s="537"/>
      <c r="AQ154" s="537"/>
      <c r="AR154" s="537"/>
      <c r="AS154" s="537"/>
      <c r="AT154" s="537"/>
      <c r="AU154" s="537"/>
      <c r="AV154" s="537"/>
      <c r="AW154" s="537"/>
      <c r="AX154" s="537"/>
      <c r="AY154" s="537"/>
    </row>
    <row r="155" spans="1:51">
      <c r="B155" s="532" t="str">
        <f>+Aux!$B$108</f>
        <v>Quadros médios</v>
      </c>
      <c r="C155" s="537">
        <f>+'q27'!$C$11</f>
        <v>1425.22</v>
      </c>
      <c r="D155" s="537">
        <f>+'q27'!$D$11</f>
        <v>1411.9</v>
      </c>
      <c r="E155" s="537">
        <f>+'q27'!$E$11</f>
        <v>1422.35</v>
      </c>
      <c r="F155" s="537">
        <f>+'q27'!$F$11</f>
        <v>1428.87</v>
      </c>
      <c r="G155" s="537">
        <f>+'q27'!$G$11</f>
        <v>1439.33</v>
      </c>
      <c r="H155" s="537">
        <f>+'q27'!$H$11</f>
        <v>1460.73</v>
      </c>
      <c r="I155" s="537">
        <f>+'q27'!$I$11</f>
        <v>1484.6</v>
      </c>
      <c r="J155" s="537">
        <f>+'q27'!$J$11</f>
        <v>1490.62</v>
      </c>
      <c r="K155" s="537">
        <f>+'q27'!$K$11</f>
        <v>1519.56</v>
      </c>
      <c r="L155" s="537">
        <f>+'q27'!$L$11</f>
        <v>1620.26</v>
      </c>
      <c r="M155" s="537">
        <f>+'q27'!$M$11</f>
        <v>1735.82</v>
      </c>
      <c r="N155" s="537"/>
      <c r="P155" s="501" t="s">
        <v>396</v>
      </c>
      <c r="R155" s="532" t="s">
        <v>12</v>
      </c>
      <c r="S155" s="532" t="s">
        <v>390</v>
      </c>
      <c r="T155" s="532" t="s">
        <v>191</v>
      </c>
      <c r="U155" s="532" t="s">
        <v>196</v>
      </c>
      <c r="V155" s="532" t="s">
        <v>394</v>
      </c>
      <c r="W155" s="532" t="s">
        <v>13</v>
      </c>
      <c r="AN155" s="501"/>
      <c r="AO155" s="537"/>
      <c r="AP155" s="537"/>
      <c r="AQ155" s="537"/>
      <c r="AR155" s="537"/>
      <c r="AS155" s="537"/>
      <c r="AT155" s="537"/>
      <c r="AU155" s="537"/>
      <c r="AV155" s="537"/>
      <c r="AW155" s="537"/>
      <c r="AX155" s="537"/>
      <c r="AY155" s="537"/>
    </row>
    <row r="156" spans="1:51">
      <c r="B156" s="532" t="str">
        <f>+Aux!$B$109</f>
        <v>Encarregados, contramestres e chefes de equipa</v>
      </c>
      <c r="C156" s="537">
        <f>+'q27'!$C$14</f>
        <v>1278.81</v>
      </c>
      <c r="D156" s="537">
        <f>+'q27'!$D$14</f>
        <v>1286.72</v>
      </c>
      <c r="E156" s="537">
        <f>+'q27'!$E$14</f>
        <v>1298.54</v>
      </c>
      <c r="F156" s="537">
        <f>+'q27'!$F$14</f>
        <v>1318.37</v>
      </c>
      <c r="G156" s="537">
        <f>+'q27'!$G$14</f>
        <v>1335.53</v>
      </c>
      <c r="H156" s="537">
        <f>+'q27'!$H$14</f>
        <v>1356.05</v>
      </c>
      <c r="I156" s="537">
        <f>+'q27'!$I$14</f>
        <v>1405.33</v>
      </c>
      <c r="J156" s="537">
        <f>+'q27'!$J$14</f>
        <v>1444.54</v>
      </c>
      <c r="K156" s="537">
        <f>+'q27'!$K$14</f>
        <v>1489.21</v>
      </c>
      <c r="L156" s="537">
        <f>+'q27'!$L$14</f>
        <v>1561.37</v>
      </c>
      <c r="M156" s="537">
        <f>+'q27'!$M$14</f>
        <v>1651.96</v>
      </c>
      <c r="N156" s="537"/>
      <c r="Q156" s="501" t="s">
        <v>296</v>
      </c>
      <c r="R156" s="542">
        <f>INDEX($B$212:$M$218,MATCH($Q$153,$B$212:$B$218,0),MATCH($P$146,$B$212:$M$212,0))</f>
        <v>1219.8699999999999</v>
      </c>
      <c r="S156" s="542">
        <f>INDEX($B$212:$M$218,MATCH($Q$148,$B$212:$B$218,0),MATCH($P$146,$B$212:$M$212,0))</f>
        <v>821.44</v>
      </c>
      <c r="T156" s="542">
        <f>INDEX($B$212:$M$218,MATCH($Q$149,$B$212:$B$218,0),MATCH($P$146,$B$212:$M$212,0))</f>
        <v>927.83</v>
      </c>
      <c r="U156" s="542">
        <f>INDEX($B$212:$M$218,MATCH($Q$150,$B$212:$B$218,0),MATCH($P$146,$B$212:$M$212,0))</f>
        <v>1057.23</v>
      </c>
      <c r="V156" s="542">
        <f>INDEX($B$212:$M$218,MATCH($Q$151,$B$212:$B$218,0),MATCH($P$146,$B$212:$M$212,0))</f>
        <v>1870.81</v>
      </c>
      <c r="W156" s="542">
        <f>INDEX($B$212:$M$218,MATCH($Q$152,$B$212:$B$218,0),MATCH($P$146,$B$212:$M$212,0))</f>
        <v>1071.4000000000001</v>
      </c>
    </row>
    <row r="157" spans="1:51">
      <c r="B157" s="532" t="str">
        <f>+Aux!$B$110</f>
        <v>Profissionais altamente qualificados</v>
      </c>
      <c r="C157" s="537">
        <f>+'q27'!$C$17</f>
        <v>1156.99</v>
      </c>
      <c r="D157" s="537">
        <f>+'q27'!$D$17</f>
        <v>1139.3499999999999</v>
      </c>
      <c r="E157" s="537">
        <f>+'q27'!$E$17</f>
        <v>1149.42</v>
      </c>
      <c r="F157" s="537">
        <f>+'q27'!$F$17</f>
        <v>1144.23</v>
      </c>
      <c r="G157" s="537">
        <f>+'q27'!$G$17</f>
        <v>1150.46</v>
      </c>
      <c r="H157" s="537">
        <f>+'q27'!$H$17</f>
        <v>1170.1199999999999</v>
      </c>
      <c r="I157" s="537">
        <f>+'q27'!$I$17</f>
        <v>1165.3699999999999</v>
      </c>
      <c r="J157" s="537">
        <f>+'q27'!$J$17</f>
        <v>1182.19</v>
      </c>
      <c r="K157" s="537">
        <f>+'q27'!$K$17</f>
        <v>1197.56</v>
      </c>
      <c r="L157" s="537">
        <f>+'q27'!$L$17</f>
        <v>1245.69</v>
      </c>
      <c r="M157" s="537">
        <f>+'q27'!$M$17</f>
        <v>1334.45</v>
      </c>
      <c r="N157" s="537"/>
      <c r="Q157" s="501" t="s">
        <v>297</v>
      </c>
      <c r="R157" s="542">
        <f>INDEX($B$222:$M$228,MATCH($Q$153,$B$222:$B$228,0),MATCH($P$146,$B$222:$M$222,0))</f>
        <v>1466.66</v>
      </c>
      <c r="S157" s="542">
        <f>INDEX($B$222:$M$228,MATCH($Q$148,$B$222:$B$228,0),MATCH($P$146,$B$222:$M$222,0))</f>
        <v>968.17</v>
      </c>
      <c r="T157" s="542">
        <f>INDEX($B$222:$M$228,MATCH($Q$149,$B$222:$B$228,0),MATCH($P$146,$B$222:$M$222,0))</f>
        <v>1122.23</v>
      </c>
      <c r="U157" s="542">
        <f>INDEX($B$222:$M$228,MATCH($Q$150,$B$222:$B$228,0),MATCH($P$146,$B$222:$M$222,0))</f>
        <v>1297.5899999999999</v>
      </c>
      <c r="V157" s="542">
        <f>INDEX($B$222:$M$228,MATCH($Q$151,$B$222:$B$228,0),MATCH($P$146,$B$222:$M$222,0))</f>
        <v>2204.65</v>
      </c>
      <c r="W157" s="542">
        <f>INDEX($B$222:$M$228,MATCH($Q$152,$B$222:$B$228,0),MATCH($P$146,$B$222:$M$222,0))</f>
        <v>1260.92</v>
      </c>
    </row>
    <row r="158" spans="1:51">
      <c r="B158" s="532" t="str">
        <f>+Aux!$B$111</f>
        <v>Profissionais qualificados</v>
      </c>
      <c r="C158" s="537">
        <f>+'q27'!$C$20</f>
        <v>723.83</v>
      </c>
      <c r="D158" s="537">
        <f>+'q27'!$D$20</f>
        <v>725.06</v>
      </c>
      <c r="E158" s="537">
        <f>+'q27'!$E$20</f>
        <v>729.84</v>
      </c>
      <c r="F158" s="537">
        <f>+'q27'!$F$20</f>
        <v>737.74</v>
      </c>
      <c r="G158" s="537">
        <f>+'q27'!$G$20</f>
        <v>742.75</v>
      </c>
      <c r="H158" s="537">
        <f>+'q27'!$H$20</f>
        <v>765.76</v>
      </c>
      <c r="I158" s="537">
        <f>+'q27'!$I$20</f>
        <v>809.49</v>
      </c>
      <c r="J158" s="537">
        <f>+'q27'!$J$20</f>
        <v>837.73</v>
      </c>
      <c r="K158" s="537">
        <f>+'q27'!$K$20</f>
        <v>867.55</v>
      </c>
      <c r="L158" s="537">
        <f>+'q27'!$L$20</f>
        <v>914.26</v>
      </c>
      <c r="M158" s="537">
        <f>+'q27'!$M$20</f>
        <v>976.9</v>
      </c>
      <c r="N158" s="537"/>
    </row>
    <row r="159" spans="1:51">
      <c r="B159" s="532" t="str">
        <f>+Aux!$B$112</f>
        <v>Profissionais semi-qualificados</v>
      </c>
      <c r="C159" s="537">
        <f>+'q27'!$C$23</f>
        <v>588.35</v>
      </c>
      <c r="D159" s="537">
        <f>+'q27'!$D$23</f>
        <v>599.25</v>
      </c>
      <c r="E159" s="537">
        <f>+'q27'!$E$23</f>
        <v>599.55999999999995</v>
      </c>
      <c r="F159" s="537">
        <f>+'q27'!$F$23</f>
        <v>613.83000000000004</v>
      </c>
      <c r="G159" s="537">
        <f>+'q27'!$G$23</f>
        <v>645.88</v>
      </c>
      <c r="H159" s="537">
        <f>+'q27'!$H$23</f>
        <v>669.7</v>
      </c>
      <c r="I159" s="537">
        <f>+'q27'!$I$23</f>
        <v>697.76</v>
      </c>
      <c r="J159" s="537">
        <f>+'q27'!$J$23</f>
        <v>724.7</v>
      </c>
      <c r="K159" s="537">
        <f>+'q27'!$K$23</f>
        <v>762.49</v>
      </c>
      <c r="L159" s="537">
        <f>+'q27'!$L$23</f>
        <v>805.44</v>
      </c>
      <c r="M159" s="537">
        <f>+'q27'!$M$23</f>
        <v>852.76</v>
      </c>
      <c r="N159" s="537"/>
    </row>
    <row r="160" spans="1:51">
      <c r="B160" s="532" t="str">
        <f>+Aux!$B$113</f>
        <v>Profissionais não qualificados</v>
      </c>
      <c r="C160" s="537">
        <f>+'q27'!$C$26</f>
        <v>557.4</v>
      </c>
      <c r="D160" s="537">
        <f>+'q27'!$D$26</f>
        <v>566.11</v>
      </c>
      <c r="E160" s="537">
        <f>+'q27'!$E$26</f>
        <v>567.04</v>
      </c>
      <c r="F160" s="537">
        <f>+'q27'!$F$26</f>
        <v>583.67999999999995</v>
      </c>
      <c r="G160" s="537">
        <f>+'q27'!$G$26</f>
        <v>606.53</v>
      </c>
      <c r="H160" s="537">
        <f>+'q27'!$H$26</f>
        <v>627.78</v>
      </c>
      <c r="I160" s="537">
        <f>+'q27'!$I$26</f>
        <v>646.65</v>
      </c>
      <c r="J160" s="537">
        <f>+'q27'!$J$26</f>
        <v>680.49</v>
      </c>
      <c r="K160" s="537">
        <f>+'q27'!$K$26</f>
        <v>710.22</v>
      </c>
      <c r="L160" s="537">
        <f>+'q27'!$L$26</f>
        <v>746.19</v>
      </c>
      <c r="M160" s="537">
        <f>+'q27'!$M$26</f>
        <v>805.63</v>
      </c>
      <c r="N160" s="537"/>
      <c r="P160" s="501" t="s">
        <v>397</v>
      </c>
      <c r="R160" s="532" t="s">
        <v>12</v>
      </c>
      <c r="S160" s="532" t="s">
        <v>390</v>
      </c>
      <c r="T160" s="532" t="s">
        <v>191</v>
      </c>
      <c r="U160" s="532" t="s">
        <v>196</v>
      </c>
      <c r="V160" s="532" t="s">
        <v>394</v>
      </c>
      <c r="W160" s="532" t="s">
        <v>13</v>
      </c>
    </row>
    <row r="161" spans="1:33">
      <c r="B161" s="532" t="str">
        <f>+Aux!$B$114</f>
        <v>Praticantes e aprendizes</v>
      </c>
      <c r="C161" s="537">
        <f>+'q27'!$C$29</f>
        <v>552.87</v>
      </c>
      <c r="D161" s="537">
        <f>+'q27'!$D$29</f>
        <v>562.79</v>
      </c>
      <c r="E161" s="537">
        <f>+'q27'!$E$29</f>
        <v>563.92999999999995</v>
      </c>
      <c r="F161" s="537">
        <f>+'q27'!$F$29</f>
        <v>580.29999999999995</v>
      </c>
      <c r="G161" s="537">
        <f>+'q27'!$G$29</f>
        <v>605.47</v>
      </c>
      <c r="H161" s="537">
        <f>+'q27'!$H$29</f>
        <v>632.38</v>
      </c>
      <c r="I161" s="537">
        <f>+'q27'!$I$29</f>
        <v>656.07</v>
      </c>
      <c r="J161" s="537">
        <f>+'q27'!$J$29</f>
        <v>688.77</v>
      </c>
      <c r="K161" s="537">
        <f>+'q27'!$K$29</f>
        <v>722.49</v>
      </c>
      <c r="L161" s="537">
        <f>+'q27'!$L$29</f>
        <v>764.34</v>
      </c>
      <c r="M161" s="537">
        <f>+'q27'!$M$29</f>
        <v>824.83</v>
      </c>
      <c r="N161" s="537"/>
      <c r="Q161" s="501" t="s">
        <v>296</v>
      </c>
      <c r="R161" s="542">
        <f>INDEX($B$232:$M$238,MATCH($Q$153,$B$232:$B$238,0),MATCH($P$146,$B$232:$M$232,0))</f>
        <v>880</v>
      </c>
      <c r="S161" s="542">
        <f>INDEX($B$232:$M$238,MATCH($Q$148,$B$232:$B$238,0),MATCH($P$146,$B$232:$M$232,0))</f>
        <v>764</v>
      </c>
      <c r="T161" s="542">
        <f>INDEX($B$232:$M$238,MATCH($Q$149,$B$232:$B$238,0),MATCH($P$146,$B$232:$M$232,0))</f>
        <v>800</v>
      </c>
      <c r="U161" s="542">
        <f>INDEX($B$232:$M$238,MATCH($Q$150,$B$232:$B$238,0),MATCH($P$146,$B$232:$M$232,0))</f>
        <v>850</v>
      </c>
      <c r="V161" s="542">
        <f>INDEX($B$232:$M$238,MATCH($Q$151,$B$232:$B$238,0),MATCH($P$146,$B$232:$M$232,0))</f>
        <v>1452.5</v>
      </c>
      <c r="W161" s="542">
        <f>INDEX($B$232:$M$238,MATCH($Q$152,$B$232:$B$238,0),MATCH($P$146,$B$232:$M$232,0))</f>
        <v>775</v>
      </c>
    </row>
    <row r="162" spans="1:33">
      <c r="B162" s="532" t="str">
        <f>+Aux!$B$115</f>
        <v>Total</v>
      </c>
      <c r="C162" s="537">
        <f>+'q27'!$C$5</f>
        <v>912.18</v>
      </c>
      <c r="D162" s="537">
        <f>+'q27'!$D$5</f>
        <v>909.49</v>
      </c>
      <c r="E162" s="537">
        <f>+'q27'!$E$5</f>
        <v>913.93</v>
      </c>
      <c r="F162" s="537">
        <f>+'q27'!$F$5</f>
        <v>924.94</v>
      </c>
      <c r="G162" s="537">
        <f>+'q27'!$G$5</f>
        <v>943</v>
      </c>
      <c r="H162" s="537">
        <f>+'q27'!$H$5</f>
        <v>970.42</v>
      </c>
      <c r="I162" s="537">
        <f>+'q27'!$I$5</f>
        <v>1005.09</v>
      </c>
      <c r="J162" s="537">
        <f>+'q27'!$J$5</f>
        <v>1041.99</v>
      </c>
      <c r="K162" s="537">
        <f>+'q27'!$K$5</f>
        <v>1082.77</v>
      </c>
      <c r="L162" s="537">
        <f>+'q27'!$L$5</f>
        <v>1143.45</v>
      </c>
      <c r="M162" s="537">
        <f>+'q27'!$M$5</f>
        <v>1219.8699999999999</v>
      </c>
      <c r="Q162" s="501" t="s">
        <v>297</v>
      </c>
      <c r="R162" s="542">
        <f>INDEX($B$242:$M$248,MATCH($Q$153,$B$242:$B$248,0),MATCH($P$146,$B$242:$M$242,0))</f>
        <v>1100.17</v>
      </c>
      <c r="S162" s="542">
        <f>INDEX($B$242:$M$248,MATCH($Q$148,$B$242:$B$248,0),MATCH($P$146,$B$242:$M$242,0))</f>
        <v>893.11</v>
      </c>
      <c r="T162" s="542">
        <f>INDEX($B$242:$M$248,MATCH($Q$149,$B$242:$B$248,0),MATCH($P$146,$B$242:$M$242,0))</f>
        <v>964</v>
      </c>
      <c r="U162" s="542">
        <f>INDEX($B$242:$M$248,MATCH($Q$150,$B$242:$B$248,0),MATCH($P$146,$B$242:$M$242,0))</f>
        <v>1050.8</v>
      </c>
      <c r="V162" s="542">
        <f>INDEX($B$242:$M$248,MATCH($Q$151,$B$242:$B$248,0),MATCH($P$146,$B$242:$M$242,0))</f>
        <v>1734.72</v>
      </c>
      <c r="W162" s="542">
        <f>INDEX($B$242:$M$248,MATCH($Q$152,$B$242:$B$248,0),MATCH($P$146,$B$242:$M$242,0))</f>
        <v>930.01</v>
      </c>
    </row>
    <row r="164" spans="1:33">
      <c r="A164" s="539" t="s">
        <v>382</v>
      </c>
      <c r="C164" s="501">
        <f>+'q17'!$C$4</f>
        <v>2013</v>
      </c>
      <c r="D164" s="501">
        <f>+'q17'!$D$4</f>
        <v>2014</v>
      </c>
      <c r="E164" s="501">
        <f>+'q17'!$E$4</f>
        <v>2015</v>
      </c>
      <c r="F164" s="501">
        <f>+'q17'!$F$4</f>
        <v>2016</v>
      </c>
      <c r="G164" s="501">
        <f>+'q17'!$G$4</f>
        <v>2017</v>
      </c>
      <c r="H164" s="501">
        <f>+'q17'!$H$4</f>
        <v>2018</v>
      </c>
      <c r="I164" s="501">
        <f>+'q17'!$I$4</f>
        <v>2019</v>
      </c>
      <c r="J164" s="501">
        <f>+'q17'!$J$4</f>
        <v>2020</v>
      </c>
      <c r="K164" s="501">
        <f>+'q17'!$K$4</f>
        <v>2021</v>
      </c>
      <c r="L164" s="501">
        <f>+'q17'!$L$4</f>
        <v>2022</v>
      </c>
      <c r="M164" s="501">
        <f>+'q17'!$M$4</f>
        <v>2023</v>
      </c>
      <c r="Y164" s="532">
        <f>+P146</f>
        <v>2023</v>
      </c>
      <c r="Z164" s="532" t="s">
        <v>14</v>
      </c>
    </row>
    <row r="165" spans="1:33">
      <c r="A165" s="539" t="s">
        <v>116</v>
      </c>
      <c r="B165" s="532" t="str">
        <f>+Aux!$B$107</f>
        <v>Quadros superiores</v>
      </c>
      <c r="C165" s="537">
        <f>+'q38'!$C$9</f>
        <v>2716.13</v>
      </c>
      <c r="D165" s="537">
        <f>+'q38'!$D$9</f>
        <v>2704.73</v>
      </c>
      <c r="E165" s="537">
        <f>+'q38'!$E$9</f>
        <v>2709.33</v>
      </c>
      <c r="F165" s="537">
        <f>+'q38'!$F$9</f>
        <v>2707.71</v>
      </c>
      <c r="G165" s="537">
        <f>+'q38'!$G$9</f>
        <v>2735.76</v>
      </c>
      <c r="H165" s="537">
        <f>+'q38'!$H$9</f>
        <v>2778.56</v>
      </c>
      <c r="I165" s="537">
        <f>+'q38'!$I$9</f>
        <v>2793.19</v>
      </c>
      <c r="J165" s="537">
        <f>+'q38'!$J$9</f>
        <v>2791.22</v>
      </c>
      <c r="K165" s="537">
        <f>+'q38'!$K$9</f>
        <v>2823.58</v>
      </c>
      <c r="L165" s="537">
        <f>+'q38'!$L$9</f>
        <v>2978.02</v>
      </c>
      <c r="M165" s="537">
        <f>+'q38'!$M$9</f>
        <v>3162.63</v>
      </c>
      <c r="Y165" s="532" t="s">
        <v>469</v>
      </c>
      <c r="AA165" s="532" t="s">
        <v>470</v>
      </c>
      <c r="AD165" s="532" t="s">
        <v>471</v>
      </c>
      <c r="AF165" s="532" t="s">
        <v>472</v>
      </c>
    </row>
    <row r="166" spans="1:33">
      <c r="B166" s="532" t="str">
        <f>+Aux!$B$108</f>
        <v>Quadros médios</v>
      </c>
      <c r="C166" s="537">
        <f>+'q38'!$C$12</f>
        <v>1869.99</v>
      </c>
      <c r="D166" s="537">
        <f>+'q38'!$D$12</f>
        <v>1850.06</v>
      </c>
      <c r="E166" s="537">
        <f>+'q38'!$E$12</f>
        <v>1856.52</v>
      </c>
      <c r="F166" s="537">
        <f>+'q38'!$F$12</f>
        <v>1851.23</v>
      </c>
      <c r="G166" s="537">
        <f>+'q38'!$G$12</f>
        <v>1864.79</v>
      </c>
      <c r="H166" s="537">
        <f>+'q38'!$H$12</f>
        <v>1897.44</v>
      </c>
      <c r="I166" s="537">
        <f>+'q38'!$I$12</f>
        <v>1917.32</v>
      </c>
      <c r="J166" s="537">
        <f>+'q38'!$J$12</f>
        <v>1927.3</v>
      </c>
      <c r="K166" s="537">
        <f>+'q38'!$K$12</f>
        <v>1953.25</v>
      </c>
      <c r="L166" s="537">
        <f>+'q38'!$L$12</f>
        <v>2087.2800000000002</v>
      </c>
      <c r="M166" s="537">
        <f>+'q38'!$M$12</f>
        <v>2243.9499999999998</v>
      </c>
      <c r="Y166" s="564" t="str">
        <f>TEXT($X$153,"##.###,0%")</f>
        <v>83,2%</v>
      </c>
      <c r="AA166" s="564" t="s">
        <v>465</v>
      </c>
      <c r="AD166" s="564" t="str">
        <f>TEXT($Y$153,"##.###,0%")</f>
        <v>80,0%</v>
      </c>
      <c r="AF166" s="564" t="s">
        <v>465</v>
      </c>
    </row>
    <row r="167" spans="1:33">
      <c r="B167" s="532" t="str">
        <f>+Aux!$B$109</f>
        <v>Encarregados, contramestres e chefes de equipa</v>
      </c>
      <c r="C167" s="537">
        <f>+'q38'!$C$15</f>
        <v>1575.83</v>
      </c>
      <c r="D167" s="537">
        <f>+'q38'!$D$15</f>
        <v>1582.61</v>
      </c>
      <c r="E167" s="537">
        <f>+'q38'!$E$15</f>
        <v>1597.88</v>
      </c>
      <c r="F167" s="537">
        <f>+'q38'!$F$15</f>
        <v>1631.39</v>
      </c>
      <c r="G167" s="537">
        <f>+'q38'!$G$15</f>
        <v>1660.87</v>
      </c>
      <c r="H167" s="537">
        <f>+'q38'!$H$15</f>
        <v>1699.76</v>
      </c>
      <c r="I167" s="537">
        <f>+'q38'!$I$15</f>
        <v>1753.78</v>
      </c>
      <c r="J167" s="537">
        <f>+'q38'!$J$15</f>
        <v>1799.22</v>
      </c>
      <c r="K167" s="537">
        <f>+'q38'!$K$15</f>
        <v>1852.51</v>
      </c>
      <c r="L167" s="537">
        <f>+'q38'!$L$15</f>
        <v>1948.92</v>
      </c>
      <c r="M167" s="537">
        <f>+'q38'!$M$15</f>
        <v>2066.9499999999998</v>
      </c>
      <c r="Y167" s="532" t="s">
        <v>510</v>
      </c>
      <c r="AA167" s="564">
        <f>+SMALL($S$148:$S$152,1)</f>
        <v>968.17</v>
      </c>
      <c r="AB167" s="532" t="str">
        <f>+TEXT(AA167,"##.### €")</f>
        <v>968 €</v>
      </c>
      <c r="AD167" s="532" t="s">
        <v>510</v>
      </c>
      <c r="AF167" s="564">
        <f>+SMALL($U$148:$U$152,1)</f>
        <v>893.11</v>
      </c>
      <c r="AG167" s="532" t="str">
        <f>+TEXT(AF167,"##.### €")</f>
        <v>893 €</v>
      </c>
    </row>
    <row r="168" spans="1:33">
      <c r="B168" s="532" t="str">
        <f>+Aux!$B$110</f>
        <v>Profissionais altamente qualificados</v>
      </c>
      <c r="C168" s="537">
        <f>+'q38'!$C$18</f>
        <v>1568.9</v>
      </c>
      <c r="D168" s="537">
        <f>+'q38'!$D$18</f>
        <v>1548.14</v>
      </c>
      <c r="E168" s="537">
        <f>+'q38'!$E$18</f>
        <v>1572.9</v>
      </c>
      <c r="F168" s="537">
        <f>+'q38'!$F$18</f>
        <v>1572.6</v>
      </c>
      <c r="G168" s="537">
        <f>+'q38'!$G$18</f>
        <v>1584.64</v>
      </c>
      <c r="H168" s="537">
        <f>+'q38'!$H$18</f>
        <v>1610.47</v>
      </c>
      <c r="I168" s="537">
        <f>+'q38'!$I$18</f>
        <v>1589.57</v>
      </c>
      <c r="J168" s="537">
        <f>+'q38'!$J$18</f>
        <v>1610.33</v>
      </c>
      <c r="K168" s="537">
        <f>+'q38'!$K$18</f>
        <v>1629.33</v>
      </c>
      <c r="L168" s="537">
        <f>+'q38'!$L$18</f>
        <v>1696.32</v>
      </c>
      <c r="M168" s="537">
        <f>+'q38'!$M$18</f>
        <v>1817.72</v>
      </c>
      <c r="P168" s="552"/>
      <c r="Q168" s="552"/>
      <c r="R168" s="552"/>
      <c r="S168" s="552"/>
      <c r="T168" s="552"/>
      <c r="U168" s="552"/>
      <c r="V168" s="552"/>
      <c r="W168" s="552"/>
      <c r="X168" s="552"/>
      <c r="Y168" s="532">
        <f>+SMALL($R$148:$R$152,1)</f>
        <v>821.44</v>
      </c>
      <c r="Z168" s="532" t="str">
        <f>+TEXT(Y168,"##.### €")</f>
        <v>821 €</v>
      </c>
      <c r="AB168" s="552"/>
      <c r="AD168" s="532">
        <f>+SMALL($T$148:$T$152,1)</f>
        <v>764</v>
      </c>
      <c r="AE168" s="532" t="str">
        <f>+TEXT(AD168,"##.### €")</f>
        <v>764 €</v>
      </c>
      <c r="AG168" s="552"/>
    </row>
    <row r="169" spans="1:33">
      <c r="B169" s="532" t="str">
        <f>+Aux!$B$111</f>
        <v>Profissionais qualificados</v>
      </c>
      <c r="C169" s="537">
        <f>+'q38'!$C$21</f>
        <v>938.24</v>
      </c>
      <c r="D169" s="537">
        <f>+'q38'!$D$21</f>
        <v>942.04</v>
      </c>
      <c r="E169" s="537">
        <f>+'q38'!$E$21</f>
        <v>952.22</v>
      </c>
      <c r="F169" s="537">
        <f>+'q38'!$F$21</f>
        <v>959.35</v>
      </c>
      <c r="G169" s="537">
        <f>+'q38'!$G$21</f>
        <v>967.68</v>
      </c>
      <c r="H169" s="537">
        <f>+'q38'!$H$21</f>
        <v>999.9</v>
      </c>
      <c r="I169" s="537">
        <f>+'q38'!$I$21</f>
        <v>1049.6400000000001</v>
      </c>
      <c r="J169" s="537">
        <f>+'q38'!$J$21</f>
        <v>1076.96</v>
      </c>
      <c r="K169" s="537">
        <f>+'q38'!$K$21</f>
        <v>1111.47</v>
      </c>
      <c r="L169" s="537">
        <f>+'q38'!$L$21</f>
        <v>1170.18</v>
      </c>
      <c r="M169" s="537">
        <f>+'q38'!$M$21</f>
        <v>1254.57</v>
      </c>
      <c r="P169" s="552"/>
      <c r="Q169" s="552"/>
      <c r="R169" s="552"/>
      <c r="S169" s="552"/>
      <c r="T169" s="552"/>
      <c r="U169" s="552"/>
      <c r="V169" s="552"/>
      <c r="W169" s="552"/>
      <c r="X169" s="552"/>
      <c r="Y169" s="532" t="s">
        <v>511</v>
      </c>
      <c r="AA169" s="532" t="s">
        <v>466</v>
      </c>
      <c r="AB169" s="552"/>
      <c r="AD169" s="532" t="s">
        <v>511</v>
      </c>
      <c r="AF169" s="532" t="s">
        <v>466</v>
      </c>
      <c r="AG169" s="552"/>
    </row>
    <row r="170" spans="1:33">
      <c r="B170" s="532" t="str">
        <f>+Aux!$B$112</f>
        <v>Profissionais semi-qualificados</v>
      </c>
      <c r="C170" s="537">
        <f>+'q38'!$C$24</f>
        <v>784.03</v>
      </c>
      <c r="D170" s="537">
        <f>+'q38'!$D$24</f>
        <v>796.15</v>
      </c>
      <c r="E170" s="537">
        <f>+'q38'!$E$24</f>
        <v>780.11</v>
      </c>
      <c r="F170" s="537">
        <f>+'q38'!$F$24</f>
        <v>793.47</v>
      </c>
      <c r="G170" s="537">
        <f>+'q38'!$G$24</f>
        <v>841.11</v>
      </c>
      <c r="H170" s="537">
        <f>+'q38'!$H$24</f>
        <v>876.25</v>
      </c>
      <c r="I170" s="537">
        <f>+'q38'!$I$24</f>
        <v>915.74</v>
      </c>
      <c r="J170" s="537">
        <f>+'q38'!$J$24</f>
        <v>944.01</v>
      </c>
      <c r="K170" s="537">
        <f>+'q38'!$K$24</f>
        <v>987.75</v>
      </c>
      <c r="L170" s="537">
        <f>+'q38'!$L$24</f>
        <v>1039.5</v>
      </c>
      <c r="M170" s="537">
        <f>+'q38'!$M$24</f>
        <v>1097.93</v>
      </c>
      <c r="P170" s="552"/>
      <c r="Q170" s="552"/>
      <c r="R170" s="552"/>
      <c r="S170" s="552"/>
      <c r="T170" s="552"/>
      <c r="U170" s="552"/>
      <c r="V170" s="552"/>
      <c r="W170" s="552"/>
      <c r="X170" s="552"/>
      <c r="Y170" s="564" t="str">
        <f>+VLOOKUP(Y168,$R$147:$Z$152,COLUMN($Z$147)-17,0)</f>
        <v>&lt; 1.º ciclo do ensino básico</v>
      </c>
      <c r="AA170" s="564">
        <f>+LARGE($S$148:$S$152,1)</f>
        <v>2204.65</v>
      </c>
      <c r="AB170" s="532" t="str">
        <f>+TEXT(AA170,"##.### €")</f>
        <v>2.205 €</v>
      </c>
      <c r="AD170" s="564" t="str">
        <f>+VLOOKUP(AD168,$T$147:$Z$152,COLUMN($Z$147)-19,0)</f>
        <v>&lt; 1.º ciclo do ensino básico</v>
      </c>
      <c r="AF170" s="564">
        <f>+LARGE($U$148:$U$152,1)</f>
        <v>1734.72</v>
      </c>
      <c r="AG170" s="532" t="str">
        <f>+TEXT(AF170,"##.### €")</f>
        <v>1.735 €</v>
      </c>
    </row>
    <row r="171" spans="1:33">
      <c r="B171" s="532" t="str">
        <f>+Aux!$B$113</f>
        <v>Profissionais não qualificados</v>
      </c>
      <c r="C171" s="537">
        <f>+'q38'!$C$27</f>
        <v>710.28</v>
      </c>
      <c r="D171" s="537">
        <f>+'q38'!$D$27</f>
        <v>718.39</v>
      </c>
      <c r="E171" s="537">
        <f>+'q38'!$E$27</f>
        <v>725.24</v>
      </c>
      <c r="F171" s="537">
        <f>+'q38'!$F$27</f>
        <v>734.37</v>
      </c>
      <c r="G171" s="537">
        <f>+'q38'!$G$27</f>
        <v>760.16</v>
      </c>
      <c r="H171" s="537">
        <f>+'q38'!$H$27</f>
        <v>788.9</v>
      </c>
      <c r="I171" s="537">
        <f>+'q38'!$I$27</f>
        <v>809.64</v>
      </c>
      <c r="J171" s="537">
        <f>+'q38'!$J$27</f>
        <v>841.62</v>
      </c>
      <c r="K171" s="537">
        <f>+'q38'!$K$27</f>
        <v>875.97</v>
      </c>
      <c r="L171" s="537">
        <f>+'q38'!$L$27</f>
        <v>916.09</v>
      </c>
      <c r="M171" s="537">
        <f>+'q38'!$M$27</f>
        <v>985.99</v>
      </c>
      <c r="P171" s="552"/>
      <c r="Q171" s="552"/>
      <c r="R171" s="552"/>
      <c r="S171" s="552"/>
      <c r="T171" s="552"/>
      <c r="U171" s="552"/>
      <c r="V171" s="552"/>
      <c r="W171" s="552"/>
      <c r="X171" s="552"/>
      <c r="Y171" s="532" t="s">
        <v>463</v>
      </c>
      <c r="AA171" s="532" t="s">
        <v>522</v>
      </c>
      <c r="AB171" s="552"/>
      <c r="AD171" s="532" t="s">
        <v>463</v>
      </c>
      <c r="AF171" s="532" t="s">
        <v>522</v>
      </c>
      <c r="AG171" s="552"/>
    </row>
    <row r="172" spans="1:33">
      <c r="B172" s="532" t="str">
        <f>+Aux!$B$114</f>
        <v>Praticantes e aprendizes</v>
      </c>
      <c r="C172" s="537">
        <f>+'q38'!$C$30</f>
        <v>688.15</v>
      </c>
      <c r="D172" s="537">
        <f>+'q38'!$D$30</f>
        <v>692.79</v>
      </c>
      <c r="E172" s="537">
        <f>+'q38'!$E$30</f>
        <v>693.71</v>
      </c>
      <c r="F172" s="537">
        <f>+'q38'!$F$30</f>
        <v>705.06</v>
      </c>
      <c r="G172" s="537">
        <f>+'q38'!$G$30</f>
        <v>741.7</v>
      </c>
      <c r="H172" s="537">
        <f>+'q38'!$H$30</f>
        <v>776.13</v>
      </c>
      <c r="I172" s="537">
        <f>+'q38'!$I$30</f>
        <v>806.73</v>
      </c>
      <c r="J172" s="537">
        <f>+'q38'!$J$30</f>
        <v>837.55</v>
      </c>
      <c r="K172" s="537">
        <f>+'q38'!$K$30</f>
        <v>872.98</v>
      </c>
      <c r="L172" s="537">
        <f>+'q38'!$L$30</f>
        <v>921.18</v>
      </c>
      <c r="M172" s="537">
        <f>+'q38'!$M$30</f>
        <v>997.54</v>
      </c>
      <c r="Y172" s="532">
        <f>+LARGE(R148:R152,1)</f>
        <v>1870.81</v>
      </c>
      <c r="Z172" s="532" t="str">
        <f>+TEXT(Y172,"##.### €")</f>
        <v>1.871 €</v>
      </c>
      <c r="AD172" s="532">
        <f>+LARGE($T$148:$T$152,1)</f>
        <v>1452.5</v>
      </c>
      <c r="AE172" s="532" t="str">
        <f>+TEXT(AD172,"##.### €")</f>
        <v>1.453 €</v>
      </c>
    </row>
    <row r="173" spans="1:33">
      <c r="B173" s="532" t="str">
        <f>+Aux!$B$115</f>
        <v>Total</v>
      </c>
      <c r="C173" s="537">
        <f>+'q38'!$C$6</f>
        <v>1209.21</v>
      </c>
      <c r="D173" s="537">
        <f>+'q38'!$D$6</f>
        <v>1203.32</v>
      </c>
      <c r="E173" s="537">
        <f>+'q38'!$E$6</f>
        <v>1207.76</v>
      </c>
      <c r="F173" s="537">
        <f>+'q38'!$F$6</f>
        <v>1215.1099999999999</v>
      </c>
      <c r="G173" s="537">
        <f>+'q38'!$G$6</f>
        <v>1236.8499999999999</v>
      </c>
      <c r="H173" s="537">
        <f>+'q38'!$H$6</f>
        <v>1273.99</v>
      </c>
      <c r="I173" s="537">
        <f>+'q38'!$I$6</f>
        <v>1312.43</v>
      </c>
      <c r="J173" s="537">
        <f>+'q38'!$J$6</f>
        <v>1349.35</v>
      </c>
      <c r="K173" s="537">
        <f>+'q38'!$K$6</f>
        <v>1395.7</v>
      </c>
      <c r="L173" s="537">
        <f>+'q38'!$L$6</f>
        <v>1476.2</v>
      </c>
      <c r="M173" s="537">
        <f>+'q38'!$M$6</f>
        <v>1577.33</v>
      </c>
      <c r="P173" s="537"/>
      <c r="Y173" s="532" t="s">
        <v>511</v>
      </c>
      <c r="AD173" s="532" t="s">
        <v>511</v>
      </c>
    </row>
    <row r="174" spans="1:33">
      <c r="Y174" s="564" t="str">
        <f>+VLOOKUP(Y172,$R$147:$Z$152,COLUMN($Z$147)-17,0)</f>
        <v>Ensino superior**</v>
      </c>
      <c r="Z174" s="532" t="s">
        <v>442</v>
      </c>
      <c r="AD174" s="564" t="str">
        <f>+VLOOKUP(AD172,$T$147:$Z$152,COLUMN($Z$147)-19,0)</f>
        <v>Ensino superior**</v>
      </c>
      <c r="AE174" s="532" t="s">
        <v>442</v>
      </c>
    </row>
    <row r="175" spans="1:33">
      <c r="C175" s="501">
        <f>+'q17'!$C$4</f>
        <v>2013</v>
      </c>
      <c r="D175" s="501">
        <f>+'q17'!$D$4</f>
        <v>2014</v>
      </c>
      <c r="E175" s="501">
        <f>+'q17'!$E$4</f>
        <v>2015</v>
      </c>
      <c r="F175" s="501">
        <f>+'q17'!$F$4</f>
        <v>2016</v>
      </c>
      <c r="G175" s="501">
        <f>+'q17'!$G$4</f>
        <v>2017</v>
      </c>
      <c r="H175" s="501">
        <f>+'q17'!$H$4</f>
        <v>2018</v>
      </c>
      <c r="I175" s="501">
        <f>+'q17'!$I$4</f>
        <v>2019</v>
      </c>
      <c r="J175" s="501">
        <f>+'q17'!$J$4</f>
        <v>2020</v>
      </c>
      <c r="K175" s="501">
        <f>+'q17'!$K$4</f>
        <v>2021</v>
      </c>
      <c r="L175" s="501">
        <f>+'q17'!$L$4</f>
        <v>2022</v>
      </c>
      <c r="M175" s="501">
        <f>+'q17'!$M$4</f>
        <v>2023</v>
      </c>
    </row>
    <row r="176" spans="1:33">
      <c r="A176" s="539" t="s">
        <v>117</v>
      </c>
      <c r="B176" s="532" t="str">
        <f>+Aux!$B$107</f>
        <v>Quadros superiores</v>
      </c>
      <c r="C176" s="537">
        <f>+'q38'!$C$10</f>
        <v>1959.34</v>
      </c>
      <c r="D176" s="537">
        <f>+'q38'!$D$10</f>
        <v>1951.13</v>
      </c>
      <c r="E176" s="537">
        <f>+'q38'!$E$10</f>
        <v>1954.51</v>
      </c>
      <c r="F176" s="537">
        <f>+'q38'!$F$10</f>
        <v>1958.78</v>
      </c>
      <c r="G176" s="537">
        <f>+'q38'!$G$10</f>
        <v>1980.48</v>
      </c>
      <c r="H176" s="537">
        <f>+'q38'!$H$10</f>
        <v>2020.57</v>
      </c>
      <c r="I176" s="537">
        <f>+'q38'!$I$10</f>
        <v>2054.39</v>
      </c>
      <c r="J176" s="537">
        <f>+'q38'!$J$10</f>
        <v>2088.9699999999998</v>
      </c>
      <c r="K176" s="537">
        <f>+'q38'!$K$10</f>
        <v>2122.5500000000002</v>
      </c>
      <c r="L176" s="537">
        <f>+'q38'!$L$10</f>
        <v>2217.06</v>
      </c>
      <c r="M176" s="537">
        <f>+'q38'!$M$10</f>
        <v>2323.69</v>
      </c>
    </row>
    <row r="177" spans="1:37">
      <c r="B177" s="532" t="str">
        <f>+Aux!$B$108</f>
        <v>Quadros médios</v>
      </c>
      <c r="C177" s="537">
        <f>+'q38'!$C$13</f>
        <v>1528.14</v>
      </c>
      <c r="D177" s="537">
        <f>+'q38'!$D$13</f>
        <v>1523.64</v>
      </c>
      <c r="E177" s="537">
        <f>+'q38'!$E$13</f>
        <v>1532.07</v>
      </c>
      <c r="F177" s="537">
        <f>+'q38'!$F$13</f>
        <v>1542.53</v>
      </c>
      <c r="G177" s="537">
        <f>+'q38'!$G$13</f>
        <v>1559.89</v>
      </c>
      <c r="H177" s="537">
        <f>+'q38'!$H$13</f>
        <v>1596.09</v>
      </c>
      <c r="I177" s="537">
        <f>+'q38'!$I$13</f>
        <v>1621.86</v>
      </c>
      <c r="J177" s="537">
        <f>+'q38'!$J$13</f>
        <v>1631.51</v>
      </c>
      <c r="K177" s="537">
        <f>+'q38'!$K$13</f>
        <v>1651.81</v>
      </c>
      <c r="L177" s="537">
        <f>+'q38'!$L$13</f>
        <v>1745.69</v>
      </c>
      <c r="M177" s="537">
        <f>+'q38'!$M$13</f>
        <v>1876.78</v>
      </c>
      <c r="AA177" s="775" t="str">
        <f>CONCATENATE(Y164," - ",Z164,":",CHAR(10),Y165," ",Y166,Y167," ",Z168,Y169,Y170,Y171," ",Z172,Y173,Y174,Z174,CHAR(10),AA165,AA166," ",AB167,AA168," ",AA169," ",AB170,AA171)</f>
        <v>2023 - Continente:
Base média: 83,2% do Ganho, entre 821 € (&lt; 1.º ciclo do ensino básico) e  1.871 € (Ensino superior**).
Ganho médio:Entre 968 € e 2.205 €, nos mesmos níveis de habilitação, respetivamente.</v>
      </c>
      <c r="AB177" s="775"/>
      <c r="AC177" s="775"/>
      <c r="AD177" s="775"/>
      <c r="AE177" s="775"/>
      <c r="AG177" s="775" t="str">
        <f>+CONCATENATE(Y164," - ",Z164,":",CHAR(10),AD165," ",AD166,AD167," ",AE168,AD169,AD170,AD171," ",AE172,AD173,AD174,AE174,CHAR(10),AF165," ",AF166," ",AG167,AF168," ",AF169," ",AG170,AF171)</f>
        <v>2023 - Continente:
Base mediana: 80,0% do Ganho, entre 764 € (&lt; 1.º ciclo do ensino básico) e  1.453 € (Ensino superior**).
Ganho mediano: Entre 893 € e 1.735 €, nos mesmos níveis de habilitação, respetivamente.</v>
      </c>
      <c r="AH177" s="775"/>
      <c r="AI177" s="775"/>
      <c r="AJ177" s="775"/>
      <c r="AK177" s="775"/>
    </row>
    <row r="178" spans="1:37">
      <c r="B178" s="532" t="str">
        <f>+Aux!$B$109</f>
        <v>Encarregados, contramestres e chefes de equipa</v>
      </c>
      <c r="C178" s="537">
        <f>+'q38'!$C$16</f>
        <v>1417.42</v>
      </c>
      <c r="D178" s="537">
        <f>+'q38'!$D$16</f>
        <v>1422.69</v>
      </c>
      <c r="E178" s="537">
        <f>+'q38'!$E$16</f>
        <v>1433.86</v>
      </c>
      <c r="F178" s="537">
        <f>+'q38'!$F$16</f>
        <v>1461.62</v>
      </c>
      <c r="G178" s="537">
        <f>+'q38'!$G$16</f>
        <v>1504.83</v>
      </c>
      <c r="H178" s="537">
        <f>+'q38'!$H$16</f>
        <v>1522.83</v>
      </c>
      <c r="I178" s="537">
        <f>+'q38'!$I$16</f>
        <v>1577.75</v>
      </c>
      <c r="J178" s="537">
        <f>+'q38'!$J$16</f>
        <v>1616.78</v>
      </c>
      <c r="K178" s="537">
        <f>+'q38'!$K$16</f>
        <v>1667.24</v>
      </c>
      <c r="L178" s="537">
        <f>+'q38'!$L$16</f>
        <v>1762.74</v>
      </c>
      <c r="M178" s="537">
        <f>+'q38'!$M$16</f>
        <v>1874.53</v>
      </c>
      <c r="AA178" s="775"/>
      <c r="AB178" s="775"/>
      <c r="AC178" s="775"/>
      <c r="AD178" s="775"/>
      <c r="AE178" s="775"/>
      <c r="AG178" s="775"/>
      <c r="AH178" s="775"/>
      <c r="AI178" s="775"/>
      <c r="AJ178" s="775"/>
      <c r="AK178" s="775"/>
    </row>
    <row r="179" spans="1:37">
      <c r="B179" s="532" t="str">
        <f>+Aux!$B$110</f>
        <v>Profissionais altamente qualificados</v>
      </c>
      <c r="C179" s="537">
        <f>+'q38'!$C$19</f>
        <v>1261.42</v>
      </c>
      <c r="D179" s="537">
        <f>+'q38'!$D$19</f>
        <v>1257.99</v>
      </c>
      <c r="E179" s="537">
        <f>+'q38'!$E$19</f>
        <v>1254.3499999999999</v>
      </c>
      <c r="F179" s="537">
        <f>+'q38'!$F$19</f>
        <v>1239</v>
      </c>
      <c r="G179" s="537">
        <f>+'q38'!$G$19</f>
        <v>1248.8800000000001</v>
      </c>
      <c r="H179" s="537">
        <f>+'q38'!$H$19</f>
        <v>1273.29</v>
      </c>
      <c r="I179" s="537">
        <f>+'q38'!$I$19</f>
        <v>1273.3800000000001</v>
      </c>
      <c r="J179" s="537">
        <f>+'q38'!$J$19</f>
        <v>1284.77</v>
      </c>
      <c r="K179" s="537">
        <f>+'q38'!$K$19</f>
        <v>1299.05</v>
      </c>
      <c r="L179" s="537">
        <f>+'q38'!$L$19</f>
        <v>1355.27</v>
      </c>
      <c r="M179" s="537">
        <f>+'q38'!$M$19</f>
        <v>1471.6</v>
      </c>
      <c r="AA179" s="775"/>
      <c r="AB179" s="775"/>
      <c r="AC179" s="775"/>
      <c r="AD179" s="775"/>
      <c r="AE179" s="775"/>
      <c r="AG179" s="775"/>
      <c r="AH179" s="775"/>
      <c r="AI179" s="775"/>
      <c r="AJ179" s="775"/>
      <c r="AK179" s="775"/>
    </row>
    <row r="180" spans="1:37">
      <c r="B180" s="532" t="str">
        <f>+Aux!$B$111</f>
        <v>Profissionais qualificados</v>
      </c>
      <c r="C180" s="537">
        <f>+'q38'!$C$22</f>
        <v>804.16</v>
      </c>
      <c r="D180" s="537">
        <f>+'q38'!$D$22</f>
        <v>809.38</v>
      </c>
      <c r="E180" s="537">
        <f>+'q38'!$E$22</f>
        <v>808.86</v>
      </c>
      <c r="F180" s="537">
        <f>+'q38'!$F$22</f>
        <v>817.35</v>
      </c>
      <c r="G180" s="537">
        <f>+'q38'!$G$22</f>
        <v>826.04</v>
      </c>
      <c r="H180" s="537">
        <f>+'q38'!$H$22</f>
        <v>852.62</v>
      </c>
      <c r="I180" s="537">
        <f>+'q38'!$I$22</f>
        <v>904.67</v>
      </c>
      <c r="J180" s="537">
        <f>+'q38'!$J$22</f>
        <v>938.34</v>
      </c>
      <c r="K180" s="537">
        <f>+'q38'!$K$22</f>
        <v>966.28</v>
      </c>
      <c r="L180" s="537">
        <f>+'q38'!$L$22</f>
        <v>1025</v>
      </c>
      <c r="M180" s="537">
        <f>+'q38'!$M$22</f>
        <v>1105.1600000000001</v>
      </c>
      <c r="AA180" s="775"/>
      <c r="AB180" s="775"/>
      <c r="AC180" s="775"/>
      <c r="AD180" s="775"/>
      <c r="AE180" s="775"/>
      <c r="AG180" s="775"/>
      <c r="AH180" s="775"/>
      <c r="AI180" s="775"/>
      <c r="AJ180" s="775"/>
      <c r="AK180" s="775"/>
    </row>
    <row r="181" spans="1:37">
      <c r="B181" s="532" t="str">
        <f>+Aux!$B$112</f>
        <v>Profissionais semi-qualificados</v>
      </c>
      <c r="C181" s="537">
        <f>+'q38'!$C$25</f>
        <v>654.6</v>
      </c>
      <c r="D181" s="537">
        <f>+'q38'!$D$25</f>
        <v>665.11</v>
      </c>
      <c r="E181" s="537">
        <f>+'q38'!$E$25</f>
        <v>668.41</v>
      </c>
      <c r="F181" s="537">
        <f>+'q38'!$F$25</f>
        <v>684.5</v>
      </c>
      <c r="G181" s="537">
        <f>+'q38'!$G$25</f>
        <v>720.6</v>
      </c>
      <c r="H181" s="537">
        <f>+'q38'!$H$25</f>
        <v>748.16</v>
      </c>
      <c r="I181" s="537">
        <f>+'q38'!$I$25</f>
        <v>783.48</v>
      </c>
      <c r="J181" s="537">
        <f>+'q38'!$J$25</f>
        <v>815.2</v>
      </c>
      <c r="K181" s="537">
        <f>+'q38'!$K$25</f>
        <v>852.28</v>
      </c>
      <c r="L181" s="537">
        <f>+'q38'!$L$25</f>
        <v>901.44</v>
      </c>
      <c r="M181" s="537">
        <f>+'q38'!$M$25</f>
        <v>969.55</v>
      </c>
      <c r="AA181" s="775"/>
      <c r="AB181" s="775"/>
      <c r="AC181" s="775"/>
      <c r="AD181" s="775"/>
      <c r="AE181" s="775"/>
      <c r="AG181" s="775"/>
      <c r="AH181" s="775"/>
      <c r="AI181" s="775"/>
      <c r="AJ181" s="775"/>
      <c r="AK181" s="775"/>
    </row>
    <row r="182" spans="1:37">
      <c r="B182" s="532" t="str">
        <f>+Aux!$B$113</f>
        <v>Profissionais não qualificados</v>
      </c>
      <c r="C182" s="537">
        <f>+'q38'!$C$28</f>
        <v>600.23</v>
      </c>
      <c r="D182" s="537">
        <f>+'q38'!$D$28</f>
        <v>613.38</v>
      </c>
      <c r="E182" s="537">
        <f>+'q38'!$E$28</f>
        <v>617.4</v>
      </c>
      <c r="F182" s="537">
        <f>+'q38'!$F$28</f>
        <v>638.89</v>
      </c>
      <c r="G182" s="537">
        <f>+'q38'!$G$28</f>
        <v>670.42</v>
      </c>
      <c r="H182" s="537">
        <f>+'q38'!$H$28</f>
        <v>697.79</v>
      </c>
      <c r="I182" s="537">
        <f>+'q38'!$I$28</f>
        <v>722.65</v>
      </c>
      <c r="J182" s="537">
        <f>+'q38'!$J$28</f>
        <v>757.86</v>
      </c>
      <c r="K182" s="537">
        <f>+'q38'!$K$28</f>
        <v>791.4</v>
      </c>
      <c r="L182" s="537">
        <f>+'q38'!$L$28</f>
        <v>837.38</v>
      </c>
      <c r="M182" s="537">
        <f>+'q38'!$M$28</f>
        <v>902.36</v>
      </c>
      <c r="AA182" s="775"/>
      <c r="AB182" s="775"/>
      <c r="AC182" s="775"/>
      <c r="AD182" s="775"/>
      <c r="AE182" s="775"/>
      <c r="AG182" s="775"/>
      <c r="AH182" s="775"/>
      <c r="AI182" s="775"/>
      <c r="AJ182" s="775"/>
      <c r="AK182" s="775"/>
    </row>
    <row r="183" spans="1:37">
      <c r="B183" s="532" t="str">
        <f>+Aux!$B$114</f>
        <v>Praticantes e aprendizes</v>
      </c>
      <c r="C183" s="537">
        <f>+'q38'!$C$31</f>
        <v>627.20000000000005</v>
      </c>
      <c r="D183" s="537">
        <f>+'q38'!$D$31</f>
        <v>639.35</v>
      </c>
      <c r="E183" s="537">
        <f>+'q38'!$E$31</f>
        <v>638.33000000000004</v>
      </c>
      <c r="F183" s="537">
        <f>+'q38'!$F$31</f>
        <v>657.48</v>
      </c>
      <c r="G183" s="537">
        <f>+'q38'!$G$31</f>
        <v>691.32</v>
      </c>
      <c r="H183" s="537">
        <f>+'q38'!$H$31</f>
        <v>726.2</v>
      </c>
      <c r="I183" s="537">
        <f>+'q38'!$I$31</f>
        <v>758.26</v>
      </c>
      <c r="J183" s="537">
        <f>+'q38'!$J$31</f>
        <v>786.47</v>
      </c>
      <c r="K183" s="537">
        <f>+'q38'!$K$31</f>
        <v>825</v>
      </c>
      <c r="L183" s="537">
        <f>+'q38'!$L$31</f>
        <v>875.73</v>
      </c>
      <c r="M183" s="537">
        <f>+'q38'!$M$31</f>
        <v>951.06</v>
      </c>
    </row>
    <row r="184" spans="1:37">
      <c r="B184" s="532" t="str">
        <f>+Aux!$B$115</f>
        <v>Total</v>
      </c>
      <c r="C184" s="537">
        <f>+'q38'!$C$7</f>
        <v>958.12</v>
      </c>
      <c r="D184" s="537">
        <f>+'q38'!$D$7</f>
        <v>963.12</v>
      </c>
      <c r="E184" s="537">
        <f>+'q38'!$E$7</f>
        <v>966.85</v>
      </c>
      <c r="F184" s="537">
        <f>+'q38'!$F$7</f>
        <v>982.49</v>
      </c>
      <c r="G184" s="537">
        <f>+'q38'!$G$7</f>
        <v>1011.02</v>
      </c>
      <c r="H184" s="537">
        <f>+'q38'!$H$7</f>
        <v>1046.5899999999999</v>
      </c>
      <c r="I184" s="537">
        <f>+'q38'!$I$7</f>
        <v>1086.97</v>
      </c>
      <c r="J184" s="537">
        <f>+'q38'!$J$7</f>
        <v>1130.8699999999999</v>
      </c>
      <c r="K184" s="537">
        <f>+'q38'!$K$7</f>
        <v>1172.08</v>
      </c>
      <c r="L184" s="537">
        <f>+'q38'!$L$7</f>
        <v>1237.52</v>
      </c>
      <c r="M184" s="537">
        <f>+'q38'!$M$7</f>
        <v>1332.02</v>
      </c>
    </row>
    <row r="186" spans="1:37">
      <c r="C186" s="501">
        <f>+'q17'!$C$4</f>
        <v>2013</v>
      </c>
      <c r="D186" s="501">
        <f>+'q17'!$D$4</f>
        <v>2014</v>
      </c>
      <c r="E186" s="501">
        <f>+'q17'!$E$4</f>
        <v>2015</v>
      </c>
      <c r="F186" s="501">
        <f>+'q17'!$F$4</f>
        <v>2016</v>
      </c>
      <c r="G186" s="501">
        <f>+'q17'!$G$4</f>
        <v>2017</v>
      </c>
      <c r="H186" s="501">
        <f>+'q17'!$H$4</f>
        <v>2018</v>
      </c>
      <c r="I186" s="501">
        <f>+'q17'!$I$4</f>
        <v>2019</v>
      </c>
      <c r="J186" s="501">
        <f>+'q17'!$J$4</f>
        <v>2020</v>
      </c>
      <c r="K186" s="501">
        <f>+'q17'!$K$4</f>
        <v>2021</v>
      </c>
      <c r="L186" s="501">
        <f>+'q17'!$L$4</f>
        <v>2022</v>
      </c>
      <c r="M186" s="501">
        <f>+'q17'!$M$4</f>
        <v>2023</v>
      </c>
    </row>
    <row r="187" spans="1:37">
      <c r="A187" s="539" t="s">
        <v>12</v>
      </c>
      <c r="B187" s="532" t="str">
        <f>+Aux!$B$107</f>
        <v>Quadros superiores</v>
      </c>
      <c r="C187" s="537">
        <f>+'q38'!$C$8</f>
        <v>2384.2800000000002</v>
      </c>
      <c r="D187" s="537">
        <f>+'q38'!$D$8</f>
        <v>2371.0300000000002</v>
      </c>
      <c r="E187" s="537">
        <f>+'q38'!$E$8</f>
        <v>2370.5300000000002</v>
      </c>
      <c r="F187" s="537">
        <f>+'q38'!$F$8</f>
        <v>2366.86</v>
      </c>
      <c r="G187" s="537">
        <f>+'q38'!$G$8</f>
        <v>2390.46</v>
      </c>
      <c r="H187" s="537">
        <f>+'q38'!$H$8</f>
        <v>2429.65</v>
      </c>
      <c r="I187" s="537">
        <f>+'q38'!$I$8</f>
        <v>2452.2399999999998</v>
      </c>
      <c r="J187" s="537">
        <f>+'q38'!$J$8</f>
        <v>2465.5500000000002</v>
      </c>
      <c r="K187" s="537">
        <f>+'q38'!$K$8</f>
        <v>2494.79</v>
      </c>
      <c r="L187" s="537">
        <f>+'q38'!$L$8</f>
        <v>2625.92</v>
      </c>
      <c r="M187" s="537">
        <f>+'q38'!$M$8</f>
        <v>2770.63</v>
      </c>
    </row>
    <row r="188" spans="1:37">
      <c r="B188" s="532" t="str">
        <f>+Aux!$B$108</f>
        <v>Quadros médios</v>
      </c>
      <c r="C188" s="537">
        <f>+'q38'!$C$11</f>
        <v>1709.25</v>
      </c>
      <c r="D188" s="537">
        <f>+'q38'!$D$11</f>
        <v>1696.68</v>
      </c>
      <c r="E188" s="537">
        <f>+'q38'!$E$11</f>
        <v>1702.15</v>
      </c>
      <c r="F188" s="537">
        <f>+'q38'!$F$11</f>
        <v>1703.6</v>
      </c>
      <c r="G188" s="537">
        <f>+'q38'!$G$11</f>
        <v>1719.08</v>
      </c>
      <c r="H188" s="537">
        <f>+'q38'!$H$11</f>
        <v>1753.47</v>
      </c>
      <c r="I188" s="537">
        <f>+'q38'!$I$11</f>
        <v>1773.89</v>
      </c>
      <c r="J188" s="537">
        <f>+'q38'!$J$11</f>
        <v>1783.83</v>
      </c>
      <c r="K188" s="537">
        <f>+'q38'!$K$11</f>
        <v>1807.26</v>
      </c>
      <c r="L188" s="537">
        <f>+'q38'!$L$11</f>
        <v>1923.5</v>
      </c>
      <c r="M188" s="537">
        <f>+'q38'!$M$11</f>
        <v>2069.0700000000002</v>
      </c>
    </row>
    <row r="189" spans="1:37">
      <c r="B189" s="532" t="str">
        <f>+Aux!$B$109</f>
        <v>Encarregados, contramestres e chefes de equipa</v>
      </c>
      <c r="C189" s="537">
        <f>+'q38'!$C$14</f>
        <v>1519.54</v>
      </c>
      <c r="D189" s="537">
        <f>+'q38'!$D$14</f>
        <v>1525.33</v>
      </c>
      <c r="E189" s="537">
        <f>+'q38'!$E$14</f>
        <v>1538.3</v>
      </c>
      <c r="F189" s="537">
        <f>+'q38'!$F$14</f>
        <v>1568.2</v>
      </c>
      <c r="G189" s="537">
        <f>+'q38'!$G$14</f>
        <v>1601.93</v>
      </c>
      <c r="H189" s="537">
        <f>+'q38'!$H$14</f>
        <v>1632.29</v>
      </c>
      <c r="I189" s="537">
        <f>+'q38'!$I$14</f>
        <v>1688.2</v>
      </c>
      <c r="J189" s="537">
        <f>+'q38'!$J$14</f>
        <v>1731.57</v>
      </c>
      <c r="K189" s="537">
        <f>+'q38'!$K$14</f>
        <v>1782.73</v>
      </c>
      <c r="L189" s="537">
        <f>+'q38'!$L$14</f>
        <v>1876.91</v>
      </c>
      <c r="M189" s="537">
        <f>+'q38'!$M$14</f>
        <v>1991.34</v>
      </c>
    </row>
    <row r="190" spans="1:37">
      <c r="B190" s="532" t="str">
        <f>+Aux!$B$110</f>
        <v>Profissionais altamente qualificados</v>
      </c>
      <c r="C190" s="537">
        <f>+'q38'!$C$17</f>
        <v>1420.07</v>
      </c>
      <c r="D190" s="537">
        <f>+'q38'!$D$17</f>
        <v>1406.4</v>
      </c>
      <c r="E190" s="537">
        <f>+'q38'!$E$17</f>
        <v>1414.92</v>
      </c>
      <c r="F190" s="537">
        <f>+'q38'!$F$17</f>
        <v>1407</v>
      </c>
      <c r="G190" s="537">
        <f>+'q38'!$G$17</f>
        <v>1418.91</v>
      </c>
      <c r="H190" s="537">
        <f>+'q38'!$H$17</f>
        <v>1443.4</v>
      </c>
      <c r="I190" s="537">
        <f>+'q38'!$I$17</f>
        <v>1434.98</v>
      </c>
      <c r="J190" s="537">
        <f>+'q38'!$J$17</f>
        <v>1450.57</v>
      </c>
      <c r="K190" s="537">
        <f>+'q38'!$K$17</f>
        <v>1464.69</v>
      </c>
      <c r="L190" s="537">
        <f>+'q38'!$L$17</f>
        <v>1529.19</v>
      </c>
      <c r="M190" s="537">
        <f>+'q38'!$M$17</f>
        <v>1649.77</v>
      </c>
    </row>
    <row r="191" spans="1:37">
      <c r="B191" s="532" t="str">
        <f>+Aux!$B$111</f>
        <v>Profissionais qualificados</v>
      </c>
      <c r="C191" s="537">
        <f>+'q38'!$C$20</f>
        <v>883.5</v>
      </c>
      <c r="D191" s="537">
        <f>+'q38'!$D$20</f>
        <v>887.88</v>
      </c>
      <c r="E191" s="537">
        <f>+'q38'!$E$20</f>
        <v>893.94</v>
      </c>
      <c r="F191" s="537">
        <f>+'q38'!$F$20</f>
        <v>901.37</v>
      </c>
      <c r="G191" s="537">
        <f>+'q38'!$G$20</f>
        <v>908.5</v>
      </c>
      <c r="H191" s="537">
        <f>+'q38'!$H$20</f>
        <v>938.77</v>
      </c>
      <c r="I191" s="537">
        <f>+'q38'!$I$20</f>
        <v>990.76</v>
      </c>
      <c r="J191" s="537">
        <f>+'q38'!$J$20</f>
        <v>1021.24</v>
      </c>
      <c r="K191" s="537">
        <f>+'q38'!$K$20</f>
        <v>1052.31</v>
      </c>
      <c r="L191" s="537">
        <f>+'q38'!$L$20</f>
        <v>1110.75</v>
      </c>
      <c r="M191" s="537">
        <f>+'q38'!$M$20</f>
        <v>1193.5999999999999</v>
      </c>
    </row>
    <row r="192" spans="1:37">
      <c r="B192" s="532" t="str">
        <f>+Aux!$B$112</f>
        <v>Profissionais semi-qualificados</v>
      </c>
      <c r="C192" s="537">
        <f>+'q38'!$C$23</f>
        <v>711.17</v>
      </c>
      <c r="D192" s="537">
        <f>+'q38'!$D$23</f>
        <v>723.66</v>
      </c>
      <c r="E192" s="537">
        <f>+'q38'!$E$23</f>
        <v>717.68</v>
      </c>
      <c r="F192" s="537">
        <f>+'q38'!$F$23</f>
        <v>733.32</v>
      </c>
      <c r="G192" s="537">
        <f>+'q38'!$G$23</f>
        <v>776.23</v>
      </c>
      <c r="H192" s="537">
        <f>+'q38'!$H$23</f>
        <v>807.78</v>
      </c>
      <c r="I192" s="537">
        <f>+'q38'!$I$23</f>
        <v>843.85</v>
      </c>
      <c r="J192" s="537">
        <f>+'q38'!$J$23</f>
        <v>874.56</v>
      </c>
      <c r="K192" s="537">
        <f>+'q38'!$K$23</f>
        <v>914.67</v>
      </c>
      <c r="L192" s="537">
        <f>+'q38'!$L$23</f>
        <v>965.04</v>
      </c>
      <c r="M192" s="537">
        <f>+'q38'!$M$23</f>
        <v>1028.9100000000001</v>
      </c>
    </row>
    <row r="193" spans="1:13">
      <c r="B193" s="532" t="str">
        <f>+Aux!$B$113</f>
        <v>Profissionais não qualificados</v>
      </c>
      <c r="C193" s="537">
        <f>+'q38'!$C$26</f>
        <v>655.57</v>
      </c>
      <c r="D193" s="537">
        <f>+'q38'!$D$26</f>
        <v>666.22</v>
      </c>
      <c r="E193" s="537">
        <f>+'q38'!$E$26</f>
        <v>671.16</v>
      </c>
      <c r="F193" s="537">
        <f>+'q38'!$F$26</f>
        <v>687</v>
      </c>
      <c r="G193" s="537">
        <f>+'q38'!$G$26</f>
        <v>717.54</v>
      </c>
      <c r="H193" s="537">
        <f>+'q38'!$H$26</f>
        <v>746.09</v>
      </c>
      <c r="I193" s="537">
        <f>+'q38'!$I$26</f>
        <v>769.39</v>
      </c>
      <c r="J193" s="537">
        <f>+'q38'!$J$26</f>
        <v>803.41</v>
      </c>
      <c r="K193" s="537">
        <f>+'q38'!$K$26</f>
        <v>837.74</v>
      </c>
      <c r="L193" s="537">
        <f>+'q38'!$L$26</f>
        <v>880.87</v>
      </c>
      <c r="M193" s="537">
        <f>+'q38'!$M$26</f>
        <v>950.15</v>
      </c>
    </row>
    <row r="194" spans="1:13">
      <c r="B194" s="532" t="str">
        <f>+Aux!$B$114</f>
        <v>Praticantes e aprendizes</v>
      </c>
      <c r="C194" s="537">
        <f>+'q38'!$C$29</f>
        <v>658</v>
      </c>
      <c r="D194" s="537">
        <f>+'q38'!$D$29</f>
        <v>666.45</v>
      </c>
      <c r="E194" s="537">
        <f>+'q38'!$E$29</f>
        <v>666.8</v>
      </c>
      <c r="F194" s="537">
        <f>+'q38'!$F$29</f>
        <v>682.36</v>
      </c>
      <c r="G194" s="537">
        <f>+'q38'!$G$29</f>
        <v>717.97</v>
      </c>
      <c r="H194" s="537">
        <f>+'q38'!$H$29</f>
        <v>752.95</v>
      </c>
      <c r="I194" s="537">
        <f>+'q38'!$I$29</f>
        <v>785.14</v>
      </c>
      <c r="J194" s="537">
        <f>+'q38'!$J$29</f>
        <v>816.36</v>
      </c>
      <c r="K194" s="537">
        <f>+'q38'!$K$29</f>
        <v>853.02</v>
      </c>
      <c r="L194" s="537">
        <f>+'q38'!$L$29</f>
        <v>902.18</v>
      </c>
      <c r="M194" s="537">
        <f>+'q38'!$M$29</f>
        <v>979</v>
      </c>
    </row>
    <row r="195" spans="1:13">
      <c r="B195" s="532" t="str">
        <f>+Aux!$B$115</f>
        <v>Total</v>
      </c>
      <c r="C195" s="537">
        <f>+'q38'!$C$5</f>
        <v>1093.82</v>
      </c>
      <c r="D195" s="537">
        <f>+'q38'!$D$5</f>
        <v>1093.21</v>
      </c>
      <c r="E195" s="537">
        <f>+'q38'!$E$5</f>
        <v>1096.6600000000001</v>
      </c>
      <c r="F195" s="537">
        <f>+'q38'!$F$5</f>
        <v>1107.8599999999999</v>
      </c>
      <c r="G195" s="537">
        <f>+'q38'!$G$5</f>
        <v>1133.3399999999999</v>
      </c>
      <c r="H195" s="537">
        <f>+'q38'!$H$5</f>
        <v>1170.25</v>
      </c>
      <c r="I195" s="537">
        <f>+'q38'!$I$5</f>
        <v>1209.94</v>
      </c>
      <c r="J195" s="537">
        <f>+'q38'!$J$5</f>
        <v>1250.75</v>
      </c>
      <c r="K195" s="537">
        <f>+'q38'!$K$5</f>
        <v>1294.1099999999999</v>
      </c>
      <c r="L195" s="537">
        <f>+'q38'!$L$5</f>
        <v>1368</v>
      </c>
      <c r="M195" s="537">
        <f>+'q38'!$M$5</f>
        <v>1466.66</v>
      </c>
    </row>
    <row r="199" spans="1:13">
      <c r="A199" s="501" t="s">
        <v>392</v>
      </c>
    </row>
    <row r="201" spans="1:13">
      <c r="A201" s="534" t="s">
        <v>389</v>
      </c>
    </row>
    <row r="202" spans="1:13">
      <c r="A202" s="533" t="s">
        <v>185</v>
      </c>
      <c r="C202" s="501">
        <f>+'q40'!$D$4</f>
        <v>2013</v>
      </c>
      <c r="D202" s="501">
        <f>+'q40'!$E$4</f>
        <v>2014</v>
      </c>
      <c r="E202" s="501">
        <f>+'q40'!$F$4</f>
        <v>2015</v>
      </c>
      <c r="F202" s="501">
        <f>+'q40'!$G$4</f>
        <v>2016</v>
      </c>
      <c r="G202" s="501">
        <f>+'q40'!$H$4</f>
        <v>2017</v>
      </c>
      <c r="H202" s="501">
        <f>+'q40'!$I$4</f>
        <v>2018</v>
      </c>
      <c r="I202" s="501">
        <f>+'q40'!$J$4</f>
        <v>2019</v>
      </c>
      <c r="J202" s="501">
        <f>+'q40'!$K$4</f>
        <v>2020</v>
      </c>
      <c r="K202" s="501">
        <f>+'q40'!$L$4</f>
        <v>2021</v>
      </c>
      <c r="L202" s="501">
        <f>+'q40'!$M$4</f>
        <v>2022</v>
      </c>
      <c r="M202" s="501">
        <f>+'q40'!$N$4</f>
        <v>2023</v>
      </c>
    </row>
    <row r="203" spans="1:13">
      <c r="A203" s="533"/>
      <c r="B203" s="532" t="str">
        <f>+Aux!$B$121</f>
        <v>&lt; 1.º ciclo do ensino básico</v>
      </c>
      <c r="C203" s="532">
        <f>+'q40'!$D$14</f>
        <v>10876</v>
      </c>
      <c r="D203" s="532">
        <f>+'q40'!$E$14</f>
        <v>10057</v>
      </c>
      <c r="E203" s="532">
        <f>+'q40'!$F$14</f>
        <v>8484</v>
      </c>
      <c r="F203" s="532">
        <f>+'q40'!$G$14</f>
        <v>8353</v>
      </c>
      <c r="G203" s="532">
        <f>+'q40'!$H$14</f>
        <v>8132</v>
      </c>
      <c r="H203" s="532">
        <f>+'q40'!$I$14</f>
        <v>7494</v>
      </c>
      <c r="I203" s="532">
        <f>+'q40'!$J$14</f>
        <v>7345</v>
      </c>
      <c r="J203" s="532">
        <f>+'q40'!$K$14</f>
        <v>6405</v>
      </c>
      <c r="K203" s="532">
        <f>+'q40'!$L$14</f>
        <v>6063</v>
      </c>
      <c r="L203" s="532">
        <f>+'q40'!$M$14</f>
        <v>5907</v>
      </c>
      <c r="M203" s="532">
        <f>+'q40'!$N$14</f>
        <v>6162</v>
      </c>
    </row>
    <row r="204" spans="1:13">
      <c r="B204" s="532" t="str">
        <f>+Aux!$B$122</f>
        <v>Ensino básico</v>
      </c>
      <c r="C204" s="532">
        <f>+'q40'!$D$19</f>
        <v>1028783</v>
      </c>
      <c r="D204" s="532">
        <f>+'q40'!$E$19</f>
        <v>1028192</v>
      </c>
      <c r="E204" s="532">
        <f>+'q40'!$F$19</f>
        <v>1031891</v>
      </c>
      <c r="F204" s="532">
        <f>+'q40'!$G$19</f>
        <v>1036344</v>
      </c>
      <c r="G204" s="532">
        <f>+'q40'!$H$19</f>
        <v>1043381</v>
      </c>
      <c r="H204" s="532">
        <f>+'q40'!$I$19</f>
        <v>1039158</v>
      </c>
      <c r="I204" s="532">
        <f>+'q40'!$J$19</f>
        <v>1007442</v>
      </c>
      <c r="J204" s="532">
        <f>+'q40'!$K$19</f>
        <v>943206</v>
      </c>
      <c r="K204" s="532">
        <f>+'q40'!$L$19</f>
        <v>923652</v>
      </c>
      <c r="L204" s="532">
        <f>+'q40'!$M$19</f>
        <v>953672</v>
      </c>
      <c r="M204" s="532">
        <f>+'q40'!$N$19</f>
        <v>946247</v>
      </c>
    </row>
    <row r="205" spans="1:13">
      <c r="B205" s="532" t="str">
        <f>+Aux!$B$123</f>
        <v>Ensino secundário + pós sec. não superior nível IV</v>
      </c>
      <c r="C205" s="532">
        <f>+'q40'!$D$24</f>
        <v>478953</v>
      </c>
      <c r="D205" s="532">
        <f>+'q40'!$E$24</f>
        <v>502817</v>
      </c>
      <c r="E205" s="532">
        <f>+'q40'!$F$24</f>
        <v>537397</v>
      </c>
      <c r="F205" s="532">
        <f>+'q40'!$G$24</f>
        <v>574341</v>
      </c>
      <c r="G205" s="532">
        <f>+'q40'!$H$24</f>
        <v>614973</v>
      </c>
      <c r="H205" s="532">
        <f>+'q40'!$I$24</f>
        <v>661451</v>
      </c>
      <c r="I205" s="532">
        <f>+'q40'!$J$24</f>
        <v>692025</v>
      </c>
      <c r="J205" s="532">
        <f>+'q40'!$K$24</f>
        <v>678980</v>
      </c>
      <c r="K205" s="532">
        <f>+'q40'!$L$24</f>
        <v>708685</v>
      </c>
      <c r="L205" s="532">
        <f>+'q40'!$M$24</f>
        <v>796744</v>
      </c>
      <c r="M205" s="532">
        <f>+'q40'!$N$24</f>
        <v>861654</v>
      </c>
    </row>
    <row r="206" spans="1:13">
      <c r="B206" s="532" t="str">
        <f>+Aux!$B$124</f>
        <v>Ensino superior</v>
      </c>
      <c r="C206" s="532">
        <f>+'q40'!$D$29</f>
        <v>368066</v>
      </c>
      <c r="D206" s="532">
        <f>+'q40'!$E$29</f>
        <v>383510</v>
      </c>
      <c r="E206" s="532">
        <f>+'q40'!$F$29</f>
        <v>408683</v>
      </c>
      <c r="F206" s="532">
        <f>+'q40'!$G$29</f>
        <v>431481</v>
      </c>
      <c r="G206" s="532">
        <f>+'q40'!$H$29</f>
        <v>461446</v>
      </c>
      <c r="H206" s="532">
        <f>+'q40'!$I$29</f>
        <v>492822</v>
      </c>
      <c r="I206" s="532">
        <f>+'q40'!$J$29</f>
        <v>519903</v>
      </c>
      <c r="J206" s="532">
        <f>+'q40'!$K$29</f>
        <v>529942</v>
      </c>
      <c r="K206" s="532">
        <f>+'q40'!$L$29</f>
        <v>557063</v>
      </c>
      <c r="L206" s="532">
        <f>+'q40'!$M$29</f>
        <v>613051</v>
      </c>
      <c r="M206" s="532">
        <f>+'q40'!$N$29</f>
        <v>645431</v>
      </c>
    </row>
    <row r="207" spans="1:13">
      <c r="B207" s="532" t="str">
        <f>+Aux!$B$125</f>
        <v>Ignorado</v>
      </c>
      <c r="C207" s="532">
        <f>+'q40'!$D$34</f>
        <v>3833</v>
      </c>
      <c r="D207" s="532">
        <f>+'q40'!$E$34</f>
        <v>3731</v>
      </c>
      <c r="E207" s="532">
        <f>+'q40'!$F$34</f>
        <v>4676</v>
      </c>
      <c r="F207" s="532">
        <f>+'q40'!$G$34</f>
        <v>4392</v>
      </c>
      <c r="G207" s="532">
        <f>+'q40'!$H$34</f>
        <v>4011</v>
      </c>
      <c r="H207" s="532">
        <f>+'q40'!$I$34</f>
        <v>4524</v>
      </c>
      <c r="I207" s="532">
        <f>+'q40'!$J$34</f>
        <v>5685</v>
      </c>
      <c r="J207" s="532">
        <f>+'q40'!$K$34</f>
        <v>5585</v>
      </c>
      <c r="K207" s="532">
        <f>+'q40'!$L$34</f>
        <v>5131</v>
      </c>
      <c r="L207" s="532">
        <f>+'q40'!$M$34</f>
        <v>6741</v>
      </c>
      <c r="M207" s="532">
        <f>+'q40'!$N$34</f>
        <v>8106</v>
      </c>
    </row>
    <row r="208" spans="1:13">
      <c r="B208" s="532" t="str">
        <f>+Aux!$B$126</f>
        <v>Total</v>
      </c>
      <c r="C208" s="532">
        <f>+'q40'!$D$9</f>
        <v>1890511</v>
      </c>
      <c r="D208" s="532">
        <f>+'q40'!$E$9</f>
        <v>1928307</v>
      </c>
      <c r="E208" s="532">
        <f>+'q40'!$F$9</f>
        <v>1991131</v>
      </c>
      <c r="F208" s="532">
        <f>+'q40'!$G$9</f>
        <v>2054911</v>
      </c>
      <c r="G208" s="532">
        <f>+'q40'!$H$9</f>
        <v>2131943</v>
      </c>
      <c r="H208" s="532">
        <f>+'q40'!$I$9</f>
        <v>2205449</v>
      </c>
      <c r="I208" s="532">
        <f>+'q40'!$J$9</f>
        <v>2232400</v>
      </c>
      <c r="J208" s="532">
        <f>+'q40'!$K$9</f>
        <v>2164118</v>
      </c>
      <c r="K208" s="532">
        <f>+'q40'!$L$9</f>
        <v>2200594</v>
      </c>
      <c r="L208" s="532">
        <f>+'q40'!$M$9</f>
        <v>2376115</v>
      </c>
      <c r="M208" s="532">
        <f>+'q40'!$N$9</f>
        <v>2467600</v>
      </c>
    </row>
    <row r="210" spans="1:13">
      <c r="A210" s="540" t="s">
        <v>396</v>
      </c>
    </row>
    <row r="211" spans="1:13">
      <c r="A211" s="547" t="s">
        <v>389</v>
      </c>
    </row>
    <row r="212" spans="1:13">
      <c r="A212" s="540" t="s">
        <v>296</v>
      </c>
      <c r="C212" s="501">
        <f>+'q40'!$D$4</f>
        <v>2013</v>
      </c>
      <c r="D212" s="501">
        <f>+'q40'!$E$4</f>
        <v>2014</v>
      </c>
      <c r="E212" s="501">
        <f>+'q40'!$F$4</f>
        <v>2015</v>
      </c>
      <c r="F212" s="501">
        <f>+'q40'!$G$4</f>
        <v>2016</v>
      </c>
      <c r="G212" s="501">
        <f>+'q40'!$H$4</f>
        <v>2017</v>
      </c>
      <c r="H212" s="501">
        <f>+'q40'!$I$4</f>
        <v>2018</v>
      </c>
      <c r="I212" s="501">
        <f>+'q40'!$J$4</f>
        <v>2019</v>
      </c>
      <c r="J212" s="501">
        <f>+'q40'!$K$4</f>
        <v>2020</v>
      </c>
      <c r="K212" s="501">
        <f>+'q40'!$L$4</f>
        <v>2021</v>
      </c>
      <c r="L212" s="501">
        <f>+'q40'!$M$4</f>
        <v>2022</v>
      </c>
      <c r="M212" s="501">
        <f>+'q40'!$N$4</f>
        <v>2023</v>
      </c>
    </row>
    <row r="213" spans="1:13">
      <c r="A213" s="540"/>
      <c r="B213" s="532" t="str">
        <f>+Aux!$B$121</f>
        <v>&lt; 1.º ciclo do ensino básico</v>
      </c>
      <c r="C213" s="537">
        <f>+'q40'!$D$10</f>
        <v>576.25</v>
      </c>
      <c r="D213" s="537">
        <f>+'q40'!$E$10</f>
        <v>583.58000000000004</v>
      </c>
      <c r="E213" s="537">
        <f>+'q40'!$F$10</f>
        <v>592.89</v>
      </c>
      <c r="F213" s="537">
        <f>+'q40'!$G$10</f>
        <v>608.30999999999995</v>
      </c>
      <c r="G213" s="537">
        <f>+'q40'!$H$10</f>
        <v>622.04999999999995</v>
      </c>
      <c r="H213" s="537">
        <f>+'q40'!$I$10</f>
        <v>647.99</v>
      </c>
      <c r="I213" s="537">
        <f>+'q40'!$J$10</f>
        <v>668.91</v>
      </c>
      <c r="J213" s="537">
        <f>+'q40'!$K$10</f>
        <v>696.57</v>
      </c>
      <c r="K213" s="537">
        <f>+'q40'!$L$10</f>
        <v>726.29</v>
      </c>
      <c r="L213" s="537">
        <f>+'q40'!$M$10</f>
        <v>766.17</v>
      </c>
      <c r="M213" s="537">
        <f>+'q40'!$N$10</f>
        <v>821.44</v>
      </c>
    </row>
    <row r="214" spans="1:13">
      <c r="B214" s="532" t="str">
        <f>+Aux!$B$122</f>
        <v>Ensino básico</v>
      </c>
      <c r="C214" s="537">
        <f>+'q40'!$D$15</f>
        <v>679.13</v>
      </c>
      <c r="D214" s="537">
        <f>+'q40'!$E$15</f>
        <v>681.33</v>
      </c>
      <c r="E214" s="537">
        <f>+'q40'!$F$15</f>
        <v>685.64</v>
      </c>
      <c r="F214" s="537">
        <f>+'q40'!$G$15</f>
        <v>696.14</v>
      </c>
      <c r="G214" s="537">
        <f>+'q40'!$H$15</f>
        <v>714.43</v>
      </c>
      <c r="H214" s="537">
        <f>+'q40'!$I$15</f>
        <v>738.36</v>
      </c>
      <c r="I214" s="537">
        <f>+'q40'!$J$15</f>
        <v>763.83</v>
      </c>
      <c r="J214" s="537">
        <f>+'q40'!$K$15</f>
        <v>791.06</v>
      </c>
      <c r="K214" s="537">
        <f>+'q40'!$L$15</f>
        <v>822.51</v>
      </c>
      <c r="L214" s="537">
        <f>+'q40'!$M$15</f>
        <v>866.98</v>
      </c>
      <c r="M214" s="537">
        <f>+'q40'!$N$15</f>
        <v>927.83</v>
      </c>
    </row>
    <row r="215" spans="1:13">
      <c r="B215" s="532" t="str">
        <f>+Aux!$B$123</f>
        <v>Ensino secundário + pós sec. não superior nível IV</v>
      </c>
      <c r="C215" s="537">
        <f>+'q40'!$D$20</f>
        <v>893.14</v>
      </c>
      <c r="D215" s="537">
        <f>+'q40'!$E$20</f>
        <v>881.23</v>
      </c>
      <c r="E215" s="537">
        <f>+'q40'!$F$20</f>
        <v>873.9</v>
      </c>
      <c r="F215" s="537">
        <f>+'q40'!$G$20</f>
        <v>872.76</v>
      </c>
      <c r="G215" s="537">
        <f>+'q40'!$H$20</f>
        <v>878.03</v>
      </c>
      <c r="H215" s="537">
        <f>+'q40'!$I$20</f>
        <v>891.3</v>
      </c>
      <c r="I215" s="537">
        <f>+'q40'!$J$20</f>
        <v>910.03</v>
      </c>
      <c r="J215" s="537">
        <f>+'q40'!$K$20</f>
        <v>929.85</v>
      </c>
      <c r="K215" s="537">
        <f>+'q40'!$L$20</f>
        <v>955.65</v>
      </c>
      <c r="L215" s="537">
        <f>+'q40'!$M$20</f>
        <v>997.48</v>
      </c>
      <c r="M215" s="537">
        <f>+'q40'!$N$20</f>
        <v>1057.23</v>
      </c>
    </row>
    <row r="216" spans="1:13">
      <c r="B216" s="532" t="str">
        <f>+Aux!$B$124</f>
        <v>Ensino superior</v>
      </c>
      <c r="C216" s="537">
        <f>+'q40'!$D$25</f>
        <v>1598.23</v>
      </c>
      <c r="D216" s="537">
        <f>+'q40'!$E$25</f>
        <v>1566.87</v>
      </c>
      <c r="E216" s="537">
        <f>+'q40'!$F$25</f>
        <v>1550.64</v>
      </c>
      <c r="F216" s="537">
        <f>+'q40'!$G$25</f>
        <v>1550.37</v>
      </c>
      <c r="G216" s="537">
        <f>+'q40'!$H$25</f>
        <v>1551.97</v>
      </c>
      <c r="H216" s="537">
        <f>+'q40'!$I$25</f>
        <v>1571.08</v>
      </c>
      <c r="I216" s="537">
        <f>+'q40'!$J$25</f>
        <v>1604.7</v>
      </c>
      <c r="J216" s="537">
        <f>+'q40'!$K$25</f>
        <v>1637.25</v>
      </c>
      <c r="K216" s="537">
        <f>+'q40'!$L$25</f>
        <v>1680.39</v>
      </c>
      <c r="L216" s="537">
        <f>+'q40'!$M$25</f>
        <v>1767.51</v>
      </c>
      <c r="M216" s="537">
        <f>+'q40'!$N$25</f>
        <v>1870.81</v>
      </c>
    </row>
    <row r="217" spans="1:13">
      <c r="B217" s="532" t="str">
        <f>+Aux!$B$125</f>
        <v>Ignorado</v>
      </c>
      <c r="C217" s="537">
        <f>+'q40'!$D$30</f>
        <v>917.22</v>
      </c>
      <c r="D217" s="537">
        <f>+'q40'!$E$30</f>
        <v>900.34</v>
      </c>
      <c r="E217" s="537">
        <f>+'q40'!$F$30</f>
        <v>824.37</v>
      </c>
      <c r="F217" s="537">
        <f>+'q40'!$G$30</f>
        <v>895.27</v>
      </c>
      <c r="G217" s="537">
        <f>+'q40'!$H$30</f>
        <v>954.09</v>
      </c>
      <c r="H217" s="537">
        <f>+'q40'!$I$30</f>
        <v>942.93</v>
      </c>
      <c r="I217" s="537">
        <f>+'q40'!$J$30</f>
        <v>929.22</v>
      </c>
      <c r="J217" s="537">
        <f>+'q40'!$K$30</f>
        <v>967.95</v>
      </c>
      <c r="K217" s="537">
        <f>+'q40'!$L$30</f>
        <v>1031</v>
      </c>
      <c r="L217" s="537">
        <f>+'q40'!$M$30</f>
        <v>1083.75</v>
      </c>
      <c r="M217" s="537">
        <f>+'q40'!$N$30</f>
        <v>1071.4000000000001</v>
      </c>
    </row>
    <row r="218" spans="1:13">
      <c r="B218" s="532" t="str">
        <f>+Aux!$B$126</f>
        <v>Total</v>
      </c>
      <c r="C218" s="537">
        <f>+'q40'!$D$5</f>
        <v>912.18</v>
      </c>
      <c r="D218" s="537">
        <f>+'q40'!$E$5</f>
        <v>909.49</v>
      </c>
      <c r="E218" s="537">
        <f>+'q40'!$F$5</f>
        <v>913.93</v>
      </c>
      <c r="F218" s="537">
        <f>+'q40'!$G$5</f>
        <v>924.94</v>
      </c>
      <c r="G218" s="537">
        <f>+'q40'!$H$5</f>
        <v>943</v>
      </c>
      <c r="H218" s="537">
        <f>+'q40'!$I$5</f>
        <v>970.42</v>
      </c>
      <c r="I218" s="537">
        <f>+'q40'!$J$5</f>
        <v>1005.09</v>
      </c>
      <c r="J218" s="537">
        <f>+'q40'!$K$5</f>
        <v>1041.99</v>
      </c>
      <c r="K218" s="537">
        <f>+'q40'!$L$5</f>
        <v>1082.77</v>
      </c>
      <c r="L218" s="537">
        <f>+'q40'!$M$5</f>
        <v>1143.45</v>
      </c>
      <c r="M218" s="537">
        <f>+'q40'!$N$5</f>
        <v>1219.8699999999999</v>
      </c>
    </row>
    <row r="220" spans="1:13">
      <c r="A220" s="539" t="s">
        <v>396</v>
      </c>
    </row>
    <row r="221" spans="1:13">
      <c r="A221" s="546" t="s">
        <v>389</v>
      </c>
    </row>
    <row r="222" spans="1:13">
      <c r="A222" s="539" t="s">
        <v>297</v>
      </c>
      <c r="C222" s="501">
        <f>+'q40'!$D$4</f>
        <v>2013</v>
      </c>
      <c r="D222" s="501">
        <f>+'q40'!$E$4</f>
        <v>2014</v>
      </c>
      <c r="E222" s="501">
        <f>+'q40'!$F$4</f>
        <v>2015</v>
      </c>
      <c r="F222" s="501">
        <f>+'q40'!$G$4</f>
        <v>2016</v>
      </c>
      <c r="G222" s="501">
        <f>+'q40'!$H$4</f>
        <v>2017</v>
      </c>
      <c r="H222" s="501">
        <f>+'q40'!$I$4</f>
        <v>2018</v>
      </c>
      <c r="I222" s="501">
        <f>+'q40'!$J$4</f>
        <v>2019</v>
      </c>
      <c r="J222" s="501">
        <f>+'q40'!$K$4</f>
        <v>2020</v>
      </c>
      <c r="K222" s="501">
        <f>+'q40'!$L$4</f>
        <v>2021</v>
      </c>
      <c r="L222" s="501">
        <f>+'q40'!$M$4</f>
        <v>2022</v>
      </c>
      <c r="M222" s="501">
        <f>+'q40'!$N$4</f>
        <v>2023</v>
      </c>
    </row>
    <row r="223" spans="1:13">
      <c r="A223" s="539"/>
      <c r="B223" s="532" t="str">
        <f>+Aux!$B$121</f>
        <v>&lt; 1.º ciclo do ensino básico</v>
      </c>
      <c r="C223" s="537">
        <f>+'q40'!$D$12</f>
        <v>677.48</v>
      </c>
      <c r="D223" s="537">
        <f>+'q40'!$E$12</f>
        <v>685.6</v>
      </c>
      <c r="E223" s="537">
        <f>+'q40'!$F$12</f>
        <v>700.54</v>
      </c>
      <c r="F223" s="537">
        <f>+'q40'!$G$12</f>
        <v>711.01</v>
      </c>
      <c r="G223" s="537">
        <f>+'q40'!$H$12</f>
        <v>730.56</v>
      </c>
      <c r="H223" s="537">
        <f>+'q40'!$I$12</f>
        <v>767.66</v>
      </c>
      <c r="I223" s="537">
        <f>+'q40'!$J$12</f>
        <v>789.07</v>
      </c>
      <c r="J223" s="537">
        <f>+'q40'!$K$12</f>
        <v>817.39</v>
      </c>
      <c r="K223" s="537">
        <f>+'q40'!$L$12</f>
        <v>849.53</v>
      </c>
      <c r="L223" s="537">
        <f>+'q40'!$M$12</f>
        <v>892.87</v>
      </c>
      <c r="M223" s="537">
        <f>+'q40'!$N$12</f>
        <v>968.17</v>
      </c>
    </row>
    <row r="224" spans="1:13">
      <c r="B224" s="532" t="str">
        <f>+Aux!$B$122</f>
        <v>Ensino básico</v>
      </c>
      <c r="C224" s="537">
        <f>+'q40'!$D$17</f>
        <v>817.17</v>
      </c>
      <c r="D224" s="537">
        <f>+'q40'!$E$17</f>
        <v>821.84</v>
      </c>
      <c r="E224" s="537">
        <f>+'q40'!$F$17</f>
        <v>826.46</v>
      </c>
      <c r="F224" s="537">
        <f>+'q40'!$G$17</f>
        <v>838.61</v>
      </c>
      <c r="G224" s="537">
        <f>+'q40'!$H$17</f>
        <v>863.74</v>
      </c>
      <c r="H224" s="537">
        <f>+'q40'!$I$17</f>
        <v>895.35</v>
      </c>
      <c r="I224" s="537">
        <f>+'q40'!$J$17</f>
        <v>926.56</v>
      </c>
      <c r="J224" s="537">
        <f>+'q40'!$K$17</f>
        <v>955.61</v>
      </c>
      <c r="K224" s="537">
        <f>+'q40'!$L$17</f>
        <v>990.55</v>
      </c>
      <c r="L224" s="537">
        <f>+'q40'!$M$17</f>
        <v>1044.03</v>
      </c>
      <c r="M224" s="537">
        <f>+'q40'!$N$17</f>
        <v>1122.23</v>
      </c>
    </row>
    <row r="225" spans="1:13">
      <c r="B225" s="532" t="str">
        <f>+Aux!$B$123</f>
        <v>Ensino secundário + pós sec. não superior nível IV</v>
      </c>
      <c r="C225" s="537">
        <f>+'q40'!$D$22</f>
        <v>1099.8800000000001</v>
      </c>
      <c r="D225" s="537">
        <f>+'q40'!$E$22</f>
        <v>1086.31</v>
      </c>
      <c r="E225" s="537">
        <f>+'q40'!$F$22</f>
        <v>1072.77</v>
      </c>
      <c r="F225" s="537">
        <f>+'q40'!$G$22</f>
        <v>1068.6500000000001</v>
      </c>
      <c r="G225" s="537">
        <f>+'q40'!$H$22</f>
        <v>1078.5899999999999</v>
      </c>
      <c r="H225" s="537">
        <f>+'q40'!$I$22</f>
        <v>1097.03</v>
      </c>
      <c r="I225" s="537">
        <f>+'q40'!$J$22</f>
        <v>1117.3800000000001</v>
      </c>
      <c r="J225" s="537">
        <f>+'q40'!$K$22</f>
        <v>1138.6300000000001</v>
      </c>
      <c r="K225" s="537">
        <f>+'q40'!$L$22</f>
        <v>1163.52</v>
      </c>
      <c r="L225" s="537">
        <f>+'q40'!$M$22</f>
        <v>1217.57</v>
      </c>
      <c r="M225" s="537">
        <f>+'q40'!$N$22</f>
        <v>1297.5899999999999</v>
      </c>
    </row>
    <row r="226" spans="1:13">
      <c r="B226" s="532" t="str">
        <f>+Aux!$B$124</f>
        <v>Ensino superior</v>
      </c>
      <c r="C226" s="537">
        <f>+'q40'!$D$27</f>
        <v>1871.71</v>
      </c>
      <c r="D226" s="537">
        <f>+'q40'!$E$27</f>
        <v>1841.04</v>
      </c>
      <c r="E226" s="537">
        <f>+'q40'!$F$27</f>
        <v>1820.24</v>
      </c>
      <c r="F226" s="537">
        <f>+'q40'!$G$27</f>
        <v>1815.28</v>
      </c>
      <c r="G226" s="537">
        <f>+'q40'!$H$27</f>
        <v>1823.4</v>
      </c>
      <c r="H226" s="537">
        <f>+'q40'!$I$27</f>
        <v>1854.84</v>
      </c>
      <c r="I226" s="537">
        <f>+'q40'!$J$27</f>
        <v>1889.56</v>
      </c>
      <c r="J226" s="537">
        <f>+'q40'!$K$27</f>
        <v>1926.07</v>
      </c>
      <c r="K226" s="537">
        <f>+'q40'!$L$27</f>
        <v>1969.18</v>
      </c>
      <c r="L226" s="537">
        <f>+'q40'!$M$27</f>
        <v>2072.86</v>
      </c>
      <c r="M226" s="537">
        <f>+'q40'!$N$27</f>
        <v>2204.65</v>
      </c>
    </row>
    <row r="227" spans="1:13">
      <c r="B227" s="532" t="str">
        <f>+Aux!$B$125</f>
        <v>Ignorado</v>
      </c>
      <c r="C227" s="537">
        <f>+'q40'!$D$32</f>
        <v>1072.5899999999999</v>
      </c>
      <c r="D227" s="537">
        <f>+'q40'!$E$32</f>
        <v>1036.97</v>
      </c>
      <c r="E227" s="537">
        <f>+'q40'!$F$32</f>
        <v>946.93</v>
      </c>
      <c r="F227" s="537">
        <f>+'q40'!$G$32</f>
        <v>1022.25</v>
      </c>
      <c r="G227" s="537">
        <f>+'q40'!$H$32</f>
        <v>1089.48</v>
      </c>
      <c r="H227" s="537">
        <f>+'q40'!$I$32</f>
        <v>1112.81</v>
      </c>
      <c r="I227" s="537">
        <f>+'q40'!$J$32</f>
        <v>1085.9000000000001</v>
      </c>
      <c r="J227" s="537">
        <f>+'q40'!$K$32</f>
        <v>1145.42</v>
      </c>
      <c r="K227" s="537">
        <f>+'q40'!$L$32</f>
        <v>1210.72</v>
      </c>
      <c r="L227" s="537">
        <f>+'q40'!$M$32</f>
        <v>1293.6400000000001</v>
      </c>
      <c r="M227" s="537">
        <f>+'q40'!$N$32</f>
        <v>1260.92</v>
      </c>
    </row>
    <row r="228" spans="1:13">
      <c r="B228" s="532" t="str">
        <f>+Aux!$B$126</f>
        <v>Total</v>
      </c>
      <c r="C228" s="537">
        <f>+'q40'!$D$7</f>
        <v>1093.82</v>
      </c>
      <c r="D228" s="537">
        <f>+'q40'!$E$7</f>
        <v>1093.21</v>
      </c>
      <c r="E228" s="537">
        <f>+'q40'!$F$7</f>
        <v>1096.6600000000001</v>
      </c>
      <c r="F228" s="537">
        <f>+'q40'!$G$7</f>
        <v>1107.8599999999999</v>
      </c>
      <c r="G228" s="537">
        <f>+'q40'!$H$7</f>
        <v>1133.3399999999999</v>
      </c>
      <c r="H228" s="537">
        <f>+'q40'!$I$7</f>
        <v>1170.25</v>
      </c>
      <c r="I228" s="537">
        <f>+'q40'!$J$7</f>
        <v>1209.94</v>
      </c>
      <c r="J228" s="537">
        <f>+'q40'!$K$7</f>
        <v>1250.75</v>
      </c>
      <c r="K228" s="537">
        <f>+'q40'!$L$7</f>
        <v>1294.1099999999999</v>
      </c>
      <c r="L228" s="537">
        <f>+'q40'!$M$7</f>
        <v>1368</v>
      </c>
      <c r="M228" s="537">
        <f>+'q40'!$N$7</f>
        <v>1466.66</v>
      </c>
    </row>
    <row r="230" spans="1:13">
      <c r="A230" s="540" t="s">
        <v>397</v>
      </c>
    </row>
    <row r="231" spans="1:13">
      <c r="A231" s="547" t="s">
        <v>389</v>
      </c>
    </row>
    <row r="232" spans="1:13">
      <c r="A232" s="540" t="s">
        <v>296</v>
      </c>
      <c r="C232" s="501">
        <f>+'q40'!$D$4</f>
        <v>2013</v>
      </c>
      <c r="D232" s="501">
        <f>+'q40'!$E$4</f>
        <v>2014</v>
      </c>
      <c r="E232" s="501">
        <f>+'q40'!$F$4</f>
        <v>2015</v>
      </c>
      <c r="F232" s="501">
        <f>+'q40'!$G$4</f>
        <v>2016</v>
      </c>
      <c r="G232" s="501">
        <f>+'q40'!$H$4</f>
        <v>2017</v>
      </c>
      <c r="H232" s="501">
        <f>+'q40'!$I$4</f>
        <v>2018</v>
      </c>
      <c r="I232" s="501">
        <f>+'q40'!$J$4</f>
        <v>2019</v>
      </c>
      <c r="J232" s="501">
        <f>+'q40'!$K$4</f>
        <v>2020</v>
      </c>
      <c r="K232" s="501">
        <f>+'q40'!$L$4</f>
        <v>2021</v>
      </c>
      <c r="L232" s="501">
        <f>+'q40'!$M$4</f>
        <v>2022</v>
      </c>
      <c r="M232" s="501">
        <f>+'q40'!$N$4</f>
        <v>2023</v>
      </c>
    </row>
    <row r="233" spans="1:13">
      <c r="A233" s="540"/>
      <c r="B233" s="532" t="str">
        <f>+Aux!$B$121</f>
        <v>&lt; 1.º ciclo do ensino básico</v>
      </c>
      <c r="C233" s="537">
        <f>+'q40'!$D$11</f>
        <v>512.5</v>
      </c>
      <c r="D233" s="537">
        <f>+'q40'!$E$11</f>
        <v>519.29999999999995</v>
      </c>
      <c r="E233" s="537">
        <f>+'q40'!$F$11</f>
        <v>525.99</v>
      </c>
      <c r="F233" s="537">
        <f>+'q40'!$G$11</f>
        <v>540</v>
      </c>
      <c r="G233" s="537">
        <f>+'q40'!$H$11</f>
        <v>560</v>
      </c>
      <c r="H233" s="537">
        <f>+'q40'!$I$11</f>
        <v>585</v>
      </c>
      <c r="I233" s="537">
        <f>+'q40'!$J$11</f>
        <v>607</v>
      </c>
      <c r="J233" s="537">
        <f>+'q40'!$K$11</f>
        <v>635</v>
      </c>
      <c r="K233" s="537">
        <f>+'q40'!$L$11</f>
        <v>666</v>
      </c>
      <c r="L233" s="537">
        <f>+'q40'!$M$11</f>
        <v>705</v>
      </c>
      <c r="M233" s="537">
        <f>+'q40'!$N$11</f>
        <v>764</v>
      </c>
    </row>
    <row r="234" spans="1:13">
      <c r="B234" s="532" t="str">
        <f>+Aux!$B$122</f>
        <v>Ensino básico</v>
      </c>
      <c r="C234" s="537">
        <f>+'q40'!$D$16</f>
        <v>566.64</v>
      </c>
      <c r="D234" s="537">
        <f>+'q40'!$E$16</f>
        <v>569.73</v>
      </c>
      <c r="E234" s="537">
        <f>+'q40'!$F$16</f>
        <v>573</v>
      </c>
      <c r="F234" s="537">
        <f>+'q40'!$G$16</f>
        <v>580</v>
      </c>
      <c r="G234" s="537">
        <f>+'q40'!$H$16</f>
        <v>600</v>
      </c>
      <c r="H234" s="537">
        <f>+'q40'!$I$16</f>
        <v>620</v>
      </c>
      <c r="I234" s="537">
        <f>+'q40'!$J$16</f>
        <v>642</v>
      </c>
      <c r="J234" s="537">
        <f>+'q40'!$K$16</f>
        <v>667.22</v>
      </c>
      <c r="K234" s="537">
        <f>+'q40'!$L$16</f>
        <v>700</v>
      </c>
      <c r="L234" s="537">
        <f>+'q40'!$M$16</f>
        <v>746</v>
      </c>
      <c r="M234" s="537">
        <f>+'q40'!$N$16</f>
        <v>800</v>
      </c>
    </row>
    <row r="235" spans="1:13">
      <c r="B235" s="532" t="str">
        <f>+Aux!$B$123</f>
        <v>Ensino secundário + pós sec. não superior nível IV</v>
      </c>
      <c r="C235" s="537">
        <f>+'q40'!$D$21</f>
        <v>678.75</v>
      </c>
      <c r="D235" s="537">
        <f>+'q40'!$E$21</f>
        <v>666.41</v>
      </c>
      <c r="E235" s="537">
        <f>+'q40'!$F$21</f>
        <v>651.55999999999995</v>
      </c>
      <c r="F235" s="537">
        <f>+'q40'!$G$21</f>
        <v>651.55999999999995</v>
      </c>
      <c r="G235" s="537">
        <f>+'q40'!$H$21</f>
        <v>658.97</v>
      </c>
      <c r="H235" s="537">
        <f>+'q40'!$I$21</f>
        <v>680</v>
      </c>
      <c r="I235" s="537">
        <f>+'q40'!$J$21</f>
        <v>700</v>
      </c>
      <c r="J235" s="537">
        <f>+'q40'!$K$21</f>
        <v>720</v>
      </c>
      <c r="K235" s="537">
        <f>+'q40'!$L$21</f>
        <v>750</v>
      </c>
      <c r="L235" s="537">
        <f>+'q40'!$M$21</f>
        <v>798.57</v>
      </c>
      <c r="M235" s="537">
        <f>+'q40'!$N$21</f>
        <v>850</v>
      </c>
    </row>
    <row r="236" spans="1:13">
      <c r="B236" s="532" t="str">
        <f>+Aux!$B$124</f>
        <v>Ensino superior</v>
      </c>
      <c r="C236" s="537">
        <f>+'q40'!$D$26</f>
        <v>1228</v>
      </c>
      <c r="D236" s="537">
        <f>+'q40'!$E$26</f>
        <v>1200</v>
      </c>
      <c r="E236" s="537">
        <f>+'q40'!$F$26</f>
        <v>1201</v>
      </c>
      <c r="F236" s="537">
        <f>+'q40'!$G$26</f>
        <v>1201</v>
      </c>
      <c r="G236" s="537">
        <f>+'q40'!$H$26</f>
        <v>1201</v>
      </c>
      <c r="H236" s="537">
        <f>+'q40'!$I$26</f>
        <v>1201</v>
      </c>
      <c r="I236" s="537">
        <f>+'q40'!$J$26</f>
        <v>1235</v>
      </c>
      <c r="J236" s="537">
        <f>+'q40'!$K$26</f>
        <v>1260.32</v>
      </c>
      <c r="K236" s="537">
        <f>+'q40'!$L$26</f>
        <v>1300</v>
      </c>
      <c r="L236" s="537">
        <f>+'q40'!$M$26</f>
        <v>1376</v>
      </c>
      <c r="M236" s="537">
        <f>+'q40'!$N$26</f>
        <v>1452.5</v>
      </c>
    </row>
    <row r="237" spans="1:13">
      <c r="B237" s="532" t="str">
        <f>+Aux!$B$125</f>
        <v>Ignorado</v>
      </c>
      <c r="C237" s="537">
        <f>+'q40'!$D$31</f>
        <v>600</v>
      </c>
      <c r="D237" s="537">
        <f>+'q40'!$E$31</f>
        <v>600</v>
      </c>
      <c r="E237" s="537">
        <f>+'q40'!$F$31</f>
        <v>550</v>
      </c>
      <c r="F237" s="537">
        <f>+'q40'!$G$31</f>
        <v>560</v>
      </c>
      <c r="G237" s="537">
        <f>+'q40'!$H$31</f>
        <v>591.54999999999995</v>
      </c>
      <c r="H237" s="537">
        <f>+'q40'!$I$31</f>
        <v>600</v>
      </c>
      <c r="I237" s="537">
        <f>+'q40'!$J$31</f>
        <v>615</v>
      </c>
      <c r="J237" s="537">
        <f>+'q40'!$K$31</f>
        <v>647.57000000000005</v>
      </c>
      <c r="K237" s="537">
        <f>+'q40'!$L$31</f>
        <v>700</v>
      </c>
      <c r="L237" s="537">
        <f>+'q40'!$M$31</f>
        <v>750</v>
      </c>
      <c r="M237" s="537">
        <f>+'q40'!$N$31</f>
        <v>775</v>
      </c>
    </row>
    <row r="238" spans="1:13">
      <c r="B238" s="532" t="str">
        <f>+Aux!$B$126</f>
        <v>Total</v>
      </c>
      <c r="C238" s="537">
        <f>+'q40'!$D$6</f>
        <v>641.92999999999995</v>
      </c>
      <c r="D238" s="537">
        <f>+'q40'!$E$6</f>
        <v>641.92999999999995</v>
      </c>
      <c r="E238" s="537">
        <f>+'q40'!$F$6</f>
        <v>650</v>
      </c>
      <c r="F238" s="537">
        <f>+'q40'!$G$6</f>
        <v>650</v>
      </c>
      <c r="G238" s="537">
        <f>+'q40'!$H$6</f>
        <v>660</v>
      </c>
      <c r="H238" s="537">
        <f>+'q40'!$I$6</f>
        <v>690</v>
      </c>
      <c r="I238" s="537">
        <f>+'q40'!$J$6</f>
        <v>720</v>
      </c>
      <c r="J238" s="537">
        <f>+'q40'!$K$6</f>
        <v>750</v>
      </c>
      <c r="K238" s="537">
        <f>+'q40'!$L$6</f>
        <v>786</v>
      </c>
      <c r="L238" s="537">
        <f>+'q40'!$M$6</f>
        <v>816.21</v>
      </c>
      <c r="M238" s="537">
        <f>+'q40'!$N$6</f>
        <v>880</v>
      </c>
    </row>
    <row r="240" spans="1:13">
      <c r="A240" s="539" t="s">
        <v>397</v>
      </c>
    </row>
    <row r="241" spans="1:26">
      <c r="A241" s="546" t="s">
        <v>389</v>
      </c>
    </row>
    <row r="242" spans="1:26">
      <c r="A242" s="539" t="s">
        <v>297</v>
      </c>
      <c r="C242" s="501">
        <f>+'q40'!$D$4</f>
        <v>2013</v>
      </c>
      <c r="D242" s="501">
        <f>+'q40'!$E$4</f>
        <v>2014</v>
      </c>
      <c r="E242" s="501">
        <f>+'q40'!$F$4</f>
        <v>2015</v>
      </c>
      <c r="F242" s="501">
        <f>+'q40'!$G$4</f>
        <v>2016</v>
      </c>
      <c r="G242" s="501">
        <f>+'q40'!$H$4</f>
        <v>2017</v>
      </c>
      <c r="H242" s="501">
        <f>+'q40'!$I$4</f>
        <v>2018</v>
      </c>
      <c r="I242" s="501">
        <f>+'q40'!$J$4</f>
        <v>2019</v>
      </c>
      <c r="J242" s="501">
        <f>+'q40'!$K$4</f>
        <v>2020</v>
      </c>
      <c r="K242" s="501">
        <f>+'q40'!$L$4</f>
        <v>2021</v>
      </c>
      <c r="L242" s="501">
        <f>+'q40'!$M$4</f>
        <v>2022</v>
      </c>
      <c r="M242" s="501">
        <f>+'q40'!$N$4</f>
        <v>2023</v>
      </c>
    </row>
    <row r="243" spans="1:26">
      <c r="A243" s="539"/>
      <c r="B243" s="532" t="str">
        <f>+Aux!$B$121</f>
        <v>&lt; 1.º ciclo do ensino básico</v>
      </c>
      <c r="C243" s="537">
        <f>+'q40'!$D$13</f>
        <v>611.9</v>
      </c>
      <c r="D243" s="537">
        <f>+'q40'!$E$13</f>
        <v>625</v>
      </c>
      <c r="E243" s="537">
        <f>+'q40'!$F$13</f>
        <v>631.25</v>
      </c>
      <c r="F243" s="537">
        <f>+'q40'!$G$13</f>
        <v>642</v>
      </c>
      <c r="G243" s="537">
        <f>+'q40'!$H$13</f>
        <v>670.93</v>
      </c>
      <c r="H243" s="537">
        <f>+'q40'!$I$13</f>
        <v>701.5</v>
      </c>
      <c r="I243" s="537">
        <f>+'q40'!$J$13</f>
        <v>728.52</v>
      </c>
      <c r="J243" s="537">
        <f>+'q40'!$K$13</f>
        <v>753</v>
      </c>
      <c r="K243" s="537">
        <f>+'q40'!$L$13</f>
        <v>780.25</v>
      </c>
      <c r="L243" s="537">
        <f>+'q40'!$M$13</f>
        <v>825</v>
      </c>
      <c r="M243" s="537">
        <f>+'q40'!$N$13</f>
        <v>893.11</v>
      </c>
    </row>
    <row r="244" spans="1:26">
      <c r="B244" s="532" t="str">
        <f>+Aux!$B$122</f>
        <v>Ensino básico</v>
      </c>
      <c r="C244" s="537">
        <f>+'q40'!$D$18</f>
        <v>681.74</v>
      </c>
      <c r="D244" s="537">
        <f>+'q40'!$E$18</f>
        <v>686.25</v>
      </c>
      <c r="E244" s="537">
        <f>+'q40'!$F$18</f>
        <v>690</v>
      </c>
      <c r="F244" s="537">
        <f>+'q40'!$G$18</f>
        <v>699.11</v>
      </c>
      <c r="G244" s="537">
        <f>+'q40'!$H$18</f>
        <v>722.52</v>
      </c>
      <c r="H244" s="537">
        <f>+'q40'!$I$18</f>
        <v>752</v>
      </c>
      <c r="I244" s="537">
        <f>+'q40'!$J$18</f>
        <v>783.62</v>
      </c>
      <c r="J244" s="537">
        <f>+'q40'!$K$18</f>
        <v>810.23</v>
      </c>
      <c r="K244" s="537">
        <f>+'q40'!$L$18</f>
        <v>845.4</v>
      </c>
      <c r="L244" s="537">
        <f>+'q40'!$M$18</f>
        <v>891.6</v>
      </c>
      <c r="M244" s="537">
        <f>+'q40'!$N$18</f>
        <v>964</v>
      </c>
    </row>
    <row r="245" spans="1:26">
      <c r="B245" s="532" t="str">
        <f>+Aux!$B$123</f>
        <v>Ensino secundário + pós sec. não superior nível IV</v>
      </c>
      <c r="C245" s="537">
        <f>+'q40'!$D$23</f>
        <v>828.73</v>
      </c>
      <c r="D245" s="537">
        <f>+'q40'!$E$23</f>
        <v>817.76</v>
      </c>
      <c r="E245" s="537">
        <f>+'q40'!$F$23</f>
        <v>807.1</v>
      </c>
      <c r="F245" s="537">
        <f>+'q40'!$G$23</f>
        <v>807.17</v>
      </c>
      <c r="G245" s="537">
        <f>+'q40'!$H$23</f>
        <v>823.5</v>
      </c>
      <c r="H245" s="537">
        <f>+'q40'!$I$23</f>
        <v>846.69</v>
      </c>
      <c r="I245" s="537">
        <f>+'q40'!$J$23</f>
        <v>872.97</v>
      </c>
      <c r="J245" s="537">
        <f>+'q40'!$K$23</f>
        <v>900.99</v>
      </c>
      <c r="K245" s="537">
        <f>+'q40'!$L$23</f>
        <v>927.28</v>
      </c>
      <c r="L245" s="537">
        <f>+'q40'!$M$23</f>
        <v>977.7</v>
      </c>
      <c r="M245" s="537">
        <f>+'q40'!$N$23</f>
        <v>1050.8</v>
      </c>
    </row>
    <row r="246" spans="1:26">
      <c r="B246" s="532" t="str">
        <f>+Aux!$B$124</f>
        <v>Ensino superior</v>
      </c>
      <c r="C246" s="537">
        <f>+'q40'!$D$28</f>
        <v>1429.7</v>
      </c>
      <c r="D246" s="537">
        <f>+'q40'!$E$28</f>
        <v>1402.52</v>
      </c>
      <c r="E246" s="537">
        <f>+'q40'!$F$28</f>
        <v>1385.74</v>
      </c>
      <c r="F246" s="537">
        <f>+'q40'!$G$28</f>
        <v>1380</v>
      </c>
      <c r="G246" s="537">
        <f>+'q40'!$H$28</f>
        <v>1388.06</v>
      </c>
      <c r="H246" s="537">
        <f>+'q40'!$I$28</f>
        <v>1425.49</v>
      </c>
      <c r="I246" s="537">
        <f>+'q40'!$J$28</f>
        <v>1470.43</v>
      </c>
      <c r="J246" s="537">
        <f>+'q40'!$K$28</f>
        <v>1508.15</v>
      </c>
      <c r="K246" s="537">
        <f>+'q40'!$L$28</f>
        <v>1545.1</v>
      </c>
      <c r="L246" s="537">
        <f>+'q40'!$M$28</f>
        <v>1621.95</v>
      </c>
      <c r="M246" s="537">
        <f>+'q40'!$N$28</f>
        <v>1734.72</v>
      </c>
    </row>
    <row r="247" spans="1:26">
      <c r="B247" s="532" t="str">
        <f>+Aux!$B$125</f>
        <v>Ignorado</v>
      </c>
      <c r="C247" s="537">
        <f>+'q40'!$D$33</f>
        <v>728.71</v>
      </c>
      <c r="D247" s="537">
        <f>+'q40'!$E$33</f>
        <v>700</v>
      </c>
      <c r="E247" s="537">
        <f>+'q40'!$F$33</f>
        <v>650</v>
      </c>
      <c r="F247" s="537">
        <f>+'q40'!$G$33</f>
        <v>662.5</v>
      </c>
      <c r="G247" s="537">
        <f>+'q40'!$H$33</f>
        <v>700</v>
      </c>
      <c r="H247" s="537">
        <f>+'q40'!$I$33</f>
        <v>750.96</v>
      </c>
      <c r="I247" s="537">
        <f>+'q40'!$J$33</f>
        <v>742</v>
      </c>
      <c r="J247" s="537">
        <f>+'q40'!$K$33</f>
        <v>785.36</v>
      </c>
      <c r="K247" s="537">
        <f>+'q40'!$L$33</f>
        <v>850</v>
      </c>
      <c r="L247" s="537">
        <f>+'q40'!$M$33</f>
        <v>908.5</v>
      </c>
      <c r="M247" s="537">
        <f>+'q40'!$N$33</f>
        <v>930.01</v>
      </c>
    </row>
    <row r="248" spans="1:26">
      <c r="B248" s="532" t="str">
        <f>+Aux!$B$126</f>
        <v>Total</v>
      </c>
      <c r="C248" s="537">
        <f>+'q40'!$D$8</f>
        <v>785.45</v>
      </c>
      <c r="D248" s="537">
        <f>+'q40'!$E$8</f>
        <v>786.99</v>
      </c>
      <c r="E248" s="537">
        <f>+'q40'!$F$8</f>
        <v>790.03</v>
      </c>
      <c r="F248" s="537">
        <f>+'q40'!$G$8</f>
        <v>800</v>
      </c>
      <c r="G248" s="537">
        <f>+'q40'!$H$8</f>
        <v>822.95</v>
      </c>
      <c r="H248" s="537">
        <f>+'q40'!$I$8</f>
        <v>854.8</v>
      </c>
      <c r="I248" s="537">
        <f>+'q40'!$J$8</f>
        <v>892.01</v>
      </c>
      <c r="J248" s="537">
        <f>+'q40'!$K$8</f>
        <v>926.14</v>
      </c>
      <c r="K248" s="537">
        <f>+'q40'!$L$8</f>
        <v>962.2</v>
      </c>
      <c r="L248" s="537">
        <f>+'q40'!$M$8</f>
        <v>1017.5</v>
      </c>
      <c r="M248" s="537">
        <f>+'q40'!$N$8</f>
        <v>1100.17</v>
      </c>
    </row>
    <row r="251" spans="1:26">
      <c r="A251" s="501" t="s">
        <v>766</v>
      </c>
      <c r="R251" s="23"/>
      <c r="S251" s="23"/>
      <c r="T251" s="23"/>
      <c r="U251" s="23"/>
      <c r="V251" s="23"/>
      <c r="W251" s="23"/>
      <c r="X251" s="23"/>
    </row>
    <row r="252" spans="1:26">
      <c r="A252" s="534" t="s">
        <v>765</v>
      </c>
      <c r="R252" s="532">
        <f>+INDEX(q17_a_q19_q26_a_q29_q37_q40_Fig!$A$2:$A$12,q17_a_q19_q26_a_q29_q37_q40_Fig!$P$9)</f>
        <v>2023</v>
      </c>
      <c r="S252" s="739" t="s">
        <v>765</v>
      </c>
      <c r="T252" s="23"/>
      <c r="U252" s="23" t="s">
        <v>782</v>
      </c>
      <c r="V252" s="23" t="s">
        <v>782</v>
      </c>
      <c r="W252" s="23" t="s">
        <v>786</v>
      </c>
      <c r="X252" s="23"/>
    </row>
    <row r="253" spans="1:26">
      <c r="A253" s="534" t="s">
        <v>185</v>
      </c>
      <c r="C253" s="501">
        <f>+'q19'!$C$4</f>
        <v>2013</v>
      </c>
      <c r="D253" s="501">
        <f>+'q19'!$D$4</f>
        <v>2014</v>
      </c>
      <c r="E253" s="501">
        <f>+'q19'!$E$4</f>
        <v>2015</v>
      </c>
      <c r="F253" s="501">
        <f>+'q19'!$F$4</f>
        <v>2016</v>
      </c>
      <c r="G253" s="501">
        <f>+'q19'!$G$4</f>
        <v>2017</v>
      </c>
      <c r="H253" s="501">
        <f>+'q19'!$H$4</f>
        <v>2018</v>
      </c>
      <c r="I253" s="501">
        <f>+'q19'!$I$4</f>
        <v>2019</v>
      </c>
      <c r="J253" s="501">
        <f>+'q19'!$J$4</f>
        <v>2020</v>
      </c>
      <c r="K253" s="501">
        <f>+'q19'!$K$4</f>
        <v>2021</v>
      </c>
      <c r="L253" s="501">
        <f>+'q19'!$L$4</f>
        <v>2022</v>
      </c>
      <c r="M253" s="501">
        <f>+'q19'!$M$4</f>
        <v>2023</v>
      </c>
      <c r="R253" s="23"/>
      <c r="S253" s="23"/>
      <c r="T253" s="739" t="s">
        <v>185</v>
      </c>
      <c r="U253" s="739" t="s">
        <v>296</v>
      </c>
      <c r="V253" s="739" t="s">
        <v>297</v>
      </c>
      <c r="W253" s="739" t="s">
        <v>296</v>
      </c>
      <c r="X253" s="23"/>
      <c r="Y253" s="532" t="s">
        <v>789</v>
      </c>
    </row>
    <row r="254" spans="1:26">
      <c r="A254" s="533" t="s">
        <v>12</v>
      </c>
      <c r="B254" s="532" t="str">
        <f>+Aux!$C$164</f>
        <v>Repres. poder leg. e de órgãos exec., dirig., diret. e gestores executivos</v>
      </c>
      <c r="C254" s="541">
        <f>+'q19'!$C$6</f>
        <v>103488</v>
      </c>
      <c r="D254" s="541">
        <f>+'q19'!$D$6</f>
        <v>102919</v>
      </c>
      <c r="E254" s="541">
        <f>+'q19'!$E$6</f>
        <v>102237</v>
      </c>
      <c r="F254" s="541">
        <f>+'q19'!$F$6</f>
        <v>102101</v>
      </c>
      <c r="G254" s="541">
        <f>+'q19'!$G$6</f>
        <v>103477</v>
      </c>
      <c r="H254" s="541">
        <f>+'q19'!$H$6</f>
        <v>103469</v>
      </c>
      <c r="I254" s="541">
        <f>+'q19'!$I$6</f>
        <v>102017</v>
      </c>
      <c r="J254" s="541">
        <f>+'q19'!$J$6</f>
        <v>103372</v>
      </c>
      <c r="K254" s="541">
        <f>+'q19'!$K$6</f>
        <v>101914</v>
      </c>
      <c r="L254" s="541">
        <f>+'q19'!$L$6</f>
        <v>108618</v>
      </c>
      <c r="M254" s="541">
        <f>+'q19'!$M$6</f>
        <v>112926</v>
      </c>
      <c r="R254" s="23"/>
      <c r="S254" s="23" t="s">
        <v>654</v>
      </c>
      <c r="T254" s="740">
        <f>+INDEX($B$253:$M$264,MATCH($S$254:$S$264,$B$253:$B$264,0),MATCH($R$252,$B$253:$M$253,0))</f>
        <v>112926</v>
      </c>
      <c r="U254" s="741">
        <f>+INDEX($B$268:$M$279,MATCH($S$254:$S$264,$B$268:$B$279,0),MATCH($R$252,$B$268:$M$268,0))</f>
        <v>2657.57</v>
      </c>
      <c r="V254" s="741">
        <f>+INDEX($B$297:$M$308,MATCH($S$254:$S$264,$B$297:$B$308,0),MATCH($R$252,$B$297:$M$297,0))</f>
        <v>3072.68</v>
      </c>
      <c r="W254" s="741">
        <f>+INDEX($B$282:$M$293,MATCH($S$254:$S$264,$B$282:$B$293,0),MATCH($R$252,$B$282:$M$282,0))</f>
        <v>15.43</v>
      </c>
      <c r="X254" s="742">
        <f>+T254/$T$264</f>
        <v>3.426013626873179E-2</v>
      </c>
      <c r="Y254" s="619">
        <f>+U254/V254</f>
        <v>0.86490295116966309</v>
      </c>
      <c r="Z254" s="618" t="str">
        <f t="shared" ref="Z254:Z263" si="26">+S254</f>
        <v>Repres. poder leg. e de órgãos exec., dirig., diret. e gestores executivos</v>
      </c>
    </row>
    <row r="255" spans="1:26">
      <c r="B255" s="532" t="str">
        <f>+Aux!$C$165</f>
        <v>Especial.das ativ.intelet.e cientif.</v>
      </c>
      <c r="C255" s="541">
        <f>+'q19'!$C$11</f>
        <v>248750</v>
      </c>
      <c r="D255" s="541">
        <f>+'q19'!$D$11</f>
        <v>257358</v>
      </c>
      <c r="E255" s="541">
        <f>+'q19'!$E$11</f>
        <v>268541</v>
      </c>
      <c r="F255" s="541">
        <f>+'q19'!$F$11</f>
        <v>279378</v>
      </c>
      <c r="G255" s="541">
        <f>+'q19'!$G$11</f>
        <v>293235</v>
      </c>
      <c r="H255" s="541">
        <f>+'q19'!$H$11</f>
        <v>314401</v>
      </c>
      <c r="I255" s="541">
        <f>+'q19'!$I$11</f>
        <v>332396</v>
      </c>
      <c r="J255" s="541">
        <f>+'q19'!$J$11</f>
        <v>345330</v>
      </c>
      <c r="K255" s="541">
        <f>+'q19'!$K$11</f>
        <v>358638</v>
      </c>
      <c r="L255" s="541">
        <f>+'q19'!$L$11</f>
        <v>394102</v>
      </c>
      <c r="M255" s="541">
        <f>+'q19'!$M$11</f>
        <v>416579</v>
      </c>
      <c r="R255" s="23"/>
      <c r="S255" s="23" t="s">
        <v>659</v>
      </c>
      <c r="T255" s="740">
        <f t="shared" ref="T255:T264" si="27">+INDEX($B$253:$M$264,MATCH($S$254:$S$264,$B$253:$B$264,0),MATCH($R$252,$B$253:$M$253,0))</f>
        <v>416579</v>
      </c>
      <c r="U255" s="741">
        <f t="shared" ref="U255:U264" si="28">+INDEX($B$268:$M$279,MATCH($S$254:$S$264,$B$268:$B$279,0),MATCH($R$252,$B$268:$M$268,0))</f>
        <v>1907.03</v>
      </c>
      <c r="V255" s="741">
        <f t="shared" ref="V255:V264" si="29">+INDEX($B$297:$M$308,MATCH($S$254:$S$264,$B$297:$B$308,0),MATCH($R$252,$B$297:$M$297,0))</f>
        <v>2222.79</v>
      </c>
      <c r="W255" s="741">
        <f t="shared" ref="W255:W264" si="30">+INDEX($B$282:$M$293,MATCH($S$254:$S$264,$B$282:$B$293,0),MATCH($R$252,$B$282:$M$282,0))</f>
        <v>11.33</v>
      </c>
      <c r="X255" s="742">
        <f t="shared" ref="X255:X263" si="31">+T255/$T$264</f>
        <v>0.12638412151933143</v>
      </c>
      <c r="Y255" s="619">
        <f t="shared" ref="Y255:Y264" si="32">+U255/V255</f>
        <v>0.8579442952325681</v>
      </c>
      <c r="Z255" s="618" t="str">
        <f t="shared" si="26"/>
        <v>Especial.das ativ.intelet.e cientif.</v>
      </c>
    </row>
    <row r="256" spans="1:26">
      <c r="B256" s="532" t="str">
        <f>+Aux!$C$166</f>
        <v>Técn. e prof. de nível intermédio</v>
      </c>
      <c r="C256" s="541">
        <f>+'q19'!$C$18</f>
        <v>240864</v>
      </c>
      <c r="D256" s="541">
        <f>+'q19'!$D$18</f>
        <v>246049</v>
      </c>
      <c r="E256" s="541">
        <f>+'q19'!$E$18</f>
        <v>251040</v>
      </c>
      <c r="F256" s="541">
        <f>+'q19'!$F$18</f>
        <v>259812</v>
      </c>
      <c r="G256" s="541">
        <f>+'q19'!$G$18</f>
        <v>269831</v>
      </c>
      <c r="H256" s="541">
        <f>+'q19'!$H$18</f>
        <v>281971</v>
      </c>
      <c r="I256" s="541">
        <f>+'q19'!$I$18</f>
        <v>289631</v>
      </c>
      <c r="J256" s="541">
        <f>+'q19'!$J$18</f>
        <v>296724</v>
      </c>
      <c r="K256" s="541">
        <f>+'q19'!$K$18</f>
        <v>303361</v>
      </c>
      <c r="L256" s="541">
        <f>+'q19'!$L$18</f>
        <v>325171</v>
      </c>
      <c r="M256" s="541">
        <f>+'q19'!$M$18</f>
        <v>340854</v>
      </c>
      <c r="R256" s="23"/>
      <c r="S256" s="23" t="s">
        <v>666</v>
      </c>
      <c r="T256" s="740">
        <f t="shared" si="27"/>
        <v>340854</v>
      </c>
      <c r="U256" s="741">
        <f t="shared" si="28"/>
        <v>1506.33</v>
      </c>
      <c r="V256" s="741">
        <f t="shared" si="29"/>
        <v>1836.79</v>
      </c>
      <c r="W256" s="741">
        <f t="shared" si="30"/>
        <v>8.6999999999999993</v>
      </c>
      <c r="X256" s="742">
        <f t="shared" si="31"/>
        <v>0.10341023756922504</v>
      </c>
      <c r="Y256" s="619">
        <f t="shared" si="32"/>
        <v>0.82008830622989015</v>
      </c>
      <c r="Z256" s="618" t="str">
        <f t="shared" si="26"/>
        <v>Técn. e prof. de nível intermédio</v>
      </c>
    </row>
    <row r="257" spans="1:30">
      <c r="B257" s="532" t="str">
        <f>+Aux!$C$167</f>
        <v>Pessoal administrativo</v>
      </c>
      <c r="C257" s="541">
        <f>+'q19'!$C$24</f>
        <v>322068</v>
      </c>
      <c r="D257" s="541">
        <f>+'q19'!$D$24</f>
        <v>329818</v>
      </c>
      <c r="E257" s="541">
        <f>+'q19'!$E$24</f>
        <v>339590</v>
      </c>
      <c r="F257" s="541">
        <f>+'q19'!$F$24</f>
        <v>354101</v>
      </c>
      <c r="G257" s="541">
        <f>+'q19'!$G$24</f>
        <v>364437</v>
      </c>
      <c r="H257" s="541">
        <f>+'q19'!$H$24</f>
        <v>379700</v>
      </c>
      <c r="I257" s="541">
        <f>+'q19'!$I$24</f>
        <v>385649</v>
      </c>
      <c r="J257" s="541">
        <f>+'q19'!$J$24</f>
        <v>383564</v>
      </c>
      <c r="K257" s="541">
        <f>+'q19'!$K$24</f>
        <v>383195</v>
      </c>
      <c r="L257" s="541">
        <f>+'q19'!$L$24</f>
        <v>421193</v>
      </c>
      <c r="M257" s="541">
        <f>+'q19'!$M$24</f>
        <v>434712</v>
      </c>
      <c r="R257" s="23"/>
      <c r="S257" s="23" t="s">
        <v>672</v>
      </c>
      <c r="T257" s="740">
        <f t="shared" si="27"/>
        <v>434712</v>
      </c>
      <c r="U257" s="741">
        <f t="shared" si="28"/>
        <v>1075.58</v>
      </c>
      <c r="V257" s="741">
        <f t="shared" si="29"/>
        <v>1303.32</v>
      </c>
      <c r="W257" s="741">
        <f t="shared" si="30"/>
        <v>6.18</v>
      </c>
      <c r="X257" s="742">
        <f t="shared" si="31"/>
        <v>0.13188541485267286</v>
      </c>
      <c r="Y257" s="619">
        <f t="shared" si="32"/>
        <v>0.82526163950526343</v>
      </c>
      <c r="Z257" s="618" t="str">
        <f t="shared" si="26"/>
        <v>Pessoal administrativo</v>
      </c>
    </row>
    <row r="258" spans="1:30">
      <c r="B258" s="532" t="str">
        <f>+Aux!$C$168</f>
        <v>Trab.dos serv.pessoais, de prot.e segur.e vendedores</v>
      </c>
      <c r="C258" s="541">
        <f>+'q19'!$C$29</f>
        <v>502616</v>
      </c>
      <c r="D258" s="541">
        <f>+'q19'!$D$29</f>
        <v>522200</v>
      </c>
      <c r="E258" s="541">
        <f>+'q19'!$E$29</f>
        <v>543846</v>
      </c>
      <c r="F258" s="541">
        <f>+'q19'!$F$29</f>
        <v>569034</v>
      </c>
      <c r="G258" s="541">
        <f>+'q19'!$G$29</f>
        <v>601609</v>
      </c>
      <c r="H258" s="541">
        <f>+'q19'!$H$29</f>
        <v>617409</v>
      </c>
      <c r="I258" s="541">
        <f>+'q19'!$I$29</f>
        <v>636383</v>
      </c>
      <c r="J258" s="541">
        <f>+'q19'!$J$29</f>
        <v>600680</v>
      </c>
      <c r="K258" s="541">
        <f>+'q19'!$K$29</f>
        <v>604817</v>
      </c>
      <c r="L258" s="541">
        <f>+'q19'!$L$29</f>
        <v>658740</v>
      </c>
      <c r="M258" s="541">
        <f>+'q19'!$M$29</f>
        <v>691852</v>
      </c>
      <c r="R258" s="23"/>
      <c r="S258" s="23" t="s">
        <v>677</v>
      </c>
      <c r="T258" s="740">
        <f t="shared" si="27"/>
        <v>691852</v>
      </c>
      <c r="U258" s="741">
        <f t="shared" si="28"/>
        <v>897.05</v>
      </c>
      <c r="V258" s="741">
        <f t="shared" si="29"/>
        <v>1078.9100000000001</v>
      </c>
      <c r="W258" s="741">
        <f t="shared" si="30"/>
        <v>5.18</v>
      </c>
      <c r="X258" s="742">
        <f t="shared" si="31"/>
        <v>0.20989801992273371</v>
      </c>
      <c r="Y258" s="619">
        <f t="shared" si="32"/>
        <v>0.83144099137092053</v>
      </c>
      <c r="Z258" s="618" t="str">
        <f t="shared" si="26"/>
        <v>Trab.dos serv.pessoais, de prot.e segur.e vendedores</v>
      </c>
    </row>
    <row r="259" spans="1:30">
      <c r="B259" s="532" t="str">
        <f>+Aux!$C$169</f>
        <v>Agric.e trab.qualif.da agric.,da pesca e da floresta</v>
      </c>
      <c r="C259" s="541">
        <f>+'q19'!$C$34</f>
        <v>30746</v>
      </c>
      <c r="D259" s="541">
        <f>+'q19'!$D$34</f>
        <v>31493</v>
      </c>
      <c r="E259" s="541">
        <f>+'q19'!$E$34</f>
        <v>32226</v>
      </c>
      <c r="F259" s="541">
        <f>+'q19'!$F$34</f>
        <v>32914</v>
      </c>
      <c r="G259" s="541">
        <f>+'q19'!$G$34</f>
        <v>33535</v>
      </c>
      <c r="H259" s="541">
        <f>+'q19'!$H$34</f>
        <v>36393</v>
      </c>
      <c r="I259" s="541">
        <f>+'q19'!$I$34</f>
        <v>36879</v>
      </c>
      <c r="J259" s="541">
        <f>+'q19'!$J$34</f>
        <v>39132</v>
      </c>
      <c r="K259" s="541">
        <f>+'q19'!$K$34</f>
        <v>36652</v>
      </c>
      <c r="L259" s="541">
        <f>+'q19'!$L$34</f>
        <v>37073</v>
      </c>
      <c r="M259" s="541">
        <f>+'q19'!$M$34</f>
        <v>37292</v>
      </c>
      <c r="R259" s="23"/>
      <c r="S259" s="23" t="s">
        <v>682</v>
      </c>
      <c r="T259" s="740">
        <f t="shared" si="27"/>
        <v>37292</v>
      </c>
      <c r="U259" s="741">
        <f t="shared" si="28"/>
        <v>921.84</v>
      </c>
      <c r="V259" s="741">
        <f t="shared" si="29"/>
        <v>1062.6099999999999</v>
      </c>
      <c r="W259" s="741">
        <f t="shared" si="30"/>
        <v>5</v>
      </c>
      <c r="X259" s="742">
        <f t="shared" si="31"/>
        <v>1.1313860419509644E-2</v>
      </c>
      <c r="Y259" s="619">
        <f t="shared" si="32"/>
        <v>0.86752430336623987</v>
      </c>
      <c r="Z259" s="618" t="str">
        <f t="shared" si="26"/>
        <v>Agric.e trab.qualif.da agric.,da pesca e da floresta</v>
      </c>
    </row>
    <row r="260" spans="1:30">
      <c r="B260" s="532" t="str">
        <f>+Aux!$C$170</f>
        <v>Trab.qualif.da ind.,constr.e artific.</v>
      </c>
      <c r="C260" s="541">
        <f>+'q19'!$C$37</f>
        <v>360756</v>
      </c>
      <c r="D260" s="541">
        <f>+'q19'!$D$37</f>
        <v>368809</v>
      </c>
      <c r="E260" s="541">
        <f>+'q19'!$E$37</f>
        <v>376388</v>
      </c>
      <c r="F260" s="541">
        <f>+'q19'!$F$37</f>
        <v>384741</v>
      </c>
      <c r="G260" s="541">
        <f>+'q19'!$G$37</f>
        <v>400615</v>
      </c>
      <c r="H260" s="541">
        <f>+'q19'!$H$37</f>
        <v>413669</v>
      </c>
      <c r="I260" s="541">
        <f>+'q19'!$I$37</f>
        <v>416319</v>
      </c>
      <c r="J260" s="541">
        <f>+'q19'!$J$37</f>
        <v>417902</v>
      </c>
      <c r="K260" s="541">
        <f>+'q19'!$K$37</f>
        <v>412413</v>
      </c>
      <c r="L260" s="541">
        <f>+'q19'!$L$37</f>
        <v>440677</v>
      </c>
      <c r="M260" s="541">
        <f>+'q19'!$M$37</f>
        <v>457733</v>
      </c>
      <c r="R260" s="23"/>
      <c r="S260" s="23" t="s">
        <v>685</v>
      </c>
      <c r="T260" s="740">
        <f t="shared" si="27"/>
        <v>457733</v>
      </c>
      <c r="U260" s="741">
        <f t="shared" si="28"/>
        <v>951.56</v>
      </c>
      <c r="V260" s="741">
        <f t="shared" si="29"/>
        <v>1154.1400000000001</v>
      </c>
      <c r="W260" s="741">
        <f t="shared" si="30"/>
        <v>5.41</v>
      </c>
      <c r="X260" s="742">
        <f t="shared" si="31"/>
        <v>0.13886965760493961</v>
      </c>
      <c r="Y260" s="619">
        <f t="shared" si="32"/>
        <v>0.82447536693988588</v>
      </c>
      <c r="Z260" s="618" t="str">
        <f t="shared" si="26"/>
        <v>Trab.qualif.da ind.,constr.e artific.</v>
      </c>
    </row>
    <row r="261" spans="1:30">
      <c r="B261" s="532" t="str">
        <f>+Aux!$C$171</f>
        <v>Oper.de inst.e máq.e trab.mont.</v>
      </c>
      <c r="C261" s="541">
        <f>+'q19'!$C$43</f>
        <v>264446</v>
      </c>
      <c r="D261" s="541">
        <f>+'q19'!$D$43</f>
        <v>274804</v>
      </c>
      <c r="E261" s="541">
        <f>+'q19'!$E$43</f>
        <v>280377</v>
      </c>
      <c r="F261" s="541">
        <f>+'q19'!$F$43</f>
        <v>291313</v>
      </c>
      <c r="G261" s="541">
        <f>+'q19'!$G$43</f>
        <v>307015</v>
      </c>
      <c r="H261" s="541">
        <f>+'q19'!$H$43</f>
        <v>315599</v>
      </c>
      <c r="I261" s="541">
        <f>+'q19'!$I$43</f>
        <v>307042</v>
      </c>
      <c r="J261" s="541">
        <f>+'q19'!$J$43</f>
        <v>302090</v>
      </c>
      <c r="K261" s="541">
        <f>+'q19'!$K$43</f>
        <v>298377</v>
      </c>
      <c r="L261" s="541">
        <f>+'q19'!$L$43</f>
        <v>315144</v>
      </c>
      <c r="M261" s="541">
        <f>+'q19'!$M$43</f>
        <v>324386</v>
      </c>
      <c r="R261" s="23"/>
      <c r="S261" s="23" t="s">
        <v>691</v>
      </c>
      <c r="T261" s="740">
        <f t="shared" si="27"/>
        <v>324386</v>
      </c>
      <c r="U261" s="741">
        <f t="shared" si="28"/>
        <v>925.47</v>
      </c>
      <c r="V261" s="741">
        <f t="shared" si="29"/>
        <v>1235.24</v>
      </c>
      <c r="W261" s="741">
        <f t="shared" si="30"/>
        <v>5.33</v>
      </c>
      <c r="X261" s="742">
        <f t="shared" si="31"/>
        <v>9.8414081466348155E-2</v>
      </c>
      <c r="Y261" s="619">
        <f t="shared" si="32"/>
        <v>0.74922282309510702</v>
      </c>
      <c r="Z261" s="618" t="str">
        <f t="shared" si="26"/>
        <v>Oper.de inst.e máq.e trab.mont.</v>
      </c>
    </row>
    <row r="262" spans="1:30">
      <c r="B262" s="532" t="str">
        <f>+Aux!$C$172</f>
        <v>Trabalhadores não qualificados</v>
      </c>
      <c r="C262" s="541">
        <f>+'q19'!$C$47</f>
        <v>308516</v>
      </c>
      <c r="D262" s="541">
        <f>+'q19'!$D$47</f>
        <v>322924</v>
      </c>
      <c r="E262" s="541">
        <f>+'q19'!$E$47</f>
        <v>341417</v>
      </c>
      <c r="F262" s="541">
        <f>+'q19'!$F$47</f>
        <v>366149</v>
      </c>
      <c r="G262" s="541">
        <f>+'q19'!$G$47</f>
        <v>391370</v>
      </c>
      <c r="H262" s="541">
        <f>+'q19'!$H$47</f>
        <v>413348</v>
      </c>
      <c r="I262" s="541">
        <f>+'q19'!$I$47</f>
        <v>422064</v>
      </c>
      <c r="J262" s="541">
        <f>+'q19'!$J$47</f>
        <v>411879</v>
      </c>
      <c r="K262" s="541">
        <f>+'q19'!$K$47</f>
        <v>420318</v>
      </c>
      <c r="L262" s="541">
        <f>+'q19'!$L$47</f>
        <v>444590</v>
      </c>
      <c r="M262" s="541">
        <f>+'q19'!$M$47</f>
        <v>477160</v>
      </c>
      <c r="R262" s="23"/>
      <c r="S262" s="23" t="s">
        <v>695</v>
      </c>
      <c r="T262" s="740">
        <f t="shared" si="27"/>
        <v>477160</v>
      </c>
      <c r="U262" s="741">
        <f t="shared" si="28"/>
        <v>853.75</v>
      </c>
      <c r="V262" s="741">
        <f t="shared" si="29"/>
        <v>1007.47</v>
      </c>
      <c r="W262" s="741">
        <f t="shared" si="30"/>
        <v>4.8600000000000003</v>
      </c>
      <c r="X262" s="742">
        <f t="shared" si="31"/>
        <v>0.14476353206514056</v>
      </c>
      <c r="Y262" s="619">
        <f t="shared" si="32"/>
        <v>0.84741977428608295</v>
      </c>
      <c r="Z262" s="618" t="str">
        <f t="shared" si="26"/>
        <v>Trabalhadores não qualificados</v>
      </c>
    </row>
    <row r="263" spans="1:30">
      <c r="B263" s="532" t="str">
        <f>+Aux!$C$173</f>
        <v>Trabalhadores sem profissão atribuida</v>
      </c>
      <c r="C263" s="541">
        <f>+'q19'!$C$54</f>
        <v>1871</v>
      </c>
      <c r="D263" s="541">
        <f>+'q19'!$D$54</f>
        <v>1789</v>
      </c>
      <c r="E263" s="541">
        <f>+'q19'!$E$54</f>
        <v>1991</v>
      </c>
      <c r="F263" s="541">
        <f>+'q19'!$F$54</f>
        <v>2376</v>
      </c>
      <c r="G263" s="541">
        <f>+'q19'!$G$54</f>
        <v>2397</v>
      </c>
      <c r="H263" s="541">
        <f>+'q19'!$H$54</f>
        <v>1959</v>
      </c>
      <c r="I263" s="541">
        <f>+'q19'!$I$54</f>
        <v>2102</v>
      </c>
      <c r="J263" s="541">
        <f>+'q19'!$J$54</f>
        <v>2152</v>
      </c>
      <c r="K263" s="541">
        <f>+'q19'!$K$54</f>
        <v>2658</v>
      </c>
      <c r="L263" s="541">
        <f>+'q19'!$L$54</f>
        <v>2839</v>
      </c>
      <c r="M263" s="541">
        <f>+'q19'!$M$54</f>
        <v>2640</v>
      </c>
      <c r="R263" s="23"/>
      <c r="S263" s="23" t="s">
        <v>702</v>
      </c>
      <c r="T263" s="740">
        <f t="shared" si="27"/>
        <v>2640</v>
      </c>
      <c r="U263" s="741">
        <f t="shared" si="28"/>
        <v>2853.07</v>
      </c>
      <c r="V263" s="741">
        <f t="shared" si="29"/>
        <v>3169.09</v>
      </c>
      <c r="W263" s="741">
        <f t="shared" si="30"/>
        <v>16.690000000000001</v>
      </c>
      <c r="X263" s="742">
        <f t="shared" si="31"/>
        <v>8.0093831136719565E-4</v>
      </c>
      <c r="Y263" s="619">
        <f t="shared" si="32"/>
        <v>0.90028052216882448</v>
      </c>
      <c r="Z263" s="618" t="str">
        <f t="shared" si="26"/>
        <v>Trabalhadores sem profissão atribuida</v>
      </c>
    </row>
    <row r="264" spans="1:30">
      <c r="B264" s="532" t="s">
        <v>12</v>
      </c>
      <c r="C264" s="541">
        <f>+'q19'!$C$5</f>
        <v>2384121</v>
      </c>
      <c r="D264" s="541">
        <f>+'q19'!$D$5</f>
        <v>2458163</v>
      </c>
      <c r="E264" s="541">
        <f>+'q19'!$E$5</f>
        <v>2537653</v>
      </c>
      <c r="F264" s="541">
        <f>+'q19'!$F$5</f>
        <v>2641919</v>
      </c>
      <c r="G264" s="541">
        <f>+'q19'!$G$5</f>
        <v>2767521</v>
      </c>
      <c r="H264" s="541">
        <f>+'q19'!$H$5</f>
        <v>2877918</v>
      </c>
      <c r="I264" s="541">
        <f>+'q19'!$I$5</f>
        <v>2930482</v>
      </c>
      <c r="J264" s="541">
        <f>+'q19'!$J$5</f>
        <v>2902825</v>
      </c>
      <c r="K264" s="541">
        <f>+'q19'!$K$5</f>
        <v>2922343</v>
      </c>
      <c r="L264" s="541">
        <f>+'q19'!$L$5</f>
        <v>3148147</v>
      </c>
      <c r="M264" s="541">
        <f>+'q19'!$M$5</f>
        <v>3296134</v>
      </c>
      <c r="R264" s="23"/>
      <c r="S264" s="23" t="s">
        <v>12</v>
      </c>
      <c r="T264" s="740">
        <f t="shared" si="27"/>
        <v>3296134</v>
      </c>
      <c r="U264" s="741">
        <f t="shared" si="28"/>
        <v>1219.8699999999999</v>
      </c>
      <c r="V264" s="741">
        <f t="shared" si="29"/>
        <v>1466.66</v>
      </c>
      <c r="W264" s="741">
        <f t="shared" si="30"/>
        <v>6.88</v>
      </c>
      <c r="X264" s="23"/>
      <c r="Y264" s="619">
        <f t="shared" si="32"/>
        <v>0.83173332606057293</v>
      </c>
    </row>
    <row r="265" spans="1:30">
      <c r="R265" s="23"/>
      <c r="S265" s="23"/>
      <c r="T265" s="23"/>
      <c r="U265" s="23"/>
      <c r="V265" s="23"/>
      <c r="W265" s="23"/>
      <c r="X265" s="23"/>
    </row>
    <row r="266" spans="1:30">
      <c r="R266" s="23"/>
      <c r="S266" s="23"/>
      <c r="T266" s="23"/>
      <c r="U266" s="23"/>
      <c r="V266" s="23"/>
      <c r="W266" s="23" t="s">
        <v>790</v>
      </c>
      <c r="X266" s="742">
        <f>+LARGE($X$254:$X$263,1)</f>
        <v>0.20989801992273371</v>
      </c>
      <c r="Y266" s="532" t="str">
        <f>+VLOOKUP(X266,$X$254:$Z$263,COLUMN($X$265)-21,0)</f>
        <v>Trab.dos serv.pessoais, de prot.e segur.e vendedores</v>
      </c>
      <c r="Z266" s="532" t="s">
        <v>793</v>
      </c>
      <c r="AA266" s="532">
        <f>+SMALL($U$254:$U$263,1)</f>
        <v>853.75</v>
      </c>
      <c r="AB266" s="532" t="str">
        <f>+VLOOKUP(AA266,$U$254:$Z$263,COLUMN($U$265)-15,0)</f>
        <v>Trabalhadores não qualificados</v>
      </c>
    </row>
    <row r="267" spans="1:30">
      <c r="A267" s="501" t="s">
        <v>781</v>
      </c>
      <c r="S267" s="532">
        <f>+COLUMN(W265)</f>
        <v>23</v>
      </c>
      <c r="T267" s="532">
        <f>+COLUMN(V265)</f>
        <v>22</v>
      </c>
      <c r="U267" s="532">
        <f>+COLUMN(U265)</f>
        <v>21</v>
      </c>
      <c r="V267" s="532">
        <f>+COLUMN(X265)</f>
        <v>24</v>
      </c>
      <c r="W267" s="532" t="s">
        <v>791</v>
      </c>
      <c r="X267" s="624">
        <f>+LARGE($X$254:$X$263,2)</f>
        <v>0.14476353206514056</v>
      </c>
      <c r="Y267" s="532" t="str">
        <f>+VLOOKUP(X267,$X$254:$Z$263,COLUMN($X$265)-21,0)</f>
        <v>Trabalhadores não qualificados</v>
      </c>
      <c r="Z267" s="532" t="s">
        <v>792</v>
      </c>
      <c r="AA267" s="532">
        <f>+LARGE($U$254:$U$263,1)</f>
        <v>2853.07</v>
      </c>
      <c r="AB267" s="532" t="str">
        <f>+VLOOKUP(AA267,$U$254:$Z$263,COLUMN($U$265)-15,0)</f>
        <v>Trabalhadores sem profissão atribuida</v>
      </c>
    </row>
    <row r="268" spans="1:30">
      <c r="A268" s="533" t="s">
        <v>302</v>
      </c>
      <c r="C268" s="501">
        <f>+'q28'!$C$4</f>
        <v>2013</v>
      </c>
      <c r="D268" s="501">
        <f>+'q28'!$D$4</f>
        <v>2014</v>
      </c>
      <c r="E268" s="501">
        <f>+'q28'!$E$4</f>
        <v>2015</v>
      </c>
      <c r="F268" s="501">
        <f>+'q28'!$F$4</f>
        <v>2016</v>
      </c>
      <c r="G268" s="501">
        <f>+'q28'!$G$4</f>
        <v>2017</v>
      </c>
      <c r="H268" s="501">
        <f>+'q28'!$H$4</f>
        <v>2018</v>
      </c>
      <c r="I268" s="501">
        <f>+'q28'!$I$4</f>
        <v>2019</v>
      </c>
      <c r="J268" s="501">
        <f>+'q28'!$J$4</f>
        <v>2020</v>
      </c>
      <c r="K268" s="501">
        <f>+'q28'!$K$4</f>
        <v>2021</v>
      </c>
      <c r="L268" s="501">
        <f>+'q28'!$L$4</f>
        <v>2022</v>
      </c>
      <c r="M268" s="501">
        <f>+'q28'!$M$4</f>
        <v>2023</v>
      </c>
      <c r="S268" s="532">
        <v>19</v>
      </c>
      <c r="T268" s="532">
        <v>17</v>
      </c>
      <c r="U268" s="532">
        <v>15</v>
      </c>
      <c r="V268" s="532">
        <v>21</v>
      </c>
      <c r="X268" s="621">
        <f>+X266+X267</f>
        <v>0.3546615519878743</v>
      </c>
    </row>
    <row r="269" spans="1:30">
      <c r="A269" s="533" t="s">
        <v>782</v>
      </c>
      <c r="B269" s="532" t="str">
        <f>+Aux!$C$164</f>
        <v>Repres. poder leg. e de órgãos exec., dirig., diret. e gestores executivos</v>
      </c>
      <c r="C269" s="549">
        <f>+'q28'!$C$6</f>
        <v>2065.27</v>
      </c>
      <c r="D269" s="549">
        <f>+'q28'!$D$6</f>
        <v>2052.4499999999998</v>
      </c>
      <c r="E269" s="549">
        <f>+'q28'!$E$6</f>
        <v>2079.75</v>
      </c>
      <c r="F269" s="549">
        <f>+'q28'!$F$6</f>
        <v>2107.9899999999998</v>
      </c>
      <c r="G269" s="549">
        <f>+'q28'!$G$6</f>
        <v>2146.0500000000002</v>
      </c>
      <c r="H269" s="549">
        <f>+'q28'!$H$6</f>
        <v>2200.1999999999998</v>
      </c>
      <c r="I269" s="549">
        <f>+'q28'!$I$6</f>
        <v>2261.4</v>
      </c>
      <c r="J269" s="549">
        <f>+'q28'!$J$6</f>
        <v>2333.06</v>
      </c>
      <c r="K269" s="549">
        <f>+'q28'!$K$6</f>
        <v>2403.16</v>
      </c>
      <c r="L269" s="549">
        <f>+'q28'!$L$6</f>
        <v>2518.79</v>
      </c>
      <c r="M269" s="549">
        <f>+'q28'!$M$6</f>
        <v>2657.57</v>
      </c>
      <c r="S269" s="532">
        <f>+S267-S268</f>
        <v>4</v>
      </c>
      <c r="T269" s="532">
        <f>+T267-T268</f>
        <v>5</v>
      </c>
      <c r="U269" s="532">
        <f>+U267-U268</f>
        <v>6</v>
      </c>
      <c r="V269" s="532">
        <f>+V267-V268</f>
        <v>3</v>
      </c>
      <c r="Z269" s="532" t="s">
        <v>794</v>
      </c>
      <c r="AA269" s="532">
        <f>+SMALL($V$254:$V$263,1)</f>
        <v>1007.47</v>
      </c>
      <c r="AB269" s="532" t="str">
        <f>+VLOOKUP(AA269,$V$254:$Z$263,COLUMN($V$265)-17,0)</f>
        <v>Trabalhadores não qualificados</v>
      </c>
      <c r="AC269" s="533" t="b">
        <f>+EXACT(AB269,AB266)</f>
        <v>1</v>
      </c>
      <c r="AD269" s="532" t="s">
        <v>804</v>
      </c>
    </row>
    <row r="270" spans="1:30">
      <c r="B270" s="532" t="str">
        <f>+Aux!$C$165</f>
        <v>Especial.das ativ.intelet.e cientif.</v>
      </c>
      <c r="C270" s="549">
        <f>+'q28'!$C$11</f>
        <v>1567.9</v>
      </c>
      <c r="D270" s="549">
        <f>+'q28'!$D$11</f>
        <v>1541.53</v>
      </c>
      <c r="E270" s="549">
        <f>+'q28'!$E$11</f>
        <v>1539.36</v>
      </c>
      <c r="F270" s="549">
        <f>+'q28'!$F$11</f>
        <v>1552.11</v>
      </c>
      <c r="G270" s="549">
        <f>+'q28'!$G$11</f>
        <v>1562.24</v>
      </c>
      <c r="H270" s="549">
        <f>+'q28'!$H$11</f>
        <v>1587.78</v>
      </c>
      <c r="I270" s="549">
        <f>+'q28'!$I$11</f>
        <v>1623</v>
      </c>
      <c r="J270" s="549">
        <f>+'q28'!$J$11</f>
        <v>1656.71</v>
      </c>
      <c r="K270" s="549">
        <f>+'q28'!$K$11</f>
        <v>1713.38</v>
      </c>
      <c r="L270" s="549">
        <f>+'q28'!$L$11</f>
        <v>1802.5</v>
      </c>
      <c r="M270" s="549">
        <f>+'q28'!$M$11</f>
        <v>1907.03</v>
      </c>
      <c r="S270" s="501" t="s">
        <v>788</v>
      </c>
      <c r="Z270" s="532" t="s">
        <v>795</v>
      </c>
      <c r="AA270" s="532">
        <f>+LARGE($V$254:$V$263,1)</f>
        <v>3169.09</v>
      </c>
      <c r="AB270" s="532" t="str">
        <f>+VLOOKUP(AA270,$V$254:$Z$263,COLUMN($V$265)-17,0)</f>
        <v>Trabalhadores sem profissão atribuida</v>
      </c>
      <c r="AC270" s="533" t="b">
        <f>+EXACT(AB270,AB267)</f>
        <v>1</v>
      </c>
    </row>
    <row r="271" spans="1:30">
      <c r="B271" s="532" t="str">
        <f>+Aux!$C$166</f>
        <v>Técn. e prof. de nível intermédio</v>
      </c>
      <c r="C271" s="549">
        <f>+'q28'!$C$18</f>
        <v>1214.27</v>
      </c>
      <c r="D271" s="549">
        <f>+'q28'!$D$18</f>
        <v>1199.6500000000001</v>
      </c>
      <c r="E271" s="549">
        <f>+'q28'!$E$18</f>
        <v>1216.57</v>
      </c>
      <c r="F271" s="549">
        <f>+'q28'!$F$18</f>
        <v>1225.94</v>
      </c>
      <c r="G271" s="549">
        <f>+'q28'!$G$18</f>
        <v>1243.8599999999999</v>
      </c>
      <c r="H271" s="549">
        <f>+'q28'!$H$18</f>
        <v>1266.67</v>
      </c>
      <c r="I271" s="549">
        <f>+'q28'!$I$18</f>
        <v>1300.04</v>
      </c>
      <c r="J271" s="549">
        <f>+'q28'!$J$18</f>
        <v>1309.53</v>
      </c>
      <c r="K271" s="549">
        <f>+'q28'!$K$18</f>
        <v>1334.13</v>
      </c>
      <c r="L271" s="549">
        <f>+'q28'!$L$18</f>
        <v>1409.43</v>
      </c>
      <c r="M271" s="549">
        <f>+'q28'!$M$18</f>
        <v>1506.33</v>
      </c>
      <c r="S271" s="532">
        <f>+R252</f>
        <v>2023</v>
      </c>
      <c r="T271" s="532" t="s">
        <v>443</v>
      </c>
    </row>
    <row r="272" spans="1:30">
      <c r="B272" s="532" t="str">
        <f>+Aux!$C$167</f>
        <v>Pessoal administrativo</v>
      </c>
      <c r="C272" s="549">
        <f>+'q28'!$C$24</f>
        <v>851.95</v>
      </c>
      <c r="D272" s="549">
        <f>+'q28'!$D$24</f>
        <v>853.64</v>
      </c>
      <c r="E272" s="549">
        <f>+'q28'!$E$24</f>
        <v>850.24</v>
      </c>
      <c r="F272" s="549">
        <f>+'q28'!$F$24</f>
        <v>858.62</v>
      </c>
      <c r="G272" s="549">
        <f>+'q28'!$G$24</f>
        <v>871.79</v>
      </c>
      <c r="H272" s="549">
        <f>+'q28'!$H$24</f>
        <v>892.08</v>
      </c>
      <c r="I272" s="549">
        <f>+'q28'!$I$24</f>
        <v>915.53</v>
      </c>
      <c r="J272" s="549">
        <f>+'q28'!$J$24</f>
        <v>939.99</v>
      </c>
      <c r="K272" s="549">
        <f>+'q28'!$K$24</f>
        <v>974.11</v>
      </c>
      <c r="L272" s="549">
        <f>+'q28'!$L$24</f>
        <v>1012.3</v>
      </c>
      <c r="M272" s="549">
        <f>+'q28'!$M$24</f>
        <v>1075.58</v>
      </c>
      <c r="S272" s="552" t="str">
        <f>TEXT(X268,"##.###,0%")</f>
        <v>35,5%</v>
      </c>
      <c r="T272" s="532" t="s">
        <v>873</v>
      </c>
      <c r="Z272" s="532" t="s">
        <v>807</v>
      </c>
      <c r="AA272" s="532">
        <f>+SMALL($W$254:$W$263,1)</f>
        <v>4.8600000000000003</v>
      </c>
      <c r="AB272" s="532" t="str">
        <f>+VLOOKUP(AA272,$W$254:$Z$263,COLUMN($W$265)-19,0)</f>
        <v>Trabalhadores não qualificados</v>
      </c>
    </row>
    <row r="273" spans="1:28">
      <c r="B273" s="532" t="str">
        <f>+Aux!$C$168</f>
        <v>Trab.dos serv.pessoais, de prot.e segur.e vendedores</v>
      </c>
      <c r="C273" s="549">
        <f>+'q28'!$C$29</f>
        <v>636.16999999999996</v>
      </c>
      <c r="D273" s="549">
        <f>+'q28'!$D$29</f>
        <v>643.22</v>
      </c>
      <c r="E273" s="549">
        <f>+'q28'!$E$29</f>
        <v>648.69000000000005</v>
      </c>
      <c r="F273" s="549">
        <f>+'q28'!$F$29</f>
        <v>661.51</v>
      </c>
      <c r="G273" s="549">
        <f>+'q28'!$G$29</f>
        <v>679.44</v>
      </c>
      <c r="H273" s="549">
        <f>+'q28'!$H$29</f>
        <v>701.85</v>
      </c>
      <c r="I273" s="549">
        <f>+'q28'!$I$29</f>
        <v>730.64</v>
      </c>
      <c r="J273" s="549">
        <f>+'q28'!$J$29</f>
        <v>754.92</v>
      </c>
      <c r="K273" s="549">
        <f>+'q28'!$K$29</f>
        <v>784.92</v>
      </c>
      <c r="L273" s="549">
        <f>+'q28'!$L$29</f>
        <v>833.64</v>
      </c>
      <c r="M273" s="549">
        <f>+'q28'!$M$29</f>
        <v>897.05</v>
      </c>
      <c r="S273" s="532" t="s">
        <v>802</v>
      </c>
      <c r="T273" s="532" t="str">
        <f>+VLOOKUP(Y266,Aux!$C$164:$D$173,COLUMN(Aux!$C$163)-1,0)</f>
        <v>Trabalhadores dos serviços pessoais, de protecção e segurança e vendedores</v>
      </c>
      <c r="U273" s="532" t="s">
        <v>511</v>
      </c>
      <c r="V273" s="552" t="str">
        <f>TEXT(X266,"##.###,0%")</f>
        <v>21,0%</v>
      </c>
      <c r="W273" s="532" t="s">
        <v>787</v>
      </c>
      <c r="Z273" s="532" t="s">
        <v>808</v>
      </c>
      <c r="AA273" s="532">
        <f>+LARGE($W$254:$W$263,1)</f>
        <v>16.690000000000001</v>
      </c>
      <c r="AB273" s="532" t="str">
        <f>+VLOOKUP(AA273,$W$254:$Z$263,COLUMN($W$265)-19,0)</f>
        <v>Trabalhadores sem profissão atribuida</v>
      </c>
    </row>
    <row r="274" spans="1:28">
      <c r="B274" s="532" t="str">
        <f>+Aux!$C$169</f>
        <v>Agric.e trab.qualif.da agric.,da pesca e da floresta</v>
      </c>
      <c r="C274" s="549">
        <f>+'q28'!$C$34</f>
        <v>651.48</v>
      </c>
      <c r="D274" s="549">
        <f>+'q28'!$D$34</f>
        <v>647.64</v>
      </c>
      <c r="E274" s="549">
        <f>+'q28'!$E$34</f>
        <v>673.53</v>
      </c>
      <c r="F274" s="549">
        <f>+'q28'!$F$34</f>
        <v>705.23</v>
      </c>
      <c r="G274" s="549">
        <f>+'q28'!$G$34</f>
        <v>701.39</v>
      </c>
      <c r="H274" s="549">
        <f>+'q28'!$H$34</f>
        <v>745.46</v>
      </c>
      <c r="I274" s="549">
        <f>+'q28'!$I$34</f>
        <v>800.65</v>
      </c>
      <c r="J274" s="549">
        <f>+'q28'!$J$34</f>
        <v>772.79</v>
      </c>
      <c r="K274" s="549">
        <f>+'q28'!$K$34</f>
        <v>823.03</v>
      </c>
      <c r="L274" s="549">
        <f>+'q28'!$L$34</f>
        <v>868.03</v>
      </c>
      <c r="M274" s="549">
        <f>+'q28'!$M$34</f>
        <v>921.84</v>
      </c>
      <c r="T274" s="532" t="s">
        <v>490</v>
      </c>
    </row>
    <row r="275" spans="1:28">
      <c r="B275" s="532" t="str">
        <f>+Aux!$C$170</f>
        <v>Trab.qualif.da ind.,constr.e artific.</v>
      </c>
      <c r="C275" s="549">
        <f>+'q28'!$C$37</f>
        <v>689.31</v>
      </c>
      <c r="D275" s="549">
        <f>+'q28'!$D$37</f>
        <v>693.11</v>
      </c>
      <c r="E275" s="549">
        <f>+'q28'!$E$37</f>
        <v>699.07</v>
      </c>
      <c r="F275" s="549">
        <f>+'q28'!$F$37</f>
        <v>710.79</v>
      </c>
      <c r="G275" s="549">
        <f>+'q28'!$G$37</f>
        <v>729.98</v>
      </c>
      <c r="H275" s="549">
        <f>+'q28'!$H$37</f>
        <v>756.88</v>
      </c>
      <c r="I275" s="549">
        <f>+'q28'!$I$37</f>
        <v>782.92</v>
      </c>
      <c r="J275" s="549">
        <f>+'q28'!$J$37</f>
        <v>806.16</v>
      </c>
      <c r="K275" s="549">
        <f>+'q28'!$K$37</f>
        <v>840.13</v>
      </c>
      <c r="L275" s="549">
        <f>+'q28'!$L$37</f>
        <v>887.58</v>
      </c>
      <c r="M275" s="549">
        <f>+'q28'!$M$37</f>
        <v>951.56</v>
      </c>
      <c r="T275" s="532" t="str">
        <f>+VLOOKUP(Y267,Aux!$C$164:$D$173,COLUMN(Aux!$C$163)-1,0)</f>
        <v xml:space="preserve">Trabalhadores não qualificados </v>
      </c>
      <c r="U275" s="532" t="s">
        <v>511</v>
      </c>
      <c r="V275" s="552" t="str">
        <f>TEXT(X267,"##.###,0%")</f>
        <v>14,5%</v>
      </c>
      <c r="W275" s="532" t="s">
        <v>442</v>
      </c>
    </row>
    <row r="276" spans="1:28">
      <c r="B276" s="532" t="str">
        <f>+Aux!$C$171</f>
        <v>Oper.de inst.e máq.e trab.mont.</v>
      </c>
      <c r="C276" s="549">
        <f>+'q28'!$C$43</f>
        <v>647.15</v>
      </c>
      <c r="D276" s="549">
        <f>+'q28'!$D$43</f>
        <v>652.71</v>
      </c>
      <c r="E276" s="549">
        <f>+'q28'!$E$43</f>
        <v>659.28</v>
      </c>
      <c r="F276" s="549">
        <f>+'q28'!$F$43</f>
        <v>670.89</v>
      </c>
      <c r="G276" s="549">
        <f>+'q28'!$G$43</f>
        <v>689.84</v>
      </c>
      <c r="H276" s="549">
        <f>+'q28'!$H$43</f>
        <v>719.5</v>
      </c>
      <c r="I276" s="549">
        <f>+'q28'!$I$43</f>
        <v>749.68</v>
      </c>
      <c r="J276" s="549">
        <f>+'q28'!$J$43</f>
        <v>787.59</v>
      </c>
      <c r="K276" s="549">
        <f>+'q28'!$K$43</f>
        <v>816.4</v>
      </c>
      <c r="L276" s="549">
        <f>+'q28'!$L$43</f>
        <v>866.48</v>
      </c>
      <c r="M276" s="549">
        <f>+'q28'!$M$43</f>
        <v>925.47</v>
      </c>
    </row>
    <row r="277" spans="1:28">
      <c r="B277" s="532" t="str">
        <f>+Aux!$C$172</f>
        <v>Trabalhadores não qualificados</v>
      </c>
      <c r="C277" s="549">
        <f>+'q28'!$C$47</f>
        <v>563.61</v>
      </c>
      <c r="D277" s="549">
        <f>+'q28'!$D$47</f>
        <v>575.77</v>
      </c>
      <c r="E277" s="549">
        <f>+'q28'!$E$47</f>
        <v>583.21</v>
      </c>
      <c r="F277" s="549">
        <f>+'q28'!$F$47</f>
        <v>602.21</v>
      </c>
      <c r="G277" s="549">
        <f>+'q28'!$G$47</f>
        <v>628.91999999999996</v>
      </c>
      <c r="H277" s="549">
        <f>+'q28'!$H$47</f>
        <v>660.17</v>
      </c>
      <c r="I277" s="549">
        <f>+'q28'!$I$47</f>
        <v>687.66</v>
      </c>
      <c r="J277" s="549">
        <f>+'q28'!$J$47</f>
        <v>719.43</v>
      </c>
      <c r="K277" s="549">
        <f>+'q28'!$K$47</f>
        <v>758.99</v>
      </c>
      <c r="L277" s="549">
        <f>+'q28'!$L$47</f>
        <v>801.61</v>
      </c>
      <c r="M277" s="549">
        <f>+'q28'!$M$47</f>
        <v>853.75</v>
      </c>
    </row>
    <row r="278" spans="1:28">
      <c r="B278" s="532" t="str">
        <f>+Aux!$C$173</f>
        <v>Trabalhadores sem profissão atribuida</v>
      </c>
      <c r="C278" s="549">
        <f>+'q28'!$C$54</f>
        <v>1729.92</v>
      </c>
      <c r="D278" s="549">
        <f>+'q28'!$D$54</f>
        <v>1665.15</v>
      </c>
      <c r="E278" s="549">
        <f>+'q28'!$E$54</f>
        <v>1962.04</v>
      </c>
      <c r="F278" s="549">
        <f>+'q28'!$F$54</f>
        <v>1816.54</v>
      </c>
      <c r="G278" s="549">
        <f>+'q28'!$G$54</f>
        <v>1986.74</v>
      </c>
      <c r="H278" s="549">
        <f>+'q28'!$H$54</f>
        <v>1694.97</v>
      </c>
      <c r="I278" s="549">
        <f>+'q28'!$I$54</f>
        <v>1909.38</v>
      </c>
      <c r="J278" s="549">
        <f>+'q28'!$J$54</f>
        <v>2041.63</v>
      </c>
      <c r="K278" s="549">
        <f>+'q28'!$K$54</f>
        <v>2131.42</v>
      </c>
      <c r="L278" s="549">
        <f>+'q28'!$L$54</f>
        <v>2254.4699999999998</v>
      </c>
      <c r="M278" s="549">
        <f>+'q28'!$M$54</f>
        <v>2853.07</v>
      </c>
      <c r="S278" s="532" t="str">
        <f>+CONCATENATE(S271,T271,CHAR(10),S272,S273,T272,T273,T272,U273,V273,W273,T274,T272,T275,T272,U275,V275,W275)</f>
        <v>2023:
35,5% dos TCO eram "Trabalhadores dos serviços pessoais, de protecção e segurança e vendedores" (21,0%) e "Trabalhadores não qualificados " (14,5%).</v>
      </c>
    </row>
    <row r="279" spans="1:28">
      <c r="B279" s="532" t="s">
        <v>12</v>
      </c>
      <c r="C279" s="549">
        <f>+'q28'!$C$5</f>
        <v>912.18</v>
      </c>
      <c r="D279" s="549">
        <f>+'q28'!$D$5</f>
        <v>909.49</v>
      </c>
      <c r="E279" s="549">
        <f>+'q28'!$E$5</f>
        <v>913.93</v>
      </c>
      <c r="F279" s="549">
        <f>+'q28'!$F$5</f>
        <v>924.94</v>
      </c>
      <c r="G279" s="549">
        <f>+'q28'!$G$5</f>
        <v>943</v>
      </c>
      <c r="H279" s="549">
        <f>+'q28'!$H$5</f>
        <v>970.42</v>
      </c>
      <c r="I279" s="549">
        <f>+'q28'!$I$5</f>
        <v>1005.09</v>
      </c>
      <c r="J279" s="549">
        <f>+'q28'!$J$5</f>
        <v>1041.99</v>
      </c>
      <c r="K279" s="549">
        <f>+'q28'!$K$5</f>
        <v>1082.77</v>
      </c>
      <c r="L279" s="549">
        <f>+'q28'!$L$5</f>
        <v>1143.45</v>
      </c>
      <c r="M279" s="549">
        <f>+'q28'!$M$5</f>
        <v>1219.8699999999999</v>
      </c>
    </row>
    <row r="282" spans="1:28">
      <c r="A282" s="501" t="s">
        <v>785</v>
      </c>
      <c r="C282" s="501">
        <f>+'q29'!$C$4</f>
        <v>2013</v>
      </c>
      <c r="D282" s="501">
        <f>+'q29'!$D$4</f>
        <v>2014</v>
      </c>
      <c r="E282" s="501">
        <f>+'q29'!$E$4</f>
        <v>2015</v>
      </c>
      <c r="F282" s="501">
        <f>+'q29'!$F$4</f>
        <v>2016</v>
      </c>
      <c r="G282" s="501">
        <f>+'q29'!$G$4</f>
        <v>2017</v>
      </c>
      <c r="H282" s="501">
        <f>+'q29'!$H$4</f>
        <v>2018</v>
      </c>
      <c r="I282" s="501">
        <f>+'q29'!$I$4</f>
        <v>2019</v>
      </c>
      <c r="J282" s="501">
        <f>+'q29'!$J$4</f>
        <v>2020</v>
      </c>
      <c r="K282" s="501">
        <f>+'q29'!$K$4</f>
        <v>2021</v>
      </c>
      <c r="L282" s="501">
        <f>+'q29'!$L$4</f>
        <v>2022</v>
      </c>
      <c r="M282" s="501">
        <f>+'q29'!$M$4</f>
        <v>2023</v>
      </c>
    </row>
    <row r="283" spans="1:28">
      <c r="A283" s="533" t="s">
        <v>302</v>
      </c>
      <c r="B283" s="532" t="str">
        <f>+Aux!$C$164</f>
        <v>Repres. poder leg. e de órgãos exec., dirig., diret. e gestores executivos</v>
      </c>
      <c r="C283" s="549">
        <f>+'q29'!$C$6</f>
        <v>12.12</v>
      </c>
      <c r="D283" s="549">
        <f>+'q29'!$D$6</f>
        <v>12.03</v>
      </c>
      <c r="E283" s="549">
        <f>+'q29'!$E$6</f>
        <v>12.14</v>
      </c>
      <c r="F283" s="549">
        <f>+'q29'!$F$6</f>
        <v>12.33</v>
      </c>
      <c r="G283" s="549">
        <f>+'q29'!$G$6</f>
        <v>12.52</v>
      </c>
      <c r="H283" s="549">
        <f>+'q29'!$H$6</f>
        <v>12.82</v>
      </c>
      <c r="I283" s="549">
        <f>+'q29'!$I$6</f>
        <v>13.15</v>
      </c>
      <c r="J283" s="549">
        <f>+'q29'!$J$6</f>
        <v>13.57</v>
      </c>
      <c r="K283" s="549">
        <f>+'q29'!$K$6</f>
        <v>14</v>
      </c>
      <c r="L283" s="549">
        <f>+'q29'!$L$6</f>
        <v>14.63</v>
      </c>
      <c r="M283" s="549">
        <f>+'q29'!$M$6</f>
        <v>15.43</v>
      </c>
    </row>
    <row r="284" spans="1:28">
      <c r="A284" s="533" t="s">
        <v>783</v>
      </c>
      <c r="B284" s="532" t="str">
        <f>+Aux!$C$165</f>
        <v>Especial.das ativ.intelet.e cientif.</v>
      </c>
      <c r="C284" s="549">
        <f>+'q29'!$C$11</f>
        <v>9.4499999999999993</v>
      </c>
      <c r="D284" s="549">
        <f>+'q29'!$D$11</f>
        <v>9.26</v>
      </c>
      <c r="E284" s="549">
        <f>+'q29'!$E$11</f>
        <v>9.2200000000000006</v>
      </c>
      <c r="F284" s="549">
        <f>+'q29'!$F$11</f>
        <v>9.3000000000000007</v>
      </c>
      <c r="G284" s="549">
        <f>+'q29'!$G$11</f>
        <v>9.34</v>
      </c>
      <c r="H284" s="549">
        <f>+'q29'!$H$11</f>
        <v>9.5</v>
      </c>
      <c r="I284" s="549">
        <f>+'q29'!$I$11</f>
        <v>9.69</v>
      </c>
      <c r="J284" s="549">
        <f>+'q29'!$J$11</f>
        <v>9.9</v>
      </c>
      <c r="K284" s="549">
        <f>+'q29'!$K$11</f>
        <v>10.210000000000001</v>
      </c>
      <c r="L284" s="549">
        <f>+'q29'!$L$11</f>
        <v>10.7</v>
      </c>
      <c r="M284" s="549">
        <f>+'q29'!$M$11</f>
        <v>11.33</v>
      </c>
    </row>
    <row r="285" spans="1:28">
      <c r="B285" s="532" t="str">
        <f>+Aux!$C$166</f>
        <v>Técn. e prof. de nível intermédio</v>
      </c>
      <c r="C285" s="549">
        <f>+'q29'!$C$18</f>
        <v>7.06</v>
      </c>
      <c r="D285" s="549">
        <f>+'q29'!$D$18</f>
        <v>6.96</v>
      </c>
      <c r="E285" s="549">
        <f>+'q29'!$E$18</f>
        <v>7.07</v>
      </c>
      <c r="F285" s="549">
        <f>+'q29'!$F$18</f>
        <v>7.12</v>
      </c>
      <c r="G285" s="549">
        <f>+'q29'!$G$18</f>
        <v>7.21</v>
      </c>
      <c r="H285" s="549">
        <f>+'q29'!$H$18</f>
        <v>7.34</v>
      </c>
      <c r="I285" s="549">
        <f>+'q29'!$I$18</f>
        <v>7.52</v>
      </c>
      <c r="J285" s="549">
        <f>+'q29'!$J$18</f>
        <v>7.69</v>
      </c>
      <c r="K285" s="549">
        <f>+'q29'!$K$18</f>
        <v>7.78</v>
      </c>
      <c r="L285" s="549">
        <f>+'q29'!$L$18</f>
        <v>8.17</v>
      </c>
      <c r="M285" s="549">
        <f>+'q29'!$M$18</f>
        <v>8.6999999999999993</v>
      </c>
    </row>
    <row r="286" spans="1:28">
      <c r="B286" s="532" t="str">
        <f>+Aux!$C$167</f>
        <v>Pessoal administrativo</v>
      </c>
      <c r="C286" s="549">
        <f>+'q29'!$C$24</f>
        <v>4.96</v>
      </c>
      <c r="D286" s="549">
        <f>+'q29'!$D$24</f>
        <v>4.9400000000000004</v>
      </c>
      <c r="E286" s="549">
        <f>+'q29'!$E$24</f>
        <v>4.92</v>
      </c>
      <c r="F286" s="549">
        <f>+'q29'!$F$24</f>
        <v>4.95</v>
      </c>
      <c r="G286" s="549">
        <f>+'q29'!$G$24</f>
        <v>5.03</v>
      </c>
      <c r="H286" s="549">
        <f>+'q29'!$H$24</f>
        <v>5.14</v>
      </c>
      <c r="I286" s="549">
        <f>+'q29'!$I$24</f>
        <v>5.26</v>
      </c>
      <c r="J286" s="549">
        <f>+'q29'!$J$24</f>
        <v>5.45</v>
      </c>
      <c r="K286" s="549">
        <f>+'q29'!$K$24</f>
        <v>5.61</v>
      </c>
      <c r="L286" s="549">
        <f>+'q29'!$L$24</f>
        <v>5.81</v>
      </c>
      <c r="M286" s="549">
        <f>+'q29'!$M$24</f>
        <v>6.18</v>
      </c>
    </row>
    <row r="287" spans="1:28">
      <c r="B287" s="532" t="str">
        <f>+Aux!$C$168</f>
        <v>Trab.dos serv.pessoais, de prot.e segur.e vendedores</v>
      </c>
      <c r="C287" s="549">
        <f>+'q29'!$C$29</f>
        <v>3.67</v>
      </c>
      <c r="D287" s="549">
        <f>+'q29'!$D$29</f>
        <v>3.7</v>
      </c>
      <c r="E287" s="549">
        <f>+'q29'!$E$29</f>
        <v>3.73</v>
      </c>
      <c r="F287" s="549">
        <f>+'q29'!$F$29</f>
        <v>3.81</v>
      </c>
      <c r="G287" s="549">
        <f>+'q29'!$G$29</f>
        <v>3.91</v>
      </c>
      <c r="H287" s="549">
        <f>+'q29'!$H$29</f>
        <v>4.04</v>
      </c>
      <c r="I287" s="549">
        <f>+'q29'!$I$29</f>
        <v>4.21</v>
      </c>
      <c r="J287" s="549">
        <f>+'q29'!$J$29</f>
        <v>4.3899999999999997</v>
      </c>
      <c r="K287" s="549">
        <f>+'q29'!$K$29</f>
        <v>4.54</v>
      </c>
      <c r="L287" s="549">
        <f>+'q29'!$L$29</f>
        <v>4.8099999999999996</v>
      </c>
      <c r="M287" s="549">
        <f>+'q29'!$M$29</f>
        <v>5.18</v>
      </c>
      <c r="S287" s="501" t="s">
        <v>800</v>
      </c>
      <c r="Y287" s="501" t="s">
        <v>805</v>
      </c>
    </row>
    <row r="288" spans="1:28">
      <c r="B288" s="532" t="str">
        <f>+Aux!$C$169</f>
        <v>Agric.e trab.qualif.da agric.,da pesca e da floresta</v>
      </c>
      <c r="C288" s="549">
        <f>+'q29'!$C$34</f>
        <v>3.51</v>
      </c>
      <c r="D288" s="549">
        <f>+'q29'!$D$34</f>
        <v>3.53</v>
      </c>
      <c r="E288" s="549">
        <f>+'q29'!$E$34</f>
        <v>3.64</v>
      </c>
      <c r="F288" s="549">
        <f>+'q29'!$F$34</f>
        <v>3.81</v>
      </c>
      <c r="G288" s="549">
        <f>+'q29'!$G$34</f>
        <v>3.85</v>
      </c>
      <c r="H288" s="549">
        <f>+'q29'!$H$34</f>
        <v>4.04</v>
      </c>
      <c r="I288" s="549">
        <f>+'q29'!$I$34</f>
        <v>4.24</v>
      </c>
      <c r="J288" s="549">
        <f>+'q29'!$J$34</f>
        <v>4.21</v>
      </c>
      <c r="K288" s="549">
        <f>+'q29'!$K$34</f>
        <v>4.41</v>
      </c>
      <c r="L288" s="549">
        <f>+'q29'!$L$34</f>
        <v>4.6900000000000004</v>
      </c>
      <c r="M288" s="549">
        <f>+'q29'!$M$34</f>
        <v>5</v>
      </c>
      <c r="S288" s="532">
        <f>+$R$252</f>
        <v>2023</v>
      </c>
      <c r="T288" s="532" t="s">
        <v>796</v>
      </c>
      <c r="Y288" s="532">
        <f>+$R$252</f>
        <v>2023</v>
      </c>
      <c r="Z288" s="532" t="s">
        <v>796</v>
      </c>
    </row>
    <row r="289" spans="1:29">
      <c r="B289" s="532" t="str">
        <f>+Aux!$C$170</f>
        <v>Trab.qualif.da ind.,constr.e artific.</v>
      </c>
      <c r="C289" s="549">
        <f>+'q29'!$C$37</f>
        <v>3.93</v>
      </c>
      <c r="D289" s="549">
        <f>+'q29'!$D$37</f>
        <v>3.95</v>
      </c>
      <c r="E289" s="549">
        <f>+'q29'!$E$37</f>
        <v>3.99</v>
      </c>
      <c r="F289" s="549">
        <f>+'q29'!$F$37</f>
        <v>4.0599999999999996</v>
      </c>
      <c r="G289" s="549">
        <f>+'q29'!$G$37</f>
        <v>4.16</v>
      </c>
      <c r="H289" s="549">
        <f>+'q29'!$H$37</f>
        <v>4.3099999999999996</v>
      </c>
      <c r="I289" s="549">
        <f>+'q29'!$I$37</f>
        <v>4.46</v>
      </c>
      <c r="J289" s="549">
        <f>+'q29'!$J$37</f>
        <v>4.62</v>
      </c>
      <c r="K289" s="549">
        <f>+'q29'!$K$37</f>
        <v>4.8099999999999996</v>
      </c>
      <c r="L289" s="549">
        <f>+'q29'!$L$37</f>
        <v>5.0599999999999996</v>
      </c>
      <c r="M289" s="549">
        <f>+'q29'!$M$37</f>
        <v>5.41</v>
      </c>
      <c r="S289" s="532" t="s">
        <v>803</v>
      </c>
      <c r="Y289" s="532" t="s">
        <v>806</v>
      </c>
      <c r="Z289" s="532" t="str">
        <f>+TEXT($W$264,"##.###,## €")</f>
        <v>6,88 €</v>
      </c>
      <c r="AA289" s="532" t="s">
        <v>809</v>
      </c>
    </row>
    <row r="290" spans="1:29">
      <c r="B290" s="532" t="str">
        <f>+Aux!$C$171</f>
        <v>Oper.de inst.e máq.e trab.mont.</v>
      </c>
      <c r="C290" s="549">
        <f>+'q29'!$C$43</f>
        <v>3.71</v>
      </c>
      <c r="D290" s="549">
        <f>+'q29'!$D$43</f>
        <v>3.74</v>
      </c>
      <c r="E290" s="549">
        <f>+'q29'!$E$43</f>
        <v>3.77</v>
      </c>
      <c r="F290" s="549">
        <f>+'q29'!$F$43</f>
        <v>3.84</v>
      </c>
      <c r="G290" s="549">
        <f>+'q29'!$G$43</f>
        <v>3.95</v>
      </c>
      <c r="H290" s="549">
        <f>+'q29'!$H$43</f>
        <v>4.1100000000000003</v>
      </c>
      <c r="I290" s="549">
        <f>+'q29'!$I$43</f>
        <v>4.28</v>
      </c>
      <c r="J290" s="549">
        <f>+'q29'!$J$43</f>
        <v>4.5</v>
      </c>
      <c r="K290" s="549">
        <f>+'q29'!$K$43</f>
        <v>4.67</v>
      </c>
      <c r="L290" s="549">
        <f>+'q29'!$L$43</f>
        <v>4.95</v>
      </c>
      <c r="M290" s="549">
        <f>+'q29'!$M$43</f>
        <v>5.33</v>
      </c>
      <c r="S290" s="564" t="str">
        <f>TEXT($Y$264,"##.###,0%")</f>
        <v>83,2%</v>
      </c>
      <c r="T290" s="532" t="s">
        <v>797</v>
      </c>
      <c r="U290" s="532" t="str">
        <f>+TEXT($AA$266,"##.### €")</f>
        <v>854 €</v>
      </c>
      <c r="V290" s="532" t="s">
        <v>511</v>
      </c>
      <c r="W290" s="532" t="str">
        <f>+$AB$266</f>
        <v>Trabalhadores não qualificados</v>
      </c>
      <c r="X290" s="532" t="s">
        <v>463</v>
      </c>
      <c r="Z290" s="532" t="str">
        <f>+TEXT($AA$272,"##.###,## €")</f>
        <v>4,86 €</v>
      </c>
      <c r="AA290" s="532" t="s">
        <v>511</v>
      </c>
      <c r="AB290" s="532" t="str">
        <f>+VLOOKUP(AB272,Aux!$C$164:$D$173,COLUMN(Aux!$C$163)-1,0)</f>
        <v xml:space="preserve">Trabalhadores não qualificados </v>
      </c>
      <c r="AC290" s="532" t="s">
        <v>463</v>
      </c>
    </row>
    <row r="291" spans="1:29">
      <c r="B291" s="532" t="str">
        <f>+Aux!$C$172</f>
        <v>Trabalhadores não qualificados</v>
      </c>
      <c r="C291" s="549">
        <f>+'q29'!$C$47</f>
        <v>3.24</v>
      </c>
      <c r="D291" s="549">
        <f>+'q29'!$D$47</f>
        <v>3.3</v>
      </c>
      <c r="E291" s="549">
        <f>+'q29'!$E$47</f>
        <v>3.34</v>
      </c>
      <c r="F291" s="549">
        <f>+'q29'!$F$47</f>
        <v>3.45</v>
      </c>
      <c r="G291" s="549">
        <f>+'q29'!$G$47</f>
        <v>3.59</v>
      </c>
      <c r="H291" s="549">
        <f>+'q29'!$H$47</f>
        <v>3.76</v>
      </c>
      <c r="I291" s="549">
        <f>+'q29'!$I$47</f>
        <v>3.92</v>
      </c>
      <c r="J291" s="549">
        <f>+'q29'!$J$47</f>
        <v>4.1100000000000003</v>
      </c>
      <c r="K291" s="549">
        <f>+'q29'!$K$47</f>
        <v>4.32</v>
      </c>
      <c r="L291" s="549">
        <f>+'q29'!$L$47</f>
        <v>4.5599999999999996</v>
      </c>
      <c r="M291" s="549">
        <f>+'q29'!$M$47</f>
        <v>4.8600000000000003</v>
      </c>
      <c r="U291" s="532" t="str">
        <f>+TEXT($AA$267,"##.### €")</f>
        <v>2.853 €</v>
      </c>
      <c r="V291" s="532" t="s">
        <v>511</v>
      </c>
      <c r="W291" s="532" t="str">
        <f>+$AB$267</f>
        <v>Trabalhadores sem profissão atribuida</v>
      </c>
      <c r="X291" s="532" t="s">
        <v>442</v>
      </c>
      <c r="Z291" s="532" t="str">
        <f>+TEXT($AA$273,"##.###,## €")</f>
        <v>16,69 €</v>
      </c>
      <c r="AA291" s="532" t="s">
        <v>511</v>
      </c>
      <c r="AB291" s="532" t="str">
        <f>+VLOOKUP(AB273,Aux!$C$164:$D$173,COLUMN(Aux!$C$163)-1,0)</f>
        <v>Trabalhadores sem profissão atribuida</v>
      </c>
      <c r="AC291" s="532" t="s">
        <v>442</v>
      </c>
    </row>
    <row r="292" spans="1:29">
      <c r="B292" s="532" t="str">
        <f>+Aux!$C$173</f>
        <v>Trabalhadores sem profissão atribuida</v>
      </c>
      <c r="C292" s="549">
        <f>+'q29'!$C$54</f>
        <v>9.94</v>
      </c>
      <c r="D292" s="549">
        <f>+'q29'!$D$54</f>
        <v>9.48</v>
      </c>
      <c r="E292" s="549">
        <f>+'q29'!$E$54</f>
        <v>11.05</v>
      </c>
      <c r="F292" s="549">
        <f>+'q29'!$F$54</f>
        <v>10.43</v>
      </c>
      <c r="G292" s="549">
        <f>+'q29'!$G$54</f>
        <v>11.29</v>
      </c>
      <c r="H292" s="549">
        <f>+'q29'!$H$54</f>
        <v>9.69</v>
      </c>
      <c r="I292" s="549">
        <f>+'q29'!$I$54</f>
        <v>11.13</v>
      </c>
      <c r="J292" s="549">
        <f>+'q29'!$J$54</f>
        <v>12</v>
      </c>
      <c r="K292" s="549">
        <f>+'q29'!$K$54</f>
        <v>12.53</v>
      </c>
      <c r="L292" s="549">
        <f>+'q29'!$L$54</f>
        <v>13.29</v>
      </c>
      <c r="M292" s="549">
        <f>+'q29'!$M$54</f>
        <v>16.690000000000001</v>
      </c>
      <c r="S292" s="532" t="s">
        <v>798</v>
      </c>
      <c r="T292" s="532" t="s">
        <v>799</v>
      </c>
      <c r="U292" s="532" t="str">
        <f>+TEXT($AA$269,"##.### €")</f>
        <v>1.007 €</v>
      </c>
      <c r="V292" s="532" t="s">
        <v>490</v>
      </c>
      <c r="W292" s="532" t="str">
        <f>+TEXT($AA$270,"##.### €")</f>
        <v>3.169 €</v>
      </c>
    </row>
    <row r="293" spans="1:29">
      <c r="B293" s="532" t="s">
        <v>12</v>
      </c>
      <c r="C293" s="549">
        <f>+'q29'!$C$5</f>
        <v>5.19</v>
      </c>
      <c r="D293" s="549">
        <f>+'q29'!$D$5</f>
        <v>5.16</v>
      </c>
      <c r="E293" s="549">
        <f>+'q29'!$E$5</f>
        <v>5.18</v>
      </c>
      <c r="F293" s="549">
        <f>+'q29'!$F$5</f>
        <v>5.24</v>
      </c>
      <c r="G293" s="549">
        <f>+'q29'!$G$5</f>
        <v>5.34</v>
      </c>
      <c r="H293" s="549">
        <f>+'q29'!$H$5</f>
        <v>5.49</v>
      </c>
      <c r="I293" s="549">
        <f>+'q29'!$I$5</f>
        <v>5.68</v>
      </c>
      <c r="J293" s="549">
        <f>+'q29'!$J$5</f>
        <v>5.92</v>
      </c>
      <c r="K293" s="549">
        <f>+'q29'!$K$5</f>
        <v>6.13</v>
      </c>
      <c r="L293" s="549">
        <f>+'q29'!$L$5</f>
        <v>6.45</v>
      </c>
      <c r="M293" s="549">
        <f>+'q29'!$M$5</f>
        <v>6.88</v>
      </c>
      <c r="S293" s="532" t="s">
        <v>801</v>
      </c>
    </row>
    <row r="296" spans="1:29">
      <c r="A296" s="501" t="s">
        <v>784</v>
      </c>
      <c r="S296" s="532" t="str">
        <f>+CONCATENATE(S288,T288,CHAR(10),S289,S290,T290,U290,V290,W290,X290,U291,V291,W291,X291:X291,CHAR(10),S292,T292,U292,V292,W292,S293)</f>
        <v>2023 - Continente:
Base média: 83,2% do Ganho, entre 854 € (Trabalhadores não qualificados) e 2.853 € (Trabalhadores sem profissão atribuida).
Ganho médio: Entre 1.007 € e 3.169 € nas mesmas profissões, respetivamente.</v>
      </c>
      <c r="Z296" s="532" t="str">
        <f>+CONCATENATE(Y288,Z288,CHAR(10),Y289,Z289,AA289,Z290,AA290,AB290,AC290,Z291,AA291,AB291,AC291)</f>
        <v>2023 - Continente:
Base horária média: 6,88 € a variar entre 4,86 € (Trabalhadores não qualificados ) e 16,69 € (Trabalhadores sem profissão atribuida).</v>
      </c>
    </row>
    <row r="297" spans="1:29">
      <c r="A297" s="533" t="s">
        <v>303</v>
      </c>
      <c r="C297" s="501">
        <f>+'q39'!$C$4</f>
        <v>2013</v>
      </c>
      <c r="D297" s="501">
        <f>+'q39'!$D$4</f>
        <v>2014</v>
      </c>
      <c r="E297" s="501">
        <f>+'q39'!$E$4</f>
        <v>2015</v>
      </c>
      <c r="F297" s="501">
        <f>+'q39'!$F$4</f>
        <v>2016</v>
      </c>
      <c r="G297" s="501">
        <f>+'q39'!$G$4</f>
        <v>2017</v>
      </c>
      <c r="H297" s="501">
        <f>+'q39'!$H$4</f>
        <v>2018</v>
      </c>
      <c r="I297" s="501">
        <f>+'q39'!$I$4</f>
        <v>2019</v>
      </c>
      <c r="J297" s="501">
        <f>+'q39'!$J$4</f>
        <v>2020</v>
      </c>
      <c r="K297" s="501">
        <f>+'q39'!$K$4</f>
        <v>2021</v>
      </c>
      <c r="L297" s="501">
        <f>+'q39'!$L$4</f>
        <v>2022</v>
      </c>
      <c r="M297" s="501">
        <f>+'q39'!$M$4</f>
        <v>2023</v>
      </c>
    </row>
    <row r="298" spans="1:29">
      <c r="A298" s="533" t="s">
        <v>782</v>
      </c>
      <c r="B298" s="532" t="str">
        <f>+Aux!$C$164</f>
        <v>Repres. poder leg. e de órgãos exec., dirig., diret. e gestores executivos</v>
      </c>
      <c r="C298" s="549">
        <f>+'q39'!$C$6</f>
        <v>2419.08</v>
      </c>
      <c r="D298" s="549">
        <f>+'q39'!$D$6</f>
        <v>2418.46</v>
      </c>
      <c r="E298" s="549">
        <f>+'q39'!$E$6</f>
        <v>2441.31</v>
      </c>
      <c r="F298" s="549">
        <f>+'q39'!$F$6</f>
        <v>2466.96</v>
      </c>
      <c r="G298" s="549">
        <f>+'q39'!$G$6</f>
        <v>2498.7199999999998</v>
      </c>
      <c r="H298" s="549">
        <f>+'q39'!$H$6</f>
        <v>2561.62</v>
      </c>
      <c r="I298" s="549">
        <f>+'q39'!$I$6</f>
        <v>2612.42</v>
      </c>
      <c r="J298" s="549">
        <f>+'q39'!$J$6</f>
        <v>2704.83</v>
      </c>
      <c r="K298" s="549">
        <f>+'q39'!$K$6</f>
        <v>2777.23</v>
      </c>
      <c r="L298" s="549">
        <f>+'q39'!$L$6</f>
        <v>2899.85</v>
      </c>
      <c r="M298" s="549">
        <f>+'q39'!$M$6</f>
        <v>3072.68</v>
      </c>
    </row>
    <row r="299" spans="1:29">
      <c r="B299" s="532" t="str">
        <f>+Aux!$C$165</f>
        <v>Especial.das ativ.intelet.e cientif.</v>
      </c>
      <c r="C299" s="549">
        <f>+'q39'!$C$11</f>
        <v>1810.42</v>
      </c>
      <c r="D299" s="549">
        <f>+'q39'!$D$11</f>
        <v>1783.54</v>
      </c>
      <c r="E299" s="549">
        <f>+'q39'!$E$11</f>
        <v>1779.9</v>
      </c>
      <c r="F299" s="549">
        <f>+'q39'!$F$11</f>
        <v>1787.99</v>
      </c>
      <c r="G299" s="549">
        <f>+'q39'!$G$11</f>
        <v>1813.14</v>
      </c>
      <c r="H299" s="549">
        <f>+'q39'!$H$11</f>
        <v>1857.37</v>
      </c>
      <c r="I299" s="549">
        <f>+'q39'!$I$11</f>
        <v>1899.12</v>
      </c>
      <c r="J299" s="549">
        <f>+'q39'!$J$11</f>
        <v>1934.48</v>
      </c>
      <c r="K299" s="549">
        <f>+'q39'!$K$11</f>
        <v>1994.66</v>
      </c>
      <c r="L299" s="549">
        <f>+'q39'!$L$11</f>
        <v>2097.65</v>
      </c>
      <c r="M299" s="549">
        <f>+'q39'!$M$11</f>
        <v>2222.79</v>
      </c>
    </row>
    <row r="300" spans="1:29">
      <c r="B300" s="532" t="str">
        <f>+Aux!$C$166</f>
        <v>Técn. e prof. de nível intermédio</v>
      </c>
      <c r="C300" s="549">
        <f>+'q39'!$C$18</f>
        <v>1483.66</v>
      </c>
      <c r="D300" s="549">
        <f>+'q39'!$D$18</f>
        <v>1469.88</v>
      </c>
      <c r="E300" s="549">
        <f>+'q39'!$E$18</f>
        <v>1484.25</v>
      </c>
      <c r="F300" s="549">
        <f>+'q39'!$F$18</f>
        <v>1494.24</v>
      </c>
      <c r="G300" s="549">
        <f>+'q39'!$G$18</f>
        <v>1518.37</v>
      </c>
      <c r="H300" s="549">
        <f>+'q39'!$H$18</f>
        <v>1554.05</v>
      </c>
      <c r="I300" s="549">
        <f>+'q39'!$I$18</f>
        <v>1583.18</v>
      </c>
      <c r="J300" s="549">
        <f>+'q39'!$J$18</f>
        <v>1589.59</v>
      </c>
      <c r="K300" s="549">
        <f>+'q39'!$K$18</f>
        <v>1608.11</v>
      </c>
      <c r="L300" s="549">
        <f>+'q39'!$L$18</f>
        <v>1705.92</v>
      </c>
      <c r="M300" s="549">
        <f>+'q39'!$M$18</f>
        <v>1836.79</v>
      </c>
    </row>
    <row r="301" spans="1:29">
      <c r="B301" s="532" t="str">
        <f>+Aux!$C$167</f>
        <v>Pessoal administrativo</v>
      </c>
      <c r="C301" s="549">
        <f>+'q39'!$C$24</f>
        <v>1047.51</v>
      </c>
      <c r="D301" s="549">
        <f>+'q39'!$D$24</f>
        <v>1052.46</v>
      </c>
      <c r="E301" s="549">
        <f>+'q39'!$E$24</f>
        <v>1042.17</v>
      </c>
      <c r="F301" s="549">
        <f>+'q39'!$F$24</f>
        <v>1046.05</v>
      </c>
      <c r="G301" s="549">
        <f>+'q39'!$G$24</f>
        <v>1063.6600000000001</v>
      </c>
      <c r="H301" s="549">
        <f>+'q39'!$H$24</f>
        <v>1088.81</v>
      </c>
      <c r="I301" s="549">
        <f>+'q39'!$I$24</f>
        <v>1114.3399999999999</v>
      </c>
      <c r="J301" s="549">
        <f>+'q39'!$J$24</f>
        <v>1141.82</v>
      </c>
      <c r="K301" s="549">
        <f>+'q39'!$K$24</f>
        <v>1173.21</v>
      </c>
      <c r="L301" s="549">
        <f>+'q39'!$L$24</f>
        <v>1218.22</v>
      </c>
      <c r="M301" s="549">
        <f>+'q39'!$M$24</f>
        <v>1303.32</v>
      </c>
    </row>
    <row r="302" spans="1:29">
      <c r="B302" s="532" t="str">
        <f>+Aux!$C$168</f>
        <v>Trab.dos serv.pessoais, de prot.e segur.e vendedores</v>
      </c>
      <c r="C302" s="549">
        <f>+'q39'!$C$29</f>
        <v>752.62</v>
      </c>
      <c r="D302" s="549">
        <f>+'q39'!$D$29</f>
        <v>759.92</v>
      </c>
      <c r="E302" s="549">
        <f>+'q39'!$E$29</f>
        <v>767.89</v>
      </c>
      <c r="F302" s="549">
        <f>+'q39'!$F$29</f>
        <v>785.26</v>
      </c>
      <c r="G302" s="549">
        <f>+'q39'!$G$29</f>
        <v>808.9</v>
      </c>
      <c r="H302" s="549">
        <f>+'q39'!$H$29</f>
        <v>836.95</v>
      </c>
      <c r="I302" s="549">
        <f>+'q39'!$I$29</f>
        <v>873.06</v>
      </c>
      <c r="J302" s="549">
        <f>+'q39'!$J$29</f>
        <v>899.3</v>
      </c>
      <c r="K302" s="549">
        <f>+'q39'!$K$29</f>
        <v>936.3</v>
      </c>
      <c r="L302" s="549">
        <f>+'q39'!$L$29</f>
        <v>998.48</v>
      </c>
      <c r="M302" s="549">
        <f>+'q39'!$M$29</f>
        <v>1078.9100000000001</v>
      </c>
    </row>
    <row r="303" spans="1:29">
      <c r="B303" s="532" t="str">
        <f>+Aux!$C$169</f>
        <v>Agric.e trab.qualif.da agric.,da pesca e da floresta</v>
      </c>
      <c r="C303" s="549">
        <f>+'q39'!$C$34</f>
        <v>744.8</v>
      </c>
      <c r="D303" s="549">
        <f>+'q39'!$D$34</f>
        <v>744.86</v>
      </c>
      <c r="E303" s="549">
        <f>+'q39'!$E$34</f>
        <v>767.63</v>
      </c>
      <c r="F303" s="549">
        <f>+'q39'!$F$34</f>
        <v>799.91</v>
      </c>
      <c r="G303" s="549">
        <f>+'q39'!$G$34</f>
        <v>801.18</v>
      </c>
      <c r="H303" s="549">
        <f>+'q39'!$H$34</f>
        <v>853.06</v>
      </c>
      <c r="I303" s="549">
        <f>+'q39'!$I$34</f>
        <v>914.72</v>
      </c>
      <c r="J303" s="549">
        <f>+'q39'!$J$34</f>
        <v>883.1</v>
      </c>
      <c r="K303" s="549">
        <f>+'q39'!$K$34</f>
        <v>942.8</v>
      </c>
      <c r="L303" s="549">
        <f>+'q39'!$L$34</f>
        <v>994.21</v>
      </c>
      <c r="M303" s="549">
        <f>+'q39'!$M$34</f>
        <v>1062.6099999999999</v>
      </c>
    </row>
    <row r="304" spans="1:29">
      <c r="B304" s="532" t="str">
        <f>+Aux!$C$170</f>
        <v>Trab.qualif.da ind.,constr.e artific.</v>
      </c>
      <c r="C304" s="549">
        <f>+'q39'!$C$37</f>
        <v>832.92</v>
      </c>
      <c r="D304" s="549">
        <f>+'q39'!$D$37</f>
        <v>840</v>
      </c>
      <c r="E304" s="549">
        <f>+'q39'!$E$37</f>
        <v>846.87</v>
      </c>
      <c r="F304" s="549">
        <f>+'q39'!$F$37</f>
        <v>857.96</v>
      </c>
      <c r="G304" s="549">
        <f>+'q39'!$G$37</f>
        <v>884.52</v>
      </c>
      <c r="H304" s="549">
        <f>+'q39'!$H$37</f>
        <v>920.4</v>
      </c>
      <c r="I304" s="549">
        <f>+'q39'!$I$37</f>
        <v>953.05</v>
      </c>
      <c r="J304" s="549">
        <f>+'q39'!$J$37</f>
        <v>970.12</v>
      </c>
      <c r="K304" s="549">
        <f>+'q39'!$K$37</f>
        <v>1004.57</v>
      </c>
      <c r="L304" s="549">
        <f>+'q39'!$L$37</f>
        <v>1066.29</v>
      </c>
      <c r="M304" s="549">
        <f>+'q39'!$M$37</f>
        <v>1154.1400000000001</v>
      </c>
    </row>
    <row r="305" spans="2:13">
      <c r="B305" s="532" t="str">
        <f>+Aux!$C$171</f>
        <v>Oper.de inst.e máq.e trab.mont.</v>
      </c>
      <c r="C305" s="549">
        <f>+'q39'!$C$43</f>
        <v>832.7</v>
      </c>
      <c r="D305" s="549">
        <f>+'q39'!$D$43</f>
        <v>842.42</v>
      </c>
      <c r="E305" s="549">
        <f>+'q39'!$E$43</f>
        <v>854.07</v>
      </c>
      <c r="F305" s="549">
        <f>+'q39'!$F$43</f>
        <v>874.93</v>
      </c>
      <c r="G305" s="549">
        <f>+'q39'!$G$43</f>
        <v>906.93</v>
      </c>
      <c r="H305" s="549">
        <f>+'q39'!$H$43</f>
        <v>946.99</v>
      </c>
      <c r="I305" s="549">
        <f>+'q39'!$I$43</f>
        <v>992.07</v>
      </c>
      <c r="J305" s="549">
        <f>+'q39'!$J$43</f>
        <v>1044.52</v>
      </c>
      <c r="K305" s="549">
        <f>+'q39'!$K$43</f>
        <v>1078.25</v>
      </c>
      <c r="L305" s="549">
        <f>+'q39'!$L$43</f>
        <v>1147.77</v>
      </c>
      <c r="M305" s="549">
        <f>+'q39'!$M$43</f>
        <v>1235.24</v>
      </c>
    </row>
    <row r="306" spans="2:13">
      <c r="B306" s="532" t="str">
        <f>+Aux!$C$172</f>
        <v>Trabalhadores não qualificados</v>
      </c>
      <c r="C306" s="549">
        <f>+'q39'!$C$47</f>
        <v>666.94</v>
      </c>
      <c r="D306" s="549">
        <f>+'q39'!$D$47</f>
        <v>681.09</v>
      </c>
      <c r="E306" s="549">
        <f>+'q39'!$E$47</f>
        <v>688.24</v>
      </c>
      <c r="F306" s="549">
        <f>+'q39'!$F$47</f>
        <v>707.94</v>
      </c>
      <c r="G306" s="549">
        <f>+'q39'!$G$47</f>
        <v>743.43</v>
      </c>
      <c r="H306" s="549">
        <f>+'q39'!$H$47</f>
        <v>783.76</v>
      </c>
      <c r="I306" s="549">
        <f>+'q39'!$I$47</f>
        <v>816.04</v>
      </c>
      <c r="J306" s="549">
        <f>+'q39'!$J$47</f>
        <v>848.69</v>
      </c>
      <c r="K306" s="549">
        <f>+'q39'!$K$47</f>
        <v>895.67</v>
      </c>
      <c r="L306" s="549">
        <f>+'q39'!$L$47</f>
        <v>942.93</v>
      </c>
      <c r="M306" s="549">
        <f>+'q39'!$M$47</f>
        <v>1007.47</v>
      </c>
    </row>
    <row r="307" spans="2:13">
      <c r="B307" s="532" t="str">
        <f>+Aux!$C$173</f>
        <v>Trabalhadores sem profissão atribuida</v>
      </c>
      <c r="C307" s="549">
        <f>+'q39'!$C$54</f>
        <v>1938.77</v>
      </c>
      <c r="D307" s="549">
        <f>+'q39'!$D$54</f>
        <v>1872.04</v>
      </c>
      <c r="E307" s="549">
        <f>+'q39'!$E$54</f>
        <v>2276.44</v>
      </c>
      <c r="F307" s="549">
        <f>+'q39'!$F$54</f>
        <v>2020.39</v>
      </c>
      <c r="G307" s="549">
        <f>+'q39'!$G$54</f>
        <v>2216.48</v>
      </c>
      <c r="H307" s="549">
        <f>+'q39'!$H$54</f>
        <v>1911.05</v>
      </c>
      <c r="I307" s="549">
        <f>+'q39'!$I$54</f>
        <v>2143.6799999999998</v>
      </c>
      <c r="J307" s="549">
        <f>+'q39'!$J$54</f>
        <v>2275.4299999999998</v>
      </c>
      <c r="K307" s="549">
        <f>+'q39'!$K$54</f>
        <v>2387.6799999999998</v>
      </c>
      <c r="L307" s="549">
        <f>+'q39'!$L$54</f>
        <v>2512.64</v>
      </c>
      <c r="M307" s="549">
        <f>+'q39'!$M$54</f>
        <v>3169.09</v>
      </c>
    </row>
    <row r="308" spans="2:13">
      <c r="B308" s="532" t="s">
        <v>12</v>
      </c>
      <c r="C308" s="549">
        <f>+'q39'!$C$5</f>
        <v>1093.82</v>
      </c>
      <c r="D308" s="549">
        <f>+'q39'!$D$5</f>
        <v>1093.21</v>
      </c>
      <c r="E308" s="549">
        <f>+'q39'!$E$5</f>
        <v>1096.6600000000001</v>
      </c>
      <c r="F308" s="549">
        <f>+'q39'!$F$5</f>
        <v>1107.8599999999999</v>
      </c>
      <c r="G308" s="549">
        <f>+'q39'!$G$5</f>
        <v>1133.3399999999999</v>
      </c>
      <c r="H308" s="549">
        <f>+'q39'!$H$5</f>
        <v>1170.25</v>
      </c>
      <c r="I308" s="549">
        <f>+'q39'!$I$5</f>
        <v>1209.94</v>
      </c>
      <c r="J308" s="549">
        <f>+'q39'!$J$5</f>
        <v>1250.75</v>
      </c>
      <c r="K308" s="549">
        <f>+'q39'!$K$5</f>
        <v>1294.1099999999999</v>
      </c>
      <c r="L308" s="549">
        <f>+'q39'!$L$5</f>
        <v>1368</v>
      </c>
      <c r="M308" s="549">
        <f>+'q39'!$M$5</f>
        <v>1466.66</v>
      </c>
    </row>
  </sheetData>
  <mergeCells count="9">
    <mergeCell ref="R146:S146"/>
    <mergeCell ref="T146:U146"/>
    <mergeCell ref="AX92:BA96"/>
    <mergeCell ref="AG177:AK182"/>
    <mergeCell ref="Z1:AE4"/>
    <mergeCell ref="Y57:AD60"/>
    <mergeCell ref="AX86:BA90"/>
    <mergeCell ref="AA177:AE182"/>
    <mergeCell ref="BC86:BF90"/>
  </mergeCells>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Drop Down 1">
              <controlPr defaultSize="0" autoLine="0" autoPict="0">
                <anchor moveWithCells="1">
                  <from>
                    <xdr:col>15</xdr:col>
                    <xdr:colOff>561975</xdr:colOff>
                    <xdr:row>7</xdr:row>
                    <xdr:rowOff>142875</xdr:rowOff>
                  </from>
                  <to>
                    <xdr:col>17</xdr:col>
                    <xdr:colOff>19050</xdr:colOff>
                    <xdr:row>9</xdr:row>
                    <xdr:rowOff>9525</xdr:rowOff>
                  </to>
                </anchor>
              </controlPr>
            </control>
          </mc:Choice>
        </mc:AlternateContent>
        <mc:AlternateContent xmlns:mc="http://schemas.openxmlformats.org/markup-compatibility/2006">
          <mc:Choice Requires="x14">
            <control shapeId="179206" r:id="rId5" name="Drop Down 6">
              <controlPr defaultSize="0" autoLine="0" autoPict="0">
                <anchor moveWithCells="1">
                  <from>
                    <xdr:col>18</xdr:col>
                    <xdr:colOff>581025</xdr:colOff>
                    <xdr:row>116</xdr:row>
                    <xdr:rowOff>123825</xdr:rowOff>
                  </from>
                  <to>
                    <xdr:col>19</xdr:col>
                    <xdr:colOff>361950</xdr:colOff>
                    <xdr:row>117</xdr:row>
                    <xdr:rowOff>142875</xdr:rowOff>
                  </to>
                </anchor>
              </controlPr>
            </control>
          </mc:Choice>
        </mc:AlternateContent>
        <mc:AlternateContent xmlns:mc="http://schemas.openxmlformats.org/markup-compatibility/2006">
          <mc:Choice Requires="x14">
            <control shapeId="179207" r:id="rId6" name="Drop Down 7">
              <controlPr defaultSize="0" autoLine="0" autoPict="0">
                <anchor moveWithCells="1">
                  <from>
                    <xdr:col>19</xdr:col>
                    <xdr:colOff>0</xdr:colOff>
                    <xdr:row>142</xdr:row>
                    <xdr:rowOff>123825</xdr:rowOff>
                  </from>
                  <to>
                    <xdr:col>20</xdr:col>
                    <xdr:colOff>171450</xdr:colOff>
                    <xdr:row>143</xdr:row>
                    <xdr:rowOff>142875</xdr:rowOff>
                  </to>
                </anchor>
              </controlPr>
            </control>
          </mc:Choice>
        </mc:AlternateContent>
        <mc:AlternateContent xmlns:mc="http://schemas.openxmlformats.org/markup-compatibility/2006">
          <mc:Choice Requires="x14">
            <control shapeId="179208" r:id="rId7" name="Drop Down 8">
              <controlPr defaultSize="0" autoLine="0" autoPict="0">
                <anchor moveWithCells="1">
                  <from>
                    <xdr:col>18</xdr:col>
                    <xdr:colOff>0</xdr:colOff>
                    <xdr:row>248</xdr:row>
                    <xdr:rowOff>123825</xdr:rowOff>
                  </from>
                  <to>
                    <xdr:col>18</xdr:col>
                    <xdr:colOff>752475</xdr:colOff>
                    <xdr:row>249</xdr:row>
                    <xdr:rowOff>142875</xdr:rowOff>
                  </to>
                </anchor>
              </controlPr>
            </control>
          </mc:Choice>
        </mc:AlternateContent>
        <mc:AlternateContent xmlns:mc="http://schemas.openxmlformats.org/markup-compatibility/2006">
          <mc:Choice Requires="x14">
            <control shapeId="179209" r:id="rId8" name="Drop Down 9">
              <controlPr defaultSize="0" autoLine="0" autoPict="0">
                <anchor moveWithCells="1">
                  <from>
                    <xdr:col>18</xdr:col>
                    <xdr:colOff>561975</xdr:colOff>
                    <xdr:row>87</xdr:row>
                    <xdr:rowOff>142875</xdr:rowOff>
                  </from>
                  <to>
                    <xdr:col>19</xdr:col>
                    <xdr:colOff>352425</xdr:colOff>
                    <xdr:row>89</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1508B-2640-4655-97CD-822A242FF025}">
  <sheetPr>
    <tabColor indexed="25"/>
    <pageSetUpPr fitToPage="1"/>
  </sheetPr>
  <dimension ref="A1:S47"/>
  <sheetViews>
    <sheetView showGridLines="0" zoomScaleNormal="100" workbookViewId="0">
      <selection activeCell="AH74" sqref="AH74"/>
    </sheetView>
  </sheetViews>
  <sheetFormatPr defaultColWidth="17.28515625" defaultRowHeight="11.25"/>
  <cols>
    <col min="1" max="1" width="14.7109375" style="61" customWidth="1"/>
    <col min="2" max="2" width="2.42578125" style="125" bestFit="1" customWidth="1"/>
    <col min="3" max="13" width="7.5703125" style="61" customWidth="1"/>
    <col min="14" max="15" width="7.85546875" style="61" customWidth="1"/>
    <col min="16" max="16384" width="17.28515625" style="61"/>
  </cols>
  <sheetData>
    <row r="1" spans="1:19" s="120" customFormat="1" ht="60.6" customHeight="1">
      <c r="A1" s="778" t="s">
        <v>753</v>
      </c>
      <c r="B1" s="778"/>
      <c r="C1" s="778"/>
      <c r="D1" s="778"/>
      <c r="E1" s="778"/>
      <c r="F1" s="778"/>
      <c r="G1" s="778"/>
      <c r="H1" s="778"/>
      <c r="I1" s="778"/>
      <c r="J1" s="778"/>
      <c r="K1" s="778"/>
      <c r="L1" s="778"/>
      <c r="M1" s="778"/>
      <c r="O1" s="762" t="s">
        <v>637</v>
      </c>
      <c r="P1" s="762"/>
      <c r="Q1" s="762"/>
      <c r="R1" s="762"/>
      <c r="S1" s="762"/>
    </row>
    <row r="2" spans="1:19" s="121" customFormat="1" ht="15" customHeight="1">
      <c r="A2" s="187"/>
      <c r="B2" s="188"/>
      <c r="C2" s="189"/>
      <c r="D2" s="187"/>
      <c r="E2" s="187"/>
      <c r="F2" s="187"/>
      <c r="G2" s="187"/>
      <c r="H2" s="187"/>
      <c r="I2" s="187"/>
      <c r="J2" s="187"/>
      <c r="K2" s="187"/>
      <c r="L2" s="187"/>
      <c r="M2" s="187"/>
      <c r="O2" s="763" t="s">
        <v>638</v>
      </c>
      <c r="P2" s="763"/>
      <c r="Q2" s="763"/>
      <c r="R2" s="763"/>
      <c r="S2" s="763"/>
    </row>
    <row r="3" spans="1:19" s="121" customFormat="1" ht="15" customHeight="1">
      <c r="A3" s="187" t="s">
        <v>14</v>
      </c>
      <c r="B3" s="188"/>
      <c r="C3" s="189"/>
      <c r="D3" s="187"/>
      <c r="E3" s="187"/>
      <c r="F3" s="187"/>
      <c r="G3" s="187"/>
      <c r="H3" s="187"/>
      <c r="I3" s="187"/>
      <c r="J3" s="187"/>
      <c r="K3" s="187"/>
      <c r="L3" s="187"/>
      <c r="M3" s="187"/>
      <c r="O3" s="763"/>
      <c r="P3" s="763"/>
      <c r="Q3" s="763"/>
      <c r="R3" s="763"/>
      <c r="S3" s="763"/>
    </row>
    <row r="4" spans="1:19" s="122" customFormat="1" ht="28.5" customHeight="1" thickBot="1">
      <c r="A4" s="69"/>
      <c r="B4" s="69"/>
      <c r="C4" s="69">
        <v>2013</v>
      </c>
      <c r="D4" s="69">
        <v>2014</v>
      </c>
      <c r="E4" s="69">
        <v>2015</v>
      </c>
      <c r="F4" s="69">
        <v>2016</v>
      </c>
      <c r="G4" s="69">
        <v>2017</v>
      </c>
      <c r="H4" s="69">
        <v>2018</v>
      </c>
      <c r="I4" s="69">
        <v>2019</v>
      </c>
      <c r="J4" s="69">
        <v>2020</v>
      </c>
      <c r="K4" s="69">
        <v>2021</v>
      </c>
      <c r="L4" s="69">
        <v>2022</v>
      </c>
      <c r="M4" s="69">
        <v>2023</v>
      </c>
      <c r="O4" s="763"/>
      <c r="P4" s="763"/>
      <c r="Q4" s="763"/>
      <c r="R4" s="763"/>
      <c r="S4" s="763"/>
    </row>
    <row r="5" spans="1:19" s="123" customFormat="1" ht="16.5" customHeight="1" thickTop="1">
      <c r="A5" s="54" t="s">
        <v>12</v>
      </c>
      <c r="B5" s="54" t="s">
        <v>45</v>
      </c>
      <c r="C5" s="365">
        <v>1890511</v>
      </c>
      <c r="D5" s="365">
        <v>1928307</v>
      </c>
      <c r="E5" s="365">
        <v>1991131</v>
      </c>
      <c r="F5" s="365">
        <v>2054911</v>
      </c>
      <c r="G5" s="365">
        <v>2131943</v>
      </c>
      <c r="H5" s="365">
        <v>2205449</v>
      </c>
      <c r="I5" s="365">
        <v>2232400</v>
      </c>
      <c r="J5" s="365">
        <v>2164118</v>
      </c>
      <c r="K5" s="365">
        <v>2200594</v>
      </c>
      <c r="L5" s="365">
        <v>2376115</v>
      </c>
      <c r="M5" s="365">
        <v>2467600</v>
      </c>
      <c r="N5" s="122"/>
      <c r="O5" s="764" t="s">
        <v>639</v>
      </c>
      <c r="P5" s="764"/>
      <c r="Q5" s="764"/>
      <c r="R5" s="764"/>
      <c r="S5" s="764"/>
    </row>
    <row r="6" spans="1:19" s="123" customFormat="1" ht="12.75" customHeight="1">
      <c r="A6" s="54"/>
      <c r="B6" s="54" t="s">
        <v>53</v>
      </c>
      <c r="C6" s="364">
        <v>1021704</v>
      </c>
      <c r="D6" s="364">
        <v>1044369</v>
      </c>
      <c r="E6" s="364">
        <v>1072847</v>
      </c>
      <c r="F6" s="364">
        <v>1107485</v>
      </c>
      <c r="G6" s="364">
        <v>1154786</v>
      </c>
      <c r="H6" s="364">
        <v>1199385</v>
      </c>
      <c r="I6" s="364">
        <v>1217589</v>
      </c>
      <c r="J6" s="364">
        <v>1187469</v>
      </c>
      <c r="K6" s="364">
        <v>1200895</v>
      </c>
      <c r="L6" s="364">
        <v>1298876</v>
      </c>
      <c r="M6" s="364">
        <v>1354324</v>
      </c>
      <c r="N6" s="122"/>
      <c r="O6" s="764"/>
      <c r="P6" s="764"/>
      <c r="Q6" s="764"/>
      <c r="R6" s="764"/>
      <c r="S6" s="764"/>
    </row>
    <row r="7" spans="1:19" s="123" customFormat="1" ht="12.75" customHeight="1">
      <c r="A7" s="54"/>
      <c r="B7" s="54" t="s">
        <v>54</v>
      </c>
      <c r="C7" s="364">
        <v>868807</v>
      </c>
      <c r="D7" s="364">
        <v>883938</v>
      </c>
      <c r="E7" s="364">
        <v>918284</v>
      </c>
      <c r="F7" s="364">
        <v>947426</v>
      </c>
      <c r="G7" s="364">
        <v>977157</v>
      </c>
      <c r="H7" s="364">
        <v>1006064</v>
      </c>
      <c r="I7" s="364">
        <v>1014811</v>
      </c>
      <c r="J7" s="364">
        <v>976649</v>
      </c>
      <c r="K7" s="364">
        <v>999699</v>
      </c>
      <c r="L7" s="364">
        <v>1077239</v>
      </c>
      <c r="M7" s="364">
        <v>1113276</v>
      </c>
      <c r="N7" s="122"/>
    </row>
    <row r="8" spans="1:19" s="124" customFormat="1" ht="16.5" customHeight="1">
      <c r="A8" s="56" t="s">
        <v>55</v>
      </c>
      <c r="B8" s="54" t="s">
        <v>45</v>
      </c>
      <c r="C8" s="364">
        <v>410</v>
      </c>
      <c r="D8" s="364">
        <v>263</v>
      </c>
      <c r="E8" s="364">
        <v>240</v>
      </c>
      <c r="F8" s="364">
        <v>267</v>
      </c>
      <c r="G8" s="364">
        <v>380</v>
      </c>
      <c r="H8" s="364">
        <v>372</v>
      </c>
      <c r="I8" s="364">
        <v>349</v>
      </c>
      <c r="J8" s="364">
        <v>231</v>
      </c>
      <c r="K8" s="364">
        <v>282</v>
      </c>
      <c r="L8" s="364">
        <v>377</v>
      </c>
      <c r="M8" s="364">
        <v>361</v>
      </c>
      <c r="N8" s="122"/>
    </row>
    <row r="9" spans="1:19" s="124" customFormat="1" ht="12.75" customHeight="1">
      <c r="A9" s="57"/>
      <c r="B9" s="58" t="s">
        <v>53</v>
      </c>
      <c r="C9" s="366">
        <v>274</v>
      </c>
      <c r="D9" s="366">
        <v>173</v>
      </c>
      <c r="E9" s="366">
        <v>164</v>
      </c>
      <c r="F9" s="366">
        <v>191</v>
      </c>
      <c r="G9" s="366">
        <v>275</v>
      </c>
      <c r="H9" s="366">
        <v>252</v>
      </c>
      <c r="I9" s="366">
        <v>253</v>
      </c>
      <c r="J9" s="366">
        <v>190</v>
      </c>
      <c r="K9" s="366">
        <v>218</v>
      </c>
      <c r="L9" s="366">
        <v>276</v>
      </c>
      <c r="M9" s="366">
        <v>269</v>
      </c>
      <c r="N9" s="122"/>
    </row>
    <row r="10" spans="1:19" s="124" customFormat="1" ht="12.75" customHeight="1">
      <c r="A10" s="56"/>
      <c r="B10" s="58" t="s">
        <v>54</v>
      </c>
      <c r="C10" s="366">
        <v>136</v>
      </c>
      <c r="D10" s="366">
        <v>90</v>
      </c>
      <c r="E10" s="366">
        <v>76</v>
      </c>
      <c r="F10" s="366">
        <v>76</v>
      </c>
      <c r="G10" s="366">
        <v>105</v>
      </c>
      <c r="H10" s="366">
        <v>120</v>
      </c>
      <c r="I10" s="366">
        <v>96</v>
      </c>
      <c r="J10" s="366">
        <v>41</v>
      </c>
      <c r="K10" s="366">
        <v>64</v>
      </c>
      <c r="L10" s="366">
        <v>101</v>
      </c>
      <c r="M10" s="366">
        <v>92</v>
      </c>
      <c r="N10" s="218"/>
      <c r="O10" s="122"/>
    </row>
    <row r="11" spans="1:19" s="124" customFormat="1" ht="16.5" customHeight="1">
      <c r="A11" s="56" t="s">
        <v>56</v>
      </c>
      <c r="B11" s="54" t="s">
        <v>45</v>
      </c>
      <c r="C11" s="364">
        <v>108363</v>
      </c>
      <c r="D11" s="364">
        <v>111699</v>
      </c>
      <c r="E11" s="364">
        <v>120564</v>
      </c>
      <c r="F11" s="364">
        <v>129238</v>
      </c>
      <c r="G11" s="364">
        <v>140998</v>
      </c>
      <c r="H11" s="364">
        <v>152186</v>
      </c>
      <c r="I11" s="364">
        <v>157828</v>
      </c>
      <c r="J11" s="364">
        <v>140721</v>
      </c>
      <c r="K11" s="364">
        <v>143238</v>
      </c>
      <c r="L11" s="364">
        <v>162820</v>
      </c>
      <c r="M11" s="364">
        <v>170800</v>
      </c>
      <c r="N11" s="218"/>
      <c r="O11" s="218"/>
    </row>
    <row r="12" spans="1:19" s="124" customFormat="1" ht="12.75" customHeight="1">
      <c r="A12" s="57"/>
      <c r="B12" s="58" t="s">
        <v>53</v>
      </c>
      <c r="C12" s="366">
        <v>61183</v>
      </c>
      <c r="D12" s="366">
        <v>63406</v>
      </c>
      <c r="E12" s="366">
        <v>68037</v>
      </c>
      <c r="F12" s="366">
        <v>72936</v>
      </c>
      <c r="G12" s="366">
        <v>79671</v>
      </c>
      <c r="H12" s="366">
        <v>86955</v>
      </c>
      <c r="I12" s="366">
        <v>90055</v>
      </c>
      <c r="J12" s="366">
        <v>81716</v>
      </c>
      <c r="K12" s="366">
        <v>81847</v>
      </c>
      <c r="L12" s="366">
        <v>92674</v>
      </c>
      <c r="M12" s="366">
        <v>98000</v>
      </c>
      <c r="N12" s="218"/>
      <c r="O12" s="218"/>
    </row>
    <row r="13" spans="1:19" s="124" customFormat="1" ht="12.75" customHeight="1">
      <c r="A13" s="56"/>
      <c r="B13" s="58" t="s">
        <v>54</v>
      </c>
      <c r="C13" s="366">
        <v>47180</v>
      </c>
      <c r="D13" s="366">
        <v>48293</v>
      </c>
      <c r="E13" s="366">
        <v>52527</v>
      </c>
      <c r="F13" s="366">
        <v>56302</v>
      </c>
      <c r="G13" s="366">
        <v>61327</v>
      </c>
      <c r="H13" s="366">
        <v>65231</v>
      </c>
      <c r="I13" s="366">
        <v>67773</v>
      </c>
      <c r="J13" s="366">
        <v>59005</v>
      </c>
      <c r="K13" s="366">
        <v>61391</v>
      </c>
      <c r="L13" s="366">
        <v>70146</v>
      </c>
      <c r="M13" s="366">
        <v>72800</v>
      </c>
    </row>
    <row r="14" spans="1:19" s="124" customFormat="1" ht="16.5" customHeight="1">
      <c r="A14" s="56" t="s">
        <v>57</v>
      </c>
      <c r="B14" s="54" t="s">
        <v>45</v>
      </c>
      <c r="C14" s="364">
        <v>220615</v>
      </c>
      <c r="D14" s="364">
        <v>213010</v>
      </c>
      <c r="E14" s="364">
        <v>217246</v>
      </c>
      <c r="F14" s="364">
        <v>225058</v>
      </c>
      <c r="G14" s="364">
        <v>235305</v>
      </c>
      <c r="H14" s="364">
        <v>247582</v>
      </c>
      <c r="I14" s="364">
        <v>255763</v>
      </c>
      <c r="J14" s="364">
        <v>243925</v>
      </c>
      <c r="K14" s="364">
        <v>247722</v>
      </c>
      <c r="L14" s="364">
        <v>273002</v>
      </c>
      <c r="M14" s="364">
        <v>288104</v>
      </c>
      <c r="N14" s="218"/>
      <c r="O14" s="218"/>
    </row>
    <row r="15" spans="1:19" s="124" customFormat="1" ht="12.75" customHeight="1">
      <c r="A15" s="57"/>
      <c r="B15" s="58" t="s">
        <v>53</v>
      </c>
      <c r="C15" s="366">
        <v>114423</v>
      </c>
      <c r="D15" s="366">
        <v>111806</v>
      </c>
      <c r="E15" s="366">
        <v>113565</v>
      </c>
      <c r="F15" s="366">
        <v>118421</v>
      </c>
      <c r="G15" s="366">
        <v>124552</v>
      </c>
      <c r="H15" s="366">
        <v>131770</v>
      </c>
      <c r="I15" s="366">
        <v>136707</v>
      </c>
      <c r="J15" s="366">
        <v>131831</v>
      </c>
      <c r="K15" s="366">
        <v>133440</v>
      </c>
      <c r="L15" s="366">
        <v>148634</v>
      </c>
      <c r="M15" s="366">
        <v>158510</v>
      </c>
      <c r="N15" s="218"/>
      <c r="O15" s="218"/>
      <c r="P15" s="535"/>
    </row>
    <row r="16" spans="1:19" s="124" customFormat="1" ht="12.75" customHeight="1">
      <c r="A16" s="56"/>
      <c r="B16" s="58" t="s">
        <v>54</v>
      </c>
      <c r="C16" s="366">
        <v>106192</v>
      </c>
      <c r="D16" s="366">
        <v>101204</v>
      </c>
      <c r="E16" s="366">
        <v>103681</v>
      </c>
      <c r="F16" s="366">
        <v>106637</v>
      </c>
      <c r="G16" s="366">
        <v>110753</v>
      </c>
      <c r="H16" s="366">
        <v>115812</v>
      </c>
      <c r="I16" s="366">
        <v>119056</v>
      </c>
      <c r="J16" s="366">
        <v>112094</v>
      </c>
      <c r="K16" s="366">
        <v>114282</v>
      </c>
      <c r="L16" s="366">
        <v>124368</v>
      </c>
      <c r="M16" s="366">
        <v>129594</v>
      </c>
      <c r="N16" s="218"/>
      <c r="O16" s="218"/>
    </row>
    <row r="17" spans="1:15" s="124" customFormat="1" ht="16.5" customHeight="1">
      <c r="A17" s="56" t="s">
        <v>58</v>
      </c>
      <c r="B17" s="54" t="s">
        <v>45</v>
      </c>
      <c r="C17" s="364">
        <v>293170</v>
      </c>
      <c r="D17" s="364">
        <v>287500</v>
      </c>
      <c r="E17" s="364">
        <v>282921</v>
      </c>
      <c r="F17" s="364">
        <v>278437</v>
      </c>
      <c r="G17" s="364">
        <v>276020</v>
      </c>
      <c r="H17" s="364">
        <v>275124</v>
      </c>
      <c r="I17" s="364">
        <v>273959</v>
      </c>
      <c r="J17" s="364">
        <v>263309</v>
      </c>
      <c r="K17" s="364">
        <v>266211</v>
      </c>
      <c r="L17" s="364">
        <v>289816</v>
      </c>
      <c r="M17" s="364">
        <v>303855</v>
      </c>
      <c r="N17" s="218"/>
      <c r="O17" s="218"/>
    </row>
    <row r="18" spans="1:15" s="124" customFormat="1" ht="12.75" customHeight="1">
      <c r="A18" s="57"/>
      <c r="B18" s="58" t="s">
        <v>53</v>
      </c>
      <c r="C18" s="366">
        <v>153198</v>
      </c>
      <c r="D18" s="366">
        <v>151256</v>
      </c>
      <c r="E18" s="366">
        <v>148454</v>
      </c>
      <c r="F18" s="366">
        <v>146896</v>
      </c>
      <c r="G18" s="366">
        <v>147019</v>
      </c>
      <c r="H18" s="366">
        <v>148267</v>
      </c>
      <c r="I18" s="366">
        <v>148861</v>
      </c>
      <c r="J18" s="366">
        <v>144827</v>
      </c>
      <c r="K18" s="366">
        <v>146453</v>
      </c>
      <c r="L18" s="366">
        <v>161254</v>
      </c>
      <c r="M18" s="366">
        <v>170136</v>
      </c>
      <c r="N18" s="218"/>
      <c r="O18" s="218"/>
    </row>
    <row r="19" spans="1:15" s="124" customFormat="1" ht="12.75" customHeight="1">
      <c r="A19" s="56"/>
      <c r="B19" s="58" t="s">
        <v>54</v>
      </c>
      <c r="C19" s="366">
        <v>139972</v>
      </c>
      <c r="D19" s="366">
        <v>136244</v>
      </c>
      <c r="E19" s="366">
        <v>134467</v>
      </c>
      <c r="F19" s="366">
        <v>131541</v>
      </c>
      <c r="G19" s="366">
        <v>129001</v>
      </c>
      <c r="H19" s="366">
        <v>126857</v>
      </c>
      <c r="I19" s="366">
        <v>125098</v>
      </c>
      <c r="J19" s="366">
        <v>118482</v>
      </c>
      <c r="K19" s="366">
        <v>119758</v>
      </c>
      <c r="L19" s="366">
        <v>128562</v>
      </c>
      <c r="M19" s="366">
        <v>133719</v>
      </c>
      <c r="N19" s="218"/>
      <c r="O19" s="218"/>
    </row>
    <row r="20" spans="1:15" s="124" customFormat="1" ht="16.5" customHeight="1">
      <c r="A20" s="56" t="s">
        <v>59</v>
      </c>
      <c r="B20" s="54" t="s">
        <v>45</v>
      </c>
      <c r="C20" s="364">
        <v>327923</v>
      </c>
      <c r="D20" s="364">
        <v>326651</v>
      </c>
      <c r="E20" s="364">
        <v>326869</v>
      </c>
      <c r="F20" s="364">
        <v>321638</v>
      </c>
      <c r="G20" s="364">
        <v>319497</v>
      </c>
      <c r="H20" s="364">
        <v>318764</v>
      </c>
      <c r="I20" s="364">
        <v>315224</v>
      </c>
      <c r="J20" s="364">
        <v>297330</v>
      </c>
      <c r="K20" s="364">
        <v>290235</v>
      </c>
      <c r="L20" s="364">
        <v>303288</v>
      </c>
      <c r="M20" s="364">
        <v>307054</v>
      </c>
      <c r="N20" s="218"/>
      <c r="O20" s="218"/>
    </row>
    <row r="21" spans="1:15" s="124" customFormat="1" ht="12.75" customHeight="1">
      <c r="A21" s="57"/>
      <c r="B21" s="58" t="s">
        <v>53</v>
      </c>
      <c r="C21" s="366">
        <v>172571</v>
      </c>
      <c r="D21" s="366">
        <v>172310</v>
      </c>
      <c r="E21" s="366">
        <v>171246</v>
      </c>
      <c r="F21" s="366">
        <v>168738</v>
      </c>
      <c r="G21" s="366">
        <v>168220</v>
      </c>
      <c r="H21" s="366">
        <v>169027</v>
      </c>
      <c r="I21" s="366">
        <v>168474</v>
      </c>
      <c r="J21" s="366">
        <v>160725</v>
      </c>
      <c r="K21" s="366">
        <v>157584</v>
      </c>
      <c r="L21" s="366">
        <v>166060</v>
      </c>
      <c r="M21" s="366">
        <v>169542</v>
      </c>
      <c r="N21" s="218"/>
      <c r="O21" s="218"/>
    </row>
    <row r="22" spans="1:15" s="124" customFormat="1" ht="12.75" customHeight="1">
      <c r="A22" s="56"/>
      <c r="B22" s="58" t="s">
        <v>54</v>
      </c>
      <c r="C22" s="366">
        <v>155352</v>
      </c>
      <c r="D22" s="366">
        <v>154341</v>
      </c>
      <c r="E22" s="366">
        <v>155623</v>
      </c>
      <c r="F22" s="366">
        <v>152900</v>
      </c>
      <c r="G22" s="366">
        <v>151277</v>
      </c>
      <c r="H22" s="366">
        <v>149737</v>
      </c>
      <c r="I22" s="366">
        <v>146750</v>
      </c>
      <c r="J22" s="366">
        <v>136605</v>
      </c>
      <c r="K22" s="366">
        <v>132651</v>
      </c>
      <c r="L22" s="366">
        <v>137228</v>
      </c>
      <c r="M22" s="366">
        <v>137512</v>
      </c>
      <c r="N22" s="218"/>
      <c r="O22" s="218"/>
    </row>
    <row r="23" spans="1:15" s="124" customFormat="1" ht="16.5" customHeight="1">
      <c r="A23" s="56" t="s">
        <v>60</v>
      </c>
      <c r="B23" s="54" t="s">
        <v>45</v>
      </c>
      <c r="C23" s="364">
        <v>290116</v>
      </c>
      <c r="D23" s="364">
        <v>303100</v>
      </c>
      <c r="E23" s="364">
        <v>318087</v>
      </c>
      <c r="F23" s="364">
        <v>331142</v>
      </c>
      <c r="G23" s="364">
        <v>341991</v>
      </c>
      <c r="H23" s="364">
        <v>348044</v>
      </c>
      <c r="I23" s="364">
        <v>344670</v>
      </c>
      <c r="J23" s="364">
        <v>330571</v>
      </c>
      <c r="K23" s="364">
        <v>323971</v>
      </c>
      <c r="L23" s="364">
        <v>336356</v>
      </c>
      <c r="M23" s="364">
        <v>340506</v>
      </c>
      <c r="N23" s="218"/>
      <c r="O23" s="218"/>
    </row>
    <row r="24" spans="1:15" s="124" customFormat="1" ht="12.75" customHeight="1">
      <c r="A24" s="57"/>
      <c r="B24" s="58" t="s">
        <v>53</v>
      </c>
      <c r="C24" s="366">
        <v>154322</v>
      </c>
      <c r="D24" s="366">
        <v>161023</v>
      </c>
      <c r="E24" s="366">
        <v>167809</v>
      </c>
      <c r="F24" s="366">
        <v>173981</v>
      </c>
      <c r="G24" s="366">
        <v>179956</v>
      </c>
      <c r="H24" s="366">
        <v>183367</v>
      </c>
      <c r="I24" s="366">
        <v>182524</v>
      </c>
      <c r="J24" s="366">
        <v>175612</v>
      </c>
      <c r="K24" s="366">
        <v>171422</v>
      </c>
      <c r="L24" s="366">
        <v>178236</v>
      </c>
      <c r="M24" s="366">
        <v>181673</v>
      </c>
      <c r="N24" s="218"/>
      <c r="O24" s="218"/>
    </row>
    <row r="25" spans="1:15" s="124" customFormat="1" ht="12.75" customHeight="1">
      <c r="A25" s="56"/>
      <c r="B25" s="58" t="s">
        <v>54</v>
      </c>
      <c r="C25" s="366">
        <v>135794</v>
      </c>
      <c r="D25" s="366">
        <v>142077</v>
      </c>
      <c r="E25" s="366">
        <v>150278</v>
      </c>
      <c r="F25" s="366">
        <v>157161</v>
      </c>
      <c r="G25" s="366">
        <v>162035</v>
      </c>
      <c r="H25" s="366">
        <v>164677</v>
      </c>
      <c r="I25" s="366">
        <v>162146</v>
      </c>
      <c r="J25" s="366">
        <v>154959</v>
      </c>
      <c r="K25" s="366">
        <v>152549</v>
      </c>
      <c r="L25" s="366">
        <v>158120</v>
      </c>
      <c r="M25" s="366">
        <v>158833</v>
      </c>
      <c r="N25" s="218"/>
      <c r="O25" s="218"/>
    </row>
    <row r="26" spans="1:15" s="124" customFormat="1" ht="16.5" customHeight="1">
      <c r="A26" s="56" t="s">
        <v>61</v>
      </c>
      <c r="B26" s="54" t="s">
        <v>45</v>
      </c>
      <c r="C26" s="364">
        <v>245157</v>
      </c>
      <c r="D26" s="364">
        <v>253675</v>
      </c>
      <c r="E26" s="364">
        <v>263817</v>
      </c>
      <c r="F26" s="364">
        <v>277016</v>
      </c>
      <c r="G26" s="364">
        <v>290166</v>
      </c>
      <c r="H26" s="364">
        <v>304345</v>
      </c>
      <c r="I26" s="364">
        <v>311174</v>
      </c>
      <c r="J26" s="364">
        <v>312965</v>
      </c>
      <c r="K26" s="364">
        <v>322606</v>
      </c>
      <c r="L26" s="364">
        <v>345961</v>
      </c>
      <c r="M26" s="364">
        <v>352617</v>
      </c>
      <c r="N26" s="218"/>
      <c r="O26" s="218"/>
    </row>
    <row r="27" spans="1:15" s="124" customFormat="1" ht="12.75" customHeight="1">
      <c r="A27" s="57"/>
      <c r="B27" s="58" t="s">
        <v>53</v>
      </c>
      <c r="C27" s="366">
        <v>132203</v>
      </c>
      <c r="D27" s="366">
        <v>136474</v>
      </c>
      <c r="E27" s="366">
        <v>140917</v>
      </c>
      <c r="F27" s="366">
        <v>147650</v>
      </c>
      <c r="G27" s="366">
        <v>155146</v>
      </c>
      <c r="H27" s="366">
        <v>162797</v>
      </c>
      <c r="I27" s="366">
        <v>166498</v>
      </c>
      <c r="J27" s="366">
        <v>167447</v>
      </c>
      <c r="K27" s="366">
        <v>170879</v>
      </c>
      <c r="L27" s="366">
        <v>182576</v>
      </c>
      <c r="M27" s="366">
        <v>186103</v>
      </c>
      <c r="N27" s="218"/>
      <c r="O27" s="218"/>
    </row>
    <row r="28" spans="1:15" s="124" customFormat="1" ht="12.75" customHeight="1">
      <c r="A28" s="56"/>
      <c r="B28" s="58" t="s">
        <v>54</v>
      </c>
      <c r="C28" s="366">
        <v>112954</v>
      </c>
      <c r="D28" s="366">
        <v>117201</v>
      </c>
      <c r="E28" s="366">
        <v>122900</v>
      </c>
      <c r="F28" s="366">
        <v>129366</v>
      </c>
      <c r="G28" s="366">
        <v>135020</v>
      </c>
      <c r="H28" s="366">
        <v>141548</v>
      </c>
      <c r="I28" s="366">
        <v>144676</v>
      </c>
      <c r="J28" s="366">
        <v>145518</v>
      </c>
      <c r="K28" s="366">
        <v>151727</v>
      </c>
      <c r="L28" s="366">
        <v>163385</v>
      </c>
      <c r="M28" s="366">
        <v>166514</v>
      </c>
      <c r="N28" s="218"/>
      <c r="O28" s="218"/>
    </row>
    <row r="29" spans="1:15" s="124" customFormat="1" ht="16.5" customHeight="1">
      <c r="A29" s="56" t="s">
        <v>62</v>
      </c>
      <c r="B29" s="54" t="s">
        <v>45</v>
      </c>
      <c r="C29" s="364">
        <v>196870</v>
      </c>
      <c r="D29" s="364">
        <v>204971</v>
      </c>
      <c r="E29" s="364">
        <v>215703</v>
      </c>
      <c r="F29" s="364">
        <v>228929</v>
      </c>
      <c r="G29" s="364">
        <v>240195</v>
      </c>
      <c r="H29" s="364">
        <v>251806</v>
      </c>
      <c r="I29" s="364">
        <v>254159</v>
      </c>
      <c r="J29" s="364">
        <v>252370</v>
      </c>
      <c r="K29" s="364">
        <v>262540</v>
      </c>
      <c r="L29" s="364">
        <v>284054</v>
      </c>
      <c r="M29" s="364">
        <v>296892</v>
      </c>
      <c r="N29" s="218"/>
      <c r="O29" s="218"/>
    </row>
    <row r="30" spans="1:15" s="124" customFormat="1" ht="12.75" customHeight="1">
      <c r="A30" s="57"/>
      <c r="B30" s="58" t="s">
        <v>53</v>
      </c>
      <c r="C30" s="366">
        <v>109742</v>
      </c>
      <c r="D30" s="366">
        <v>113831</v>
      </c>
      <c r="E30" s="366">
        <v>119101</v>
      </c>
      <c r="F30" s="366">
        <v>125988</v>
      </c>
      <c r="G30" s="366">
        <v>132366</v>
      </c>
      <c r="H30" s="366">
        <v>138663</v>
      </c>
      <c r="I30" s="366">
        <v>139425</v>
      </c>
      <c r="J30" s="366">
        <v>138598</v>
      </c>
      <c r="K30" s="366">
        <v>142311</v>
      </c>
      <c r="L30" s="366">
        <v>153151</v>
      </c>
      <c r="M30" s="366">
        <v>159384</v>
      </c>
      <c r="N30" s="218"/>
      <c r="O30" s="218"/>
    </row>
    <row r="31" spans="1:15" s="124" customFormat="1" ht="12.75" customHeight="1">
      <c r="A31" s="56"/>
      <c r="B31" s="58" t="s">
        <v>54</v>
      </c>
      <c r="C31" s="366">
        <v>87128</v>
      </c>
      <c r="D31" s="366">
        <v>91140</v>
      </c>
      <c r="E31" s="366">
        <v>96602</v>
      </c>
      <c r="F31" s="366">
        <v>102941</v>
      </c>
      <c r="G31" s="366">
        <v>107829</v>
      </c>
      <c r="H31" s="366">
        <v>113143</v>
      </c>
      <c r="I31" s="366">
        <v>114734</v>
      </c>
      <c r="J31" s="366">
        <v>113772</v>
      </c>
      <c r="K31" s="366">
        <v>120229</v>
      </c>
      <c r="L31" s="366">
        <v>130903</v>
      </c>
      <c r="M31" s="366">
        <v>137508</v>
      </c>
      <c r="N31" s="218"/>
      <c r="O31" s="218"/>
    </row>
    <row r="32" spans="1:15" s="124" customFormat="1" ht="16.5" customHeight="1">
      <c r="A32" s="56" t="s">
        <v>63</v>
      </c>
      <c r="B32" s="54" t="s">
        <v>45</v>
      </c>
      <c r="C32" s="364">
        <v>134474</v>
      </c>
      <c r="D32" s="364">
        <v>145221</v>
      </c>
      <c r="E32" s="364">
        <v>155187</v>
      </c>
      <c r="F32" s="364">
        <v>165200</v>
      </c>
      <c r="G32" s="364">
        <v>177369</v>
      </c>
      <c r="H32" s="364">
        <v>188959</v>
      </c>
      <c r="I32" s="364">
        <v>194225</v>
      </c>
      <c r="J32" s="364">
        <v>195946</v>
      </c>
      <c r="K32" s="364">
        <v>204544</v>
      </c>
      <c r="L32" s="364">
        <v>220904</v>
      </c>
      <c r="M32" s="364">
        <v>231381</v>
      </c>
      <c r="N32" s="218"/>
      <c r="O32" s="218"/>
    </row>
    <row r="33" spans="1:15" s="124" customFormat="1" ht="12.75" customHeight="1">
      <c r="A33" s="57"/>
      <c r="B33" s="58" t="s">
        <v>53</v>
      </c>
      <c r="C33" s="366">
        <v>79139</v>
      </c>
      <c r="D33" s="366">
        <v>84426</v>
      </c>
      <c r="E33" s="366">
        <v>89293</v>
      </c>
      <c r="F33" s="366">
        <v>94431</v>
      </c>
      <c r="G33" s="366">
        <v>101818</v>
      </c>
      <c r="H33" s="366">
        <v>108149</v>
      </c>
      <c r="I33" s="366">
        <v>110814</v>
      </c>
      <c r="J33" s="366">
        <v>111597</v>
      </c>
      <c r="K33" s="366">
        <v>115095</v>
      </c>
      <c r="L33" s="366">
        <v>122772</v>
      </c>
      <c r="M33" s="366">
        <v>128243</v>
      </c>
      <c r="N33" s="218"/>
      <c r="O33" s="218"/>
    </row>
    <row r="34" spans="1:15" s="124" customFormat="1" ht="12.75" customHeight="1">
      <c r="A34" s="56"/>
      <c r="B34" s="58" t="s">
        <v>54</v>
      </c>
      <c r="C34" s="366">
        <v>55335</v>
      </c>
      <c r="D34" s="366">
        <v>60795</v>
      </c>
      <c r="E34" s="366">
        <v>65894</v>
      </c>
      <c r="F34" s="366">
        <v>70769</v>
      </c>
      <c r="G34" s="366">
        <v>75551</v>
      </c>
      <c r="H34" s="366">
        <v>80810</v>
      </c>
      <c r="I34" s="366">
        <v>83411</v>
      </c>
      <c r="J34" s="366">
        <v>84349</v>
      </c>
      <c r="K34" s="366">
        <v>89449</v>
      </c>
      <c r="L34" s="366">
        <v>98132</v>
      </c>
      <c r="M34" s="366">
        <v>103138</v>
      </c>
      <c r="N34" s="218"/>
      <c r="O34" s="218"/>
    </row>
    <row r="35" spans="1:15" s="124" customFormat="1" ht="16.5" customHeight="1">
      <c r="A35" s="56" t="s">
        <v>64</v>
      </c>
      <c r="B35" s="54" t="s">
        <v>45</v>
      </c>
      <c r="C35" s="364">
        <v>59874</v>
      </c>
      <c r="D35" s="364">
        <v>66368</v>
      </c>
      <c r="E35" s="364">
        <v>72582</v>
      </c>
      <c r="F35" s="364">
        <v>78003</v>
      </c>
      <c r="G35" s="364">
        <v>87565</v>
      </c>
      <c r="H35" s="364">
        <v>92395</v>
      </c>
      <c r="I35" s="364">
        <v>97235</v>
      </c>
      <c r="J35" s="364">
        <v>99272</v>
      </c>
      <c r="K35" s="364">
        <v>108804</v>
      </c>
      <c r="L35" s="364">
        <v>124579</v>
      </c>
      <c r="M35" s="364">
        <v>137126</v>
      </c>
      <c r="N35" s="218"/>
      <c r="O35" s="218"/>
    </row>
    <row r="36" spans="1:15" s="124" customFormat="1" ht="12.75" customHeight="1">
      <c r="A36" s="57"/>
      <c r="B36" s="58" t="s">
        <v>53</v>
      </c>
      <c r="C36" s="366">
        <v>35704</v>
      </c>
      <c r="D36" s="366">
        <v>39618</v>
      </c>
      <c r="E36" s="366">
        <v>43145</v>
      </c>
      <c r="F36" s="366">
        <v>45976</v>
      </c>
      <c r="G36" s="366">
        <v>51755</v>
      </c>
      <c r="H36" s="366">
        <v>53998</v>
      </c>
      <c r="I36" s="366">
        <v>56405</v>
      </c>
      <c r="J36" s="366">
        <v>57497</v>
      </c>
      <c r="K36" s="366">
        <v>62622</v>
      </c>
      <c r="L36" s="366">
        <v>71338</v>
      </c>
      <c r="M36" s="366">
        <v>78017</v>
      </c>
      <c r="N36" s="218"/>
      <c r="O36" s="218"/>
    </row>
    <row r="37" spans="1:15" s="124" customFormat="1" ht="12.75" customHeight="1">
      <c r="A37" s="56"/>
      <c r="B37" s="58" t="s">
        <v>54</v>
      </c>
      <c r="C37" s="366">
        <v>24170</v>
      </c>
      <c r="D37" s="366">
        <v>26750</v>
      </c>
      <c r="E37" s="366">
        <v>29437</v>
      </c>
      <c r="F37" s="366">
        <v>32027</v>
      </c>
      <c r="G37" s="366">
        <v>35810</v>
      </c>
      <c r="H37" s="366">
        <v>38397</v>
      </c>
      <c r="I37" s="366">
        <v>40830</v>
      </c>
      <c r="J37" s="366">
        <v>41775</v>
      </c>
      <c r="K37" s="366">
        <v>46182</v>
      </c>
      <c r="L37" s="366">
        <v>53241</v>
      </c>
      <c r="M37" s="366">
        <v>59109</v>
      </c>
      <c r="N37" s="218"/>
      <c r="O37" s="218"/>
    </row>
    <row r="38" spans="1:15" s="124" customFormat="1" ht="16.5" customHeight="1">
      <c r="A38" s="56" t="s">
        <v>65</v>
      </c>
      <c r="B38" s="54" t="s">
        <v>45</v>
      </c>
      <c r="C38" s="364">
        <v>12214</v>
      </c>
      <c r="D38" s="364">
        <v>14461</v>
      </c>
      <c r="E38" s="364">
        <v>16487</v>
      </c>
      <c r="F38" s="364">
        <v>18491</v>
      </c>
      <c r="G38" s="364">
        <v>20926</v>
      </c>
      <c r="H38" s="364">
        <v>24151</v>
      </c>
      <c r="I38" s="364">
        <v>27423</v>
      </c>
      <c r="J38" s="364">
        <v>27225</v>
      </c>
      <c r="K38" s="364">
        <v>30059</v>
      </c>
      <c r="L38" s="364">
        <v>34767</v>
      </c>
      <c r="M38" s="364">
        <v>38903</v>
      </c>
      <c r="N38" s="218"/>
      <c r="O38" s="218"/>
    </row>
    <row r="39" spans="1:15" s="124" customFormat="1" ht="12.75" customHeight="1">
      <c r="A39" s="57"/>
      <c r="B39" s="58" t="s">
        <v>53</v>
      </c>
      <c r="C39" s="366">
        <v>8022</v>
      </c>
      <c r="D39" s="366">
        <v>9121</v>
      </c>
      <c r="E39" s="366">
        <v>10175</v>
      </c>
      <c r="F39" s="366">
        <v>11275</v>
      </c>
      <c r="G39" s="366">
        <v>12984</v>
      </c>
      <c r="H39" s="366">
        <v>14966</v>
      </c>
      <c r="I39" s="366">
        <v>17393</v>
      </c>
      <c r="J39" s="366">
        <v>17284</v>
      </c>
      <c r="K39" s="366">
        <v>18831</v>
      </c>
      <c r="L39" s="366">
        <v>21797</v>
      </c>
      <c r="M39" s="366">
        <v>24446</v>
      </c>
      <c r="N39" s="218"/>
      <c r="O39" s="218"/>
    </row>
    <row r="40" spans="1:15" s="124" customFormat="1" ht="12.75" customHeight="1">
      <c r="A40" s="56"/>
      <c r="B40" s="58" t="s">
        <v>54</v>
      </c>
      <c r="C40" s="366">
        <v>4192</v>
      </c>
      <c r="D40" s="366">
        <v>5340</v>
      </c>
      <c r="E40" s="366">
        <v>6312</v>
      </c>
      <c r="F40" s="366">
        <v>7216</v>
      </c>
      <c r="G40" s="366">
        <v>7942</v>
      </c>
      <c r="H40" s="366">
        <v>9185</v>
      </c>
      <c r="I40" s="366">
        <v>10030</v>
      </c>
      <c r="J40" s="366">
        <v>9941</v>
      </c>
      <c r="K40" s="366">
        <v>11228</v>
      </c>
      <c r="L40" s="366">
        <v>12970</v>
      </c>
      <c r="M40" s="366">
        <v>14457</v>
      </c>
      <c r="N40" s="218"/>
      <c r="O40" s="218"/>
    </row>
    <row r="41" spans="1:15" s="124" customFormat="1" ht="16.5" customHeight="1">
      <c r="A41" s="56" t="s">
        <v>13</v>
      </c>
      <c r="B41" s="54" t="s">
        <v>45</v>
      </c>
      <c r="C41" s="364">
        <v>1325</v>
      </c>
      <c r="D41" s="364">
        <v>1388</v>
      </c>
      <c r="E41" s="364">
        <v>1428</v>
      </c>
      <c r="F41" s="364">
        <v>1492</v>
      </c>
      <c r="G41" s="364">
        <v>1531</v>
      </c>
      <c r="H41" s="364">
        <v>1721</v>
      </c>
      <c r="I41" s="364">
        <v>391</v>
      </c>
      <c r="J41" s="364">
        <v>253</v>
      </c>
      <c r="K41" s="364">
        <v>382</v>
      </c>
      <c r="L41" s="364">
        <v>191</v>
      </c>
      <c r="M41" s="364">
        <v>1</v>
      </c>
      <c r="N41" s="218"/>
      <c r="O41" s="218"/>
    </row>
    <row r="42" spans="1:15" s="124" customFormat="1" ht="12.75" customHeight="1">
      <c r="A42" s="59"/>
      <c r="B42" s="58" t="s">
        <v>53</v>
      </c>
      <c r="C42" s="366">
        <v>923</v>
      </c>
      <c r="D42" s="366">
        <v>925</v>
      </c>
      <c r="E42" s="366">
        <v>941</v>
      </c>
      <c r="F42" s="366">
        <v>1002</v>
      </c>
      <c r="G42" s="366">
        <v>1024</v>
      </c>
      <c r="H42" s="366">
        <v>1174</v>
      </c>
      <c r="I42" s="366">
        <v>180</v>
      </c>
      <c r="J42" s="366">
        <v>145</v>
      </c>
      <c r="K42" s="366">
        <v>193</v>
      </c>
      <c r="L42" s="366">
        <v>108</v>
      </c>
      <c r="M42" s="366">
        <v>1</v>
      </c>
      <c r="N42" s="218"/>
      <c r="O42" s="218"/>
    </row>
    <row r="43" spans="1:15" s="124" customFormat="1" ht="12.75" customHeight="1">
      <c r="A43" s="9"/>
      <c r="B43" s="60" t="s">
        <v>54</v>
      </c>
      <c r="C43" s="367">
        <v>402</v>
      </c>
      <c r="D43" s="367">
        <v>463</v>
      </c>
      <c r="E43" s="367">
        <v>487</v>
      </c>
      <c r="F43" s="367">
        <v>490</v>
      </c>
      <c r="G43" s="367">
        <v>507</v>
      </c>
      <c r="H43" s="367">
        <v>547</v>
      </c>
      <c r="I43" s="367">
        <v>211</v>
      </c>
      <c r="J43" s="367">
        <v>108</v>
      </c>
      <c r="K43" s="367">
        <v>189</v>
      </c>
      <c r="L43" s="367">
        <v>83</v>
      </c>
      <c r="M43" s="367">
        <v>0</v>
      </c>
      <c r="N43" s="218"/>
      <c r="O43" s="218"/>
    </row>
    <row r="44" spans="1:15" ht="15" customHeight="1">
      <c r="A44" s="21" t="s">
        <v>138</v>
      </c>
      <c r="B44" s="35"/>
      <c r="C44" s="147"/>
      <c r="D44" s="55"/>
      <c r="E44" s="55"/>
      <c r="F44" s="55"/>
      <c r="G44" s="55"/>
      <c r="H44" s="55"/>
      <c r="I44" s="55"/>
      <c r="J44" s="55"/>
      <c r="K44" s="55"/>
      <c r="L44" s="55"/>
      <c r="M44" s="55"/>
    </row>
    <row r="45" spans="1:15" ht="15" customHeight="1">
      <c r="A45" s="211"/>
      <c r="B45" s="211"/>
      <c r="C45" s="201"/>
      <c r="D45" s="201"/>
      <c r="E45" s="201"/>
      <c r="F45" s="201"/>
      <c r="G45" s="201"/>
      <c r="H45" s="201"/>
      <c r="I45" s="201"/>
      <c r="J45" s="201"/>
      <c r="K45" s="201"/>
      <c r="L45" s="201"/>
      <c r="M45" s="201"/>
    </row>
    <row r="46" spans="1:15">
      <c r="C46" s="201"/>
      <c r="D46" s="201"/>
      <c r="E46" s="201"/>
      <c r="F46" s="201"/>
      <c r="G46" s="201"/>
      <c r="H46" s="201"/>
      <c r="I46" s="201"/>
      <c r="J46" s="201"/>
      <c r="K46" s="201"/>
      <c r="L46" s="201"/>
      <c r="M46" s="201"/>
    </row>
    <row r="47" spans="1:15">
      <c r="C47" s="201"/>
      <c r="D47" s="201"/>
      <c r="E47" s="201"/>
      <c r="F47" s="201"/>
      <c r="G47" s="201"/>
      <c r="H47" s="201"/>
      <c r="I47" s="201"/>
      <c r="J47" s="201"/>
      <c r="K47" s="201"/>
      <c r="L47" s="201"/>
      <c r="M47" s="201"/>
    </row>
  </sheetData>
  <mergeCells count="4">
    <mergeCell ref="O5:S6"/>
    <mergeCell ref="A1:M1"/>
    <mergeCell ref="O1:S1"/>
    <mergeCell ref="O2:S4"/>
  </mergeCells>
  <conditionalFormatting sqref="A1 I2:I3 H4:I4 A44:F1048576 A2:G4 A6:J43 N44:O1048576 P10:XFD1048576 T1:XFD9 N10:O12 N1:N4 N6:N9 A5:O5">
    <cfRule type="cellIs" dxfId="1124" priority="3" operator="equal">
      <formula>0</formula>
    </cfRule>
  </conditionalFormatting>
  <conditionalFormatting sqref="O5">
    <cfRule type="containsText" dxfId="1123" priority="2" operator="containsText" text="FALSO">
      <formula>NOT(ISERROR(SEARCH("FALSO",O5)))</formula>
    </cfRule>
  </conditionalFormatting>
  <conditionalFormatting sqref="O1">
    <cfRule type="cellIs" dxfId="1122"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B0498-E64A-4A18-9BDC-DDAC4378F32E}">
  <sheetPr>
    <tabColor rgb="FFFFFF00"/>
    <pageSetUpPr fitToPage="1"/>
  </sheetPr>
  <dimension ref="A1:BB46"/>
  <sheetViews>
    <sheetView showGridLines="0" workbookViewId="0">
      <selection activeCell="AH74" sqref="AH74"/>
    </sheetView>
  </sheetViews>
  <sheetFormatPr defaultColWidth="9.140625" defaultRowHeight="15" customHeight="1"/>
  <cols>
    <col min="1" max="1" width="17.140625" style="132" customWidth="1"/>
    <col min="2" max="2" width="2.42578125" style="141" customWidth="1"/>
    <col min="3" max="13" width="6.42578125" style="132" customWidth="1"/>
    <col min="14" max="14" width="9.140625" style="230"/>
    <col min="15" max="32" width="9.140625" style="132"/>
    <col min="33" max="33" width="10.140625" style="132" bestFit="1" customWidth="1"/>
    <col min="34" max="16384" width="9.140625" style="132"/>
  </cols>
  <sheetData>
    <row r="1" spans="1:54" s="137" customFormat="1" ht="28.5" customHeight="1">
      <c r="A1" s="767" t="str">
        <f>+'q26'!A1:M1</f>
        <v>Quadro 26 - Remuneração média mensal base(1) por grupo etário e sexo</v>
      </c>
      <c r="B1" s="767"/>
      <c r="C1" s="767"/>
      <c r="D1" s="767"/>
      <c r="E1" s="767"/>
      <c r="F1" s="767"/>
      <c r="G1" s="767"/>
      <c r="H1" s="767"/>
      <c r="I1" s="767"/>
      <c r="J1" s="767"/>
      <c r="K1" s="767"/>
      <c r="L1" s="767"/>
      <c r="M1" s="767"/>
      <c r="N1" s="228"/>
      <c r="P1" s="484" t="s">
        <v>381</v>
      </c>
    </row>
    <row r="2" spans="1:54" s="274" customFormat="1" ht="15" customHeight="1">
      <c r="A2" s="254"/>
      <c r="B2" s="255"/>
      <c r="C2" s="254"/>
      <c r="D2" s="254"/>
      <c r="E2" s="254"/>
      <c r="F2" s="254"/>
      <c r="G2" s="254"/>
      <c r="H2" s="254"/>
      <c r="I2" s="254"/>
      <c r="J2" s="254"/>
      <c r="K2" s="254"/>
      <c r="L2" s="254"/>
      <c r="M2" s="254"/>
      <c r="N2" s="273"/>
      <c r="P2" s="132" t="s">
        <v>378</v>
      </c>
      <c r="Q2" s="138"/>
      <c r="R2" s="138"/>
      <c r="S2" s="138"/>
      <c r="T2" s="138"/>
      <c r="U2" s="138"/>
      <c r="V2" s="138"/>
      <c r="W2" s="138"/>
      <c r="X2" s="138"/>
      <c r="Y2" s="138"/>
      <c r="Z2" s="138"/>
      <c r="AA2" s="138"/>
      <c r="AB2" s="138"/>
    </row>
    <row r="3" spans="1:54" s="274" customFormat="1" ht="15" customHeight="1">
      <c r="A3" s="254" t="str">
        <f>+'q26'!A3</f>
        <v>Continente</v>
      </c>
      <c r="B3" s="254"/>
      <c r="C3" s="254"/>
      <c r="D3" s="254"/>
      <c r="E3" s="254"/>
      <c r="F3" s="254"/>
      <c r="G3" s="254"/>
      <c r="H3" s="254"/>
      <c r="I3" s="254"/>
      <c r="J3" s="254"/>
      <c r="K3" s="254"/>
      <c r="L3" s="254"/>
      <c r="M3" s="254" t="str">
        <f>+'q26'!M3</f>
        <v>Euros</v>
      </c>
      <c r="N3" s="273"/>
      <c r="P3" s="274" t="s">
        <v>379</v>
      </c>
      <c r="Q3" s="249"/>
      <c r="R3" s="249"/>
      <c r="S3" s="249"/>
      <c r="T3" s="249"/>
      <c r="U3" s="249"/>
      <c r="V3" s="249"/>
      <c r="W3" s="249"/>
      <c r="X3" s="249"/>
      <c r="Y3" s="249"/>
      <c r="Z3" s="249"/>
      <c r="AA3" s="249"/>
      <c r="AB3" s="249"/>
      <c r="AE3" s="658" t="s">
        <v>543</v>
      </c>
    </row>
    <row r="4" spans="1:54" s="260" customFormat="1" ht="28.5" customHeight="1" thickBot="1">
      <c r="A4" s="258"/>
      <c r="B4" s="258"/>
      <c r="C4" s="258">
        <f>+'q26'!C4</f>
        <v>2013</v>
      </c>
      <c r="D4" s="258">
        <f>+'q26'!D4</f>
        <v>2014</v>
      </c>
      <c r="E4" s="258">
        <f>+'q26'!E4</f>
        <v>2015</v>
      </c>
      <c r="F4" s="258">
        <f>+'q26'!F4</f>
        <v>2016</v>
      </c>
      <c r="G4" s="258">
        <f>+'q26'!G4</f>
        <v>2017</v>
      </c>
      <c r="H4" s="258">
        <f>+'q26'!H4</f>
        <v>2018</v>
      </c>
      <c r="I4" s="258">
        <f>+'q26'!I4</f>
        <v>2019</v>
      </c>
      <c r="J4" s="258">
        <f>+'q26'!J4</f>
        <v>2020</v>
      </c>
      <c r="K4" s="258">
        <f>+'q26'!K4</f>
        <v>2021</v>
      </c>
      <c r="L4" s="258">
        <f>+'q26'!L4</f>
        <v>2022</v>
      </c>
      <c r="M4" s="258">
        <f>+'q26'!M4</f>
        <v>2023</v>
      </c>
      <c r="N4" s="275"/>
      <c r="P4" s="258"/>
      <c r="Q4" s="258"/>
      <c r="R4" s="241">
        <f>+C4</f>
        <v>2013</v>
      </c>
      <c r="S4" s="241">
        <f t="shared" ref="S4:AB4" si="0">+D4</f>
        <v>2014</v>
      </c>
      <c r="T4" s="241">
        <f t="shared" si="0"/>
        <v>2015</v>
      </c>
      <c r="U4" s="241">
        <f t="shared" si="0"/>
        <v>2016</v>
      </c>
      <c r="V4" s="241">
        <f t="shared" si="0"/>
        <v>2017</v>
      </c>
      <c r="W4" s="241">
        <f t="shared" si="0"/>
        <v>2018</v>
      </c>
      <c r="X4" s="241">
        <f t="shared" si="0"/>
        <v>2019</v>
      </c>
      <c r="Y4" s="241">
        <f t="shared" si="0"/>
        <v>2020</v>
      </c>
      <c r="Z4" s="241">
        <f t="shared" si="0"/>
        <v>2021</v>
      </c>
      <c r="AA4" s="241">
        <f t="shared" si="0"/>
        <v>2022</v>
      </c>
      <c r="AB4" s="241">
        <f t="shared" si="0"/>
        <v>2023</v>
      </c>
      <c r="AE4" s="258"/>
      <c r="AF4" s="258"/>
      <c r="AG4" s="241">
        <f>+$R$4</f>
        <v>2013</v>
      </c>
      <c r="AH4" s="241">
        <f t="shared" ref="AH4" si="1">+S4</f>
        <v>2014</v>
      </c>
      <c r="AI4" s="241">
        <f t="shared" ref="AI4" si="2">+T4</f>
        <v>2015</v>
      </c>
      <c r="AJ4" s="241">
        <f t="shared" ref="AJ4" si="3">+U4</f>
        <v>2016</v>
      </c>
      <c r="AK4" s="241">
        <f t="shared" ref="AK4" si="4">+V4</f>
        <v>2017</v>
      </c>
      <c r="AL4" s="241">
        <f t="shared" ref="AL4" si="5">+W4</f>
        <v>2018</v>
      </c>
      <c r="AM4" s="241">
        <f t="shared" ref="AM4" si="6">+X4</f>
        <v>2019</v>
      </c>
      <c r="AN4" s="241">
        <f t="shared" ref="AN4" si="7">+Y4</f>
        <v>2020</v>
      </c>
      <c r="AO4" s="241">
        <f t="shared" ref="AO4" si="8">+Z4</f>
        <v>2021</v>
      </c>
      <c r="AP4" s="241">
        <f t="shared" ref="AP4" si="9">+AA4</f>
        <v>2022</v>
      </c>
      <c r="AQ4" s="241">
        <f t="shared" ref="AQ4" si="10">+AB4</f>
        <v>2023</v>
      </c>
      <c r="AR4" s="241">
        <f>+C4</f>
        <v>2013</v>
      </c>
      <c r="AS4" s="241">
        <f t="shared" ref="AS4:AY4" si="11">+D4</f>
        <v>2014</v>
      </c>
      <c r="AT4" s="241">
        <f t="shared" si="11"/>
        <v>2015</v>
      </c>
      <c r="AU4" s="241">
        <f t="shared" si="11"/>
        <v>2016</v>
      </c>
      <c r="AV4" s="241">
        <f t="shared" si="11"/>
        <v>2017</v>
      </c>
      <c r="AW4" s="241">
        <f t="shared" si="11"/>
        <v>2018</v>
      </c>
      <c r="AX4" s="241">
        <f t="shared" si="11"/>
        <v>2019</v>
      </c>
      <c r="AY4" s="241">
        <f t="shared" si="11"/>
        <v>2020</v>
      </c>
      <c r="AZ4" s="241">
        <f>+K4</f>
        <v>2021</v>
      </c>
      <c r="BA4" s="241">
        <f t="shared" ref="BA4" si="12">+L4</f>
        <v>2022</v>
      </c>
      <c r="BB4" s="241">
        <f t="shared" ref="BB4" si="13">+M4</f>
        <v>2023</v>
      </c>
    </row>
    <row r="5" spans="1:54" s="262" customFormat="1" ht="16.5" customHeight="1" thickTop="1">
      <c r="A5" s="248" t="str">
        <f>+'q26'!A5</f>
        <v>Total</v>
      </c>
      <c r="B5" s="440" t="str">
        <f>+'q26'!B5</f>
        <v>T</v>
      </c>
      <c r="C5" s="379">
        <f>+'q26'!C5</f>
        <v>912.18</v>
      </c>
      <c r="D5" s="379">
        <f>+'q26'!D5</f>
        <v>909.49</v>
      </c>
      <c r="E5" s="379">
        <f>+'q26'!E5</f>
        <v>913.93</v>
      </c>
      <c r="F5" s="379">
        <f>+'q26'!F5</f>
        <v>924.94</v>
      </c>
      <c r="G5" s="379">
        <f>+'q26'!G5</f>
        <v>943</v>
      </c>
      <c r="H5" s="379">
        <f>+'q26'!H5</f>
        <v>970.42</v>
      </c>
      <c r="I5" s="379">
        <f>+'q26'!I5</f>
        <v>1005.09</v>
      </c>
      <c r="J5" s="379">
        <f>+'q26'!J5</f>
        <v>1041.99</v>
      </c>
      <c r="K5" s="379">
        <f>+'q26'!K5</f>
        <v>1082.77</v>
      </c>
      <c r="L5" s="379">
        <f>+'q26'!L5</f>
        <v>1143.45</v>
      </c>
      <c r="M5" s="379">
        <f>+'q26'!M5</f>
        <v>1219.8699999999999</v>
      </c>
      <c r="N5" s="276"/>
      <c r="O5" s="260"/>
      <c r="P5" s="248" t="s">
        <v>12</v>
      </c>
      <c r="Q5" s="440" t="s">
        <v>45</v>
      </c>
      <c r="AE5" s="248" t="s">
        <v>12</v>
      </c>
      <c r="AF5" s="440" t="s">
        <v>45</v>
      </c>
      <c r="AG5" s="656">
        <f>+(AG8+AG11+AG14+AG17+AG20+AG23+AG26+AG29+AG32+AG35+AG38+AG41)/q17a!C5</f>
        <v>912.18295022880045</v>
      </c>
      <c r="AH5" s="656">
        <f>+(AH8+AH11+AH14+AH17+AH20+AH23+AH26+AH29+AH32+AH35+AH38+AH41)/q17a!D5</f>
        <v>909.4921289711649</v>
      </c>
      <c r="AI5" s="656">
        <f>+(AI8+AI11+AI14+AI17+AI20+AI23+AI26+AI29+AI32+AI35+AI38+AI41)/q17a!E5</f>
        <v>913.92316158002666</v>
      </c>
      <c r="AJ5" s="656">
        <f>+(AJ8+AJ11+AJ14+AJ17+AJ20+AJ23+AJ26+AJ29+AJ32+AJ35+AJ38+AJ41)/q17a!F5</f>
        <v>924.9387257696319</v>
      </c>
      <c r="AK5" s="656">
        <f>+(AK8+AK11+AK14+AK17+AK20+AK23+AK26+AK29+AK32+AK35+AK38+AK41)/q17a!G5</f>
        <v>943.00028854429979</v>
      </c>
      <c r="AL5" s="656">
        <f>+(AL8+AL11+AL14+AL17+AL20+AL23+AL26+AL29+AL32+AL35+AL38+AL41)/q17a!H5</f>
        <v>970.41668664748079</v>
      </c>
      <c r="AM5" s="656">
        <f>+(AM8+AM11+AM14+AM17+AM20+AM23+AM26+AM29+AM32+AM35+AM38+AM41)/q17a!I5</f>
        <v>1005.0890528982261</v>
      </c>
      <c r="AN5" s="656">
        <f>+(AN8+AN11+AN14+AN17+AN20+AN23+AN26+AN29+AN32+AN35+AN38+AN41)/q17a!J5</f>
        <v>1041.994550652968</v>
      </c>
      <c r="AO5" s="656">
        <f>+(AO8+AO11+AO14+AO17+AO20+AO23+AO26+AO29+AO32+AO35+AO38+AO41)/q17a!K5</f>
        <v>1082.7730282641869</v>
      </c>
      <c r="AP5" s="656">
        <f>+(AP8+AP11+AP14+AP17+AP20+AP23+AP26+AP29+AP32+AP35+AP38+AP41)/q17a!L5</f>
        <v>1143.447044124548</v>
      </c>
      <c r="AQ5" s="656">
        <f>+(AQ8+AQ11+AQ14+AQ17+AQ20+AQ23+AQ26+AQ29+AQ32+AQ35+AQ38+AQ41)/q17a!M5</f>
        <v>1219.8660518074241</v>
      </c>
      <c r="AR5" s="657">
        <f>+AG5-C5</f>
        <v>2.9502288005005539E-3</v>
      </c>
      <c r="AS5" s="657">
        <f t="shared" ref="AS5:BB5" si="14">+AH5-D5</f>
        <v>2.1289711648933007E-3</v>
      </c>
      <c r="AT5" s="657">
        <f t="shared" si="14"/>
        <v>-6.8384199732918205E-3</v>
      </c>
      <c r="AU5" s="657">
        <f t="shared" si="14"/>
        <v>-1.2742303681534395E-3</v>
      </c>
      <c r="AV5" s="657">
        <f t="shared" si="14"/>
        <v>2.8854429979219276E-4</v>
      </c>
      <c r="AW5" s="657">
        <f t="shared" si="14"/>
        <v>-3.3133525191715307E-3</v>
      </c>
      <c r="AX5" s="657">
        <f t="shared" si="14"/>
        <v>-9.4710177393153572E-4</v>
      </c>
      <c r="AY5" s="657">
        <f t="shared" si="14"/>
        <v>4.5506529679641972E-3</v>
      </c>
      <c r="AZ5" s="657">
        <f t="shared" si="14"/>
        <v>3.0282641869234794E-3</v>
      </c>
      <c r="BA5" s="657">
        <f t="shared" si="14"/>
        <v>-2.9558754520166985E-3</v>
      </c>
      <c r="BB5" s="657">
        <f t="shared" si="14"/>
        <v>-3.9481925757627323E-3</v>
      </c>
    </row>
    <row r="6" spans="1:54" s="262" customFormat="1" ht="12.75" customHeight="1">
      <c r="A6" s="238"/>
      <c r="B6" s="440" t="str">
        <f>+'q26'!B6</f>
        <v>H</v>
      </c>
      <c r="C6" s="380">
        <f>+'q26'!C6</f>
        <v>993.79</v>
      </c>
      <c r="D6" s="380">
        <f>+'q26'!D6</f>
        <v>985.02</v>
      </c>
      <c r="E6" s="380">
        <f>+'q26'!E6</f>
        <v>990.05</v>
      </c>
      <c r="F6" s="380">
        <f>+'q26'!F6</f>
        <v>997.38</v>
      </c>
      <c r="G6" s="380">
        <f>+'q26'!G6</f>
        <v>1012.25</v>
      </c>
      <c r="H6" s="380">
        <f>+'q26'!H6</f>
        <v>1039.08</v>
      </c>
      <c r="I6" s="380">
        <f>+'q26'!I6</f>
        <v>1073.82</v>
      </c>
      <c r="J6" s="380">
        <f>+'q26'!J6</f>
        <v>1109.21</v>
      </c>
      <c r="K6" s="380">
        <f>+'q26'!K6</f>
        <v>1152.24</v>
      </c>
      <c r="L6" s="380">
        <f>+'q26'!L6</f>
        <v>1217.33</v>
      </c>
      <c r="M6" s="380">
        <f>+'q26'!M6</f>
        <v>1294.03</v>
      </c>
      <c r="N6" s="276"/>
      <c r="O6" s="260"/>
      <c r="P6" s="238"/>
      <c r="Q6" s="440" t="s">
        <v>53</v>
      </c>
      <c r="AE6" s="238"/>
      <c r="AF6" s="440" t="s">
        <v>53</v>
      </c>
      <c r="AG6" s="656">
        <f>+(AG9+AG12+AG15+AG18+AG21+AG24+AG27+AG30+AG33+AG36+AG39+AG42)/q17a!C6</f>
        <v>993.79304364081952</v>
      </c>
      <c r="AH6" s="656">
        <f>+(AH9+AH12+AH15+AH18+AH21+AH24+AH27+AH30+AH33+AH36+AH39+AH42)/q17a!D6</f>
        <v>985.0217240266611</v>
      </c>
      <c r="AI6" s="656">
        <f>+(AI9+AI12+AI15+AI18+AI21+AI24+AI27+AI30+AI33+AI36+AI39+AI42)/q17a!E6</f>
        <v>990.04761043280178</v>
      </c>
      <c r="AJ6" s="656">
        <f>+(AJ9+AJ12+AJ15+AJ18+AJ21+AJ24+AJ27+AJ30+AJ33+AJ36+AJ39+AJ42)/q17a!F6</f>
        <v>997.37799709251135</v>
      </c>
      <c r="AK6" s="656">
        <f>+(AK9+AK12+AK15+AK18+AK21+AK24+AK27+AK30+AK33+AK36+AK39+AK42)/q17a!G6</f>
        <v>1012.2475038145596</v>
      </c>
      <c r="AL6" s="656">
        <f>+(AL9+AL12+AL15+AL18+AL21+AL24+AL27+AL30+AL33+AL36+AL39+AL42)/q17a!H6</f>
        <v>1039.080247435144</v>
      </c>
      <c r="AM6" s="656">
        <f>+(AM9+AM12+AM15+AM18+AM21+AM24+AM27+AM30+AM33+AM36+AM39+AM42)/q17a!I6</f>
        <v>1073.819645873936</v>
      </c>
      <c r="AN6" s="656">
        <f>+(AN9+AN12+AN15+AN18+AN21+AN24+AN27+AN30+AN33+AN36+AN39+AN42)/q17a!J6</f>
        <v>1109.2143224286274</v>
      </c>
      <c r="AO6" s="656">
        <f>+(AO9+AO12+AO15+AO18+AO21+AO24+AO27+AO30+AO33+AO36+AO39+AO42)/q17a!K6</f>
        <v>1152.2401059293279</v>
      </c>
      <c r="AP6" s="656">
        <f>+(AP9+AP12+AP15+AP18+AP21+AP24+AP27+AP30+AP33+AP36+AP39+AP42)/q17a!L6</f>
        <v>1217.3279310881101</v>
      </c>
      <c r="AQ6" s="656">
        <f>+(AQ9+AQ12+AQ15+AQ18+AQ21+AQ24+AQ27+AQ30+AQ33+AQ36+AQ39+AQ42)/q17a!M6</f>
        <v>1294.0333838357733</v>
      </c>
      <c r="AR6" s="657">
        <f t="shared" ref="AR6:AR7" si="15">+AG6-C6</f>
        <v>3.0436408195555487E-3</v>
      </c>
      <c r="AS6" s="657">
        <f t="shared" ref="AS6:AS7" si="16">+AH6-D6</f>
        <v>1.7240266611224797E-3</v>
      </c>
      <c r="AT6" s="657">
        <f t="shared" ref="AT6:AT7" si="17">+AI6-E6</f>
        <v>-2.3895671981790656E-3</v>
      </c>
      <c r="AU6" s="657">
        <f t="shared" ref="AU6:AU7" si="18">+AJ6-F6</f>
        <v>-2.0029074886451781E-3</v>
      </c>
      <c r="AV6" s="657">
        <f t="shared" ref="AV6:AV7" si="19">+AK6-G6</f>
        <v>-2.4961854403500183E-3</v>
      </c>
      <c r="AW6" s="657">
        <f t="shared" ref="AW6:AW7" si="20">+AL6-H6</f>
        <v>2.4743514404690359E-4</v>
      </c>
      <c r="AX6" s="657">
        <f t="shared" ref="AX6:AX7" si="21">+AM6-I6</f>
        <v>-3.5412606393947499E-4</v>
      </c>
      <c r="AY6" s="657">
        <f t="shared" ref="AY6:AY7" si="22">+AN6-J6</f>
        <v>4.322428627347108E-3</v>
      </c>
      <c r="AZ6" s="657">
        <f t="shared" ref="AZ6:AZ7" si="23">+AO6-K6</f>
        <v>1.0592932790132181E-4</v>
      </c>
      <c r="BA6" s="657">
        <f t="shared" ref="BA6:BA7" si="24">+AP6-L6</f>
        <v>-2.0689118898644665E-3</v>
      </c>
      <c r="BB6" s="657">
        <f t="shared" ref="BB6:BB7" si="25">+AQ6-M6</f>
        <v>3.3838357733202429E-3</v>
      </c>
    </row>
    <row r="7" spans="1:54" s="262" customFormat="1" ht="12.75" customHeight="1">
      <c r="A7" s="238"/>
      <c r="B7" s="440" t="str">
        <f>+'q26'!B7</f>
        <v>M</v>
      </c>
      <c r="C7" s="380">
        <f>+'q26'!C7</f>
        <v>816.21</v>
      </c>
      <c r="D7" s="380">
        <f>+'q26'!D7</f>
        <v>820.25</v>
      </c>
      <c r="E7" s="380">
        <f>+'q26'!E7</f>
        <v>824.99</v>
      </c>
      <c r="F7" s="380">
        <f>+'q26'!F7</f>
        <v>840.26</v>
      </c>
      <c r="G7" s="380">
        <f>+'q26'!G7</f>
        <v>861.17</v>
      </c>
      <c r="H7" s="380">
        <f>+'q26'!H7</f>
        <v>888.56</v>
      </c>
      <c r="I7" s="380">
        <f>+'q26'!I7</f>
        <v>922.63</v>
      </c>
      <c r="J7" s="380">
        <f>+'q26'!J7</f>
        <v>960.27</v>
      </c>
      <c r="K7" s="380">
        <f>+'q26'!K7</f>
        <v>999.33</v>
      </c>
      <c r="L7" s="380">
        <f>+'q26'!L7</f>
        <v>1054.3599999999999</v>
      </c>
      <c r="M7" s="380">
        <f>+'q26'!M7</f>
        <v>1129.6400000000001</v>
      </c>
      <c r="N7" s="276"/>
      <c r="O7" s="260"/>
      <c r="P7" s="238"/>
      <c r="Q7" s="440" t="s">
        <v>54</v>
      </c>
      <c r="AE7" s="238"/>
      <c r="AF7" s="440" t="s">
        <v>54</v>
      </c>
      <c r="AG7" s="656">
        <f>+(AG10+AG13+AG16+AG19+AG22+AG25+AG28+AG31+AG34+AG37+AG40+AG43)/q17a!C7</f>
        <v>816.21070894916829</v>
      </c>
      <c r="AH7" s="656">
        <f>+(AH10+AH13+AH16+AH19+AH22+AH25+AH28+AH31+AH34+AH37+AH40+AH43)/q17a!D7</f>
        <v>820.25344244732105</v>
      </c>
      <c r="AI7" s="656">
        <f>+(AI10+AI13+AI16+AI19+AI22+AI25+AI28+AI31+AI34+AI37+AI40+AI43)/q17a!E7</f>
        <v>824.99079755282673</v>
      </c>
      <c r="AJ7" s="656">
        <f>+(AJ10+AJ13+AJ16+AJ19+AJ22+AJ25+AJ28+AJ31+AJ34+AJ37+AJ40+AJ43)/q17a!F7</f>
        <v>840.26067451178244</v>
      </c>
      <c r="AK7" s="656">
        <f>+(AK10+AK13+AK16+AK19+AK22+AK25+AK28+AK31+AK34+AK37+AK40+AK43)/q17a!G7</f>
        <v>861.1665909265347</v>
      </c>
      <c r="AL7" s="656">
        <f>+(AL10+AL13+AL16+AL19+AL22+AL25+AL28+AL31+AL34+AL37+AL40+AL43)/q17a!H7</f>
        <v>888.55814828877692</v>
      </c>
      <c r="AM7" s="656">
        <f>+(AM10+AM13+AM16+AM19+AM22+AM25+AM28+AM31+AM34+AM37+AM40+AM43)/q17a!I7</f>
        <v>922.62593900736192</v>
      </c>
      <c r="AN7" s="656">
        <f>+(AN10+AN13+AN16+AN19+AN22+AN25+AN28+AN31+AN34+AN37+AN40+AN43)/q17a!J7</f>
        <v>960.26773712971601</v>
      </c>
      <c r="AO7" s="656">
        <f>+(AO10+AO13+AO16+AO19+AO22+AO25+AO28+AO31+AO34+AO37+AO40+AO43)/q17a!K7</f>
        <v>999.32450810694002</v>
      </c>
      <c r="AP7" s="656">
        <f>+(AP10+AP13+AP16+AP19+AP22+AP25+AP28+AP31+AP34+AP37+AP40+AP43)/q17a!L7</f>
        <v>1054.3618052261381</v>
      </c>
      <c r="AQ7" s="656">
        <f>+(AQ10+AQ13+AQ16+AQ19+AQ22+AQ25+AQ28+AQ31+AQ34+AQ37+AQ40+AQ43)/q17a!M7</f>
        <v>1129.6424879634521</v>
      </c>
      <c r="AR7" s="657">
        <f t="shared" si="15"/>
        <v>7.0894916825636756E-4</v>
      </c>
      <c r="AS7" s="657">
        <f t="shared" si="16"/>
        <v>3.4424473210492579E-3</v>
      </c>
      <c r="AT7" s="657">
        <f t="shared" si="17"/>
        <v>7.9755282672522299E-4</v>
      </c>
      <c r="AU7" s="657">
        <f t="shared" si="18"/>
        <v>6.7451178244937182E-4</v>
      </c>
      <c r="AV7" s="657">
        <f t="shared" si="19"/>
        <v>-3.4090734652636456E-3</v>
      </c>
      <c r="AW7" s="657">
        <f t="shared" si="20"/>
        <v>-1.8517112230256316E-3</v>
      </c>
      <c r="AX7" s="657">
        <f t="shared" si="21"/>
        <v>-4.0609926380739125E-3</v>
      </c>
      <c r="AY7" s="657">
        <f t="shared" si="22"/>
        <v>-2.2628702839710968E-3</v>
      </c>
      <c r="AZ7" s="657">
        <f t="shared" si="23"/>
        <v>-5.491893060025177E-3</v>
      </c>
      <c r="BA7" s="657">
        <f t="shared" si="24"/>
        <v>1.8052261382308643E-3</v>
      </c>
      <c r="BB7" s="657">
        <f t="shared" si="25"/>
        <v>2.487963452040276E-3</v>
      </c>
    </row>
    <row r="8" spans="1:54" s="124" customFormat="1" ht="16.5" customHeight="1">
      <c r="A8" s="56" t="str">
        <f>+'q26'!A8</f>
        <v>&lt; 18 anos</v>
      </c>
      <c r="B8" s="54" t="str">
        <f>+'q26'!B8</f>
        <v>T</v>
      </c>
      <c r="C8" s="389">
        <f>+'q26'!C8</f>
        <v>553.22</v>
      </c>
      <c r="D8" s="389">
        <f>+'q26'!D8</f>
        <v>673.39</v>
      </c>
      <c r="E8" s="389">
        <f>+'q26'!E8</f>
        <v>645.97</v>
      </c>
      <c r="F8" s="389">
        <f>+'q26'!F8</f>
        <v>688.29</v>
      </c>
      <c r="G8" s="389">
        <f>+'q26'!G8</f>
        <v>682.82</v>
      </c>
      <c r="H8" s="389">
        <f>+'q26'!H8</f>
        <v>693.22</v>
      </c>
      <c r="I8" s="389">
        <f>+'q26'!I8</f>
        <v>939.88</v>
      </c>
      <c r="J8" s="389">
        <f>+'q26'!J8</f>
        <v>1150.33</v>
      </c>
      <c r="K8" s="389">
        <f>+'q26'!K8</f>
        <v>1101.01</v>
      </c>
      <c r="L8" s="389">
        <f>+'q26'!L8</f>
        <v>1066.3</v>
      </c>
      <c r="M8" s="389">
        <f>+'q26'!M8</f>
        <v>1101.81</v>
      </c>
      <c r="N8" s="226"/>
      <c r="O8" s="260"/>
      <c r="P8" s="56" t="s">
        <v>55</v>
      </c>
      <c r="Q8" s="54" t="s">
        <v>45</v>
      </c>
      <c r="R8" s="536">
        <f>+$C$8</f>
        <v>553.22</v>
      </c>
      <c r="S8" s="536">
        <f>+$D$8</f>
        <v>673.39</v>
      </c>
      <c r="T8" s="536">
        <f>+$E$8</f>
        <v>645.97</v>
      </c>
      <c r="U8" s="536">
        <f>+$F$8</f>
        <v>688.29</v>
      </c>
      <c r="V8" s="536">
        <f>+$G$8</f>
        <v>682.82</v>
      </c>
      <c r="W8" s="536">
        <f>+$H$8</f>
        <v>693.22</v>
      </c>
      <c r="X8" s="536">
        <f>+$I$8</f>
        <v>939.88</v>
      </c>
      <c r="Y8" s="536">
        <f>+$J$8</f>
        <v>1150.33</v>
      </c>
      <c r="Z8" s="536">
        <f>+$K$8</f>
        <v>1101.01</v>
      </c>
      <c r="AA8" s="536">
        <f>+$L$8</f>
        <v>1066.3</v>
      </c>
      <c r="AB8" s="536">
        <f>+$M$8</f>
        <v>1101.81</v>
      </c>
      <c r="AE8" s="56" t="s">
        <v>55</v>
      </c>
      <c r="AF8" s="54" t="s">
        <v>45</v>
      </c>
      <c r="AG8" s="536">
        <f>+$C$8*q17a!$C$8</f>
        <v>226820.2</v>
      </c>
      <c r="AH8" s="536">
        <f>+$D$8*q17a!$D$8</f>
        <v>177101.57</v>
      </c>
      <c r="AI8" s="536">
        <f>+$E$8*q17a!$E$8</f>
        <v>155032.80000000002</v>
      </c>
      <c r="AJ8" s="536">
        <f>+$F$8*q17a!$F$8</f>
        <v>183773.43</v>
      </c>
      <c r="AK8" s="536">
        <f>+$G$8*q17a!$G$8</f>
        <v>259471.6</v>
      </c>
      <c r="AL8" s="536">
        <f>+$H$8*q17a!$H$8</f>
        <v>257877.84</v>
      </c>
      <c r="AM8" s="536">
        <f>+$I$8*q17a!$I$8</f>
        <v>328018.12</v>
      </c>
      <c r="AN8" s="536">
        <f>+$J$8*q17a!$J$8</f>
        <v>265726.23</v>
      </c>
      <c r="AO8" s="536">
        <f>+$K$8*q17a!$K$8</f>
        <v>310484.82</v>
      </c>
      <c r="AP8" s="536">
        <f>+$L$8*q17a!$L$8</f>
        <v>401995.1</v>
      </c>
      <c r="AQ8" s="536">
        <f>+$M$8*q17a!$M$8</f>
        <v>397753.41</v>
      </c>
    </row>
    <row r="9" spans="1:54" s="124" customFormat="1" ht="12.75" customHeight="1">
      <c r="A9" s="57"/>
      <c r="B9" s="58" t="str">
        <f>+'q26'!B9</f>
        <v>H</v>
      </c>
      <c r="C9" s="391">
        <f>+'q26'!C9</f>
        <v>573.76</v>
      </c>
      <c r="D9" s="391">
        <f>+'q26'!D9</f>
        <v>751.18</v>
      </c>
      <c r="E9" s="391">
        <f>+'q26'!E9</f>
        <v>701.72</v>
      </c>
      <c r="F9" s="391">
        <f>+'q26'!F9</f>
        <v>744.59</v>
      </c>
      <c r="G9" s="391">
        <f>+'q26'!G9</f>
        <v>727.96</v>
      </c>
      <c r="H9" s="391">
        <f>+'q26'!H9</f>
        <v>733.3</v>
      </c>
      <c r="I9" s="391">
        <f>+'q26'!I9</f>
        <v>1031.6600000000001</v>
      </c>
      <c r="J9" s="391">
        <f>+'q26'!J9</f>
        <v>1255.5999999999999</v>
      </c>
      <c r="K9" s="391">
        <f>+'q26'!K9</f>
        <v>1222.71</v>
      </c>
      <c r="L9" s="391">
        <f>+'q26'!L9</f>
        <v>1184.3699999999999</v>
      </c>
      <c r="M9" s="391">
        <f>+'q26'!M9</f>
        <v>1204.42</v>
      </c>
      <c r="N9" s="226"/>
      <c r="O9" s="298"/>
      <c r="P9" s="57"/>
      <c r="Q9" s="58" t="s">
        <v>53</v>
      </c>
      <c r="R9" s="536">
        <f>+$C$9</f>
        <v>573.76</v>
      </c>
      <c r="S9" s="536">
        <f>+$D$9</f>
        <v>751.18</v>
      </c>
      <c r="T9" s="536">
        <f>+$E$9</f>
        <v>701.72</v>
      </c>
      <c r="U9" s="536">
        <f>+$F$9</f>
        <v>744.59</v>
      </c>
      <c r="V9" s="536">
        <f>+$G$9</f>
        <v>727.96</v>
      </c>
      <c r="W9" s="536">
        <f>+$H$9</f>
        <v>733.3</v>
      </c>
      <c r="X9" s="536">
        <f>+$I$9</f>
        <v>1031.6600000000001</v>
      </c>
      <c r="Y9" s="536">
        <f>+$J$9</f>
        <v>1255.5999999999999</v>
      </c>
      <c r="Z9" s="536">
        <f>+$K$9</f>
        <v>1222.71</v>
      </c>
      <c r="AA9" s="536">
        <f>+$L$9</f>
        <v>1184.3699999999999</v>
      </c>
      <c r="AB9" s="536">
        <f>+$M$9</f>
        <v>1204.42</v>
      </c>
      <c r="AE9" s="57"/>
      <c r="AF9" s="58" t="s">
        <v>53</v>
      </c>
      <c r="AG9" s="536">
        <f>+$C$9*q17a!$C$9</f>
        <v>157210.23999999999</v>
      </c>
      <c r="AH9" s="536">
        <f>+$D$9*q17a!$D$9</f>
        <v>129954.13999999998</v>
      </c>
      <c r="AI9" s="536">
        <f>+$E$9*q17a!$E$9</f>
        <v>115082.08</v>
      </c>
      <c r="AJ9" s="536">
        <f>+$F$9*q17a!$F$9</f>
        <v>142216.69</v>
      </c>
      <c r="AK9" s="536">
        <f>+$G$9*q17a!$G$9</f>
        <v>200189</v>
      </c>
      <c r="AL9" s="536">
        <f>+$H$9*q17a!$H$9</f>
        <v>184791.59999999998</v>
      </c>
      <c r="AM9" s="536">
        <f>+$I$9*q17a!$I$9</f>
        <v>261009.98</v>
      </c>
      <c r="AN9" s="536">
        <f>+$J$9*q17a!$J$9</f>
        <v>238563.99999999997</v>
      </c>
      <c r="AO9" s="536">
        <f>+$K$9*q17a!$K$9</f>
        <v>266550.78000000003</v>
      </c>
      <c r="AP9" s="536">
        <f>+$L$9*q17a!$L$9</f>
        <v>326886.12</v>
      </c>
      <c r="AQ9" s="536">
        <f>+$M$9*q17a!$M$9</f>
        <v>323988.98000000004</v>
      </c>
    </row>
    <row r="10" spans="1:54" s="124" customFormat="1" ht="12.75" customHeight="1">
      <c r="A10" s="56"/>
      <c r="B10" s="58" t="str">
        <f>+'q26'!B10</f>
        <v>M</v>
      </c>
      <c r="C10" s="391">
        <f>+'q26'!C10</f>
        <v>511.82</v>
      </c>
      <c r="D10" s="391">
        <f>+'q26'!D10</f>
        <v>523.85</v>
      </c>
      <c r="E10" s="391">
        <f>+'q26'!E10</f>
        <v>525.66</v>
      </c>
      <c r="F10" s="391">
        <f>+'q26'!F10</f>
        <v>546.78</v>
      </c>
      <c r="G10" s="391">
        <f>+'q26'!G10</f>
        <v>564.61</v>
      </c>
      <c r="H10" s="391">
        <f>+'q26'!H10</f>
        <v>609.04999999999995</v>
      </c>
      <c r="I10" s="391">
        <f>+'q26'!I10</f>
        <v>698</v>
      </c>
      <c r="J10" s="391">
        <f>+'q26'!J10</f>
        <v>662.49</v>
      </c>
      <c r="K10" s="391">
        <f>+'q26'!K10</f>
        <v>686.48</v>
      </c>
      <c r="L10" s="391">
        <f>+'q26'!L10</f>
        <v>743.66</v>
      </c>
      <c r="M10" s="391">
        <f>+'q26'!M10</f>
        <v>801.79</v>
      </c>
      <c r="N10" s="226"/>
      <c r="O10" s="298"/>
      <c r="P10" s="56"/>
      <c r="Q10" s="58" t="s">
        <v>54</v>
      </c>
      <c r="R10" s="536">
        <f>+$C$10</f>
        <v>511.82</v>
      </c>
      <c r="S10" s="536">
        <f>+$D$10</f>
        <v>523.85</v>
      </c>
      <c r="T10" s="536">
        <f>+$E$10</f>
        <v>525.66</v>
      </c>
      <c r="U10" s="536">
        <f>+$F$10</f>
        <v>546.78</v>
      </c>
      <c r="V10" s="536">
        <f>+$G$10</f>
        <v>564.61</v>
      </c>
      <c r="W10" s="536">
        <f>+$H$10</f>
        <v>609.04999999999995</v>
      </c>
      <c r="X10" s="536">
        <f>+$I$10</f>
        <v>698</v>
      </c>
      <c r="Y10" s="536">
        <f>+$J$10</f>
        <v>662.49</v>
      </c>
      <c r="Z10" s="536">
        <f>+$K$10</f>
        <v>686.48</v>
      </c>
      <c r="AA10" s="536">
        <f>+$L$10</f>
        <v>743.66</v>
      </c>
      <c r="AB10" s="536">
        <f>+$M$10</f>
        <v>801.79</v>
      </c>
      <c r="AE10" s="56"/>
      <c r="AF10" s="58" t="s">
        <v>54</v>
      </c>
      <c r="AG10" s="536">
        <f>+$C$10*q17a!$C$10</f>
        <v>69607.520000000004</v>
      </c>
      <c r="AH10" s="536">
        <f>+$D$10*q17a!$D$10</f>
        <v>47146.5</v>
      </c>
      <c r="AI10" s="536">
        <f>+$E$10*q17a!$E$10</f>
        <v>39950.159999999996</v>
      </c>
      <c r="AJ10" s="536">
        <f>+$F$10*q17a!$F$10</f>
        <v>41555.279999999999</v>
      </c>
      <c r="AK10" s="536">
        <f>+$G$10*q17a!$G$10</f>
        <v>59284.05</v>
      </c>
      <c r="AL10" s="536">
        <f>+$H$10*q17a!$H$10</f>
        <v>73086</v>
      </c>
      <c r="AM10" s="536">
        <f>+$I$10*q17a!$I$10</f>
        <v>67008</v>
      </c>
      <c r="AN10" s="536">
        <f>+$J$10*q17a!$J$10</f>
        <v>27162.09</v>
      </c>
      <c r="AO10" s="536">
        <f>+$K$10*q17a!$K$10</f>
        <v>43934.720000000001</v>
      </c>
      <c r="AP10" s="536">
        <f>+$L$10*q17a!$L$10</f>
        <v>75109.66</v>
      </c>
      <c r="AQ10" s="536">
        <f>+$M$10*q17a!$M$10</f>
        <v>73764.679999999993</v>
      </c>
    </row>
    <row r="11" spans="1:54" s="124" customFormat="1" ht="16.5" customHeight="1">
      <c r="A11" s="56" t="str">
        <f>+'q26'!A11</f>
        <v>18-24 anos</v>
      </c>
      <c r="B11" s="54" t="str">
        <f>+'q26'!B11</f>
        <v>T</v>
      </c>
      <c r="C11" s="389">
        <f>+'q26'!C11</f>
        <v>602.54999999999995</v>
      </c>
      <c r="D11" s="389">
        <f>+'q26'!D11</f>
        <v>607.62</v>
      </c>
      <c r="E11" s="389">
        <f>+'q26'!E11</f>
        <v>621.04999999999995</v>
      </c>
      <c r="F11" s="389">
        <f>+'q26'!F11</f>
        <v>639.49</v>
      </c>
      <c r="G11" s="389">
        <f>+'q26'!G11</f>
        <v>664.29</v>
      </c>
      <c r="H11" s="389">
        <f>+'q26'!H11</f>
        <v>693.67</v>
      </c>
      <c r="I11" s="389">
        <f>+'q26'!I11</f>
        <v>727.92</v>
      </c>
      <c r="J11" s="389">
        <f>+'q26'!J11</f>
        <v>762.02</v>
      </c>
      <c r="K11" s="389">
        <f>+'q26'!K11</f>
        <v>799.28</v>
      </c>
      <c r="L11" s="389">
        <f>+'q26'!L11</f>
        <v>857.95</v>
      </c>
      <c r="M11" s="389">
        <f>+'q26'!M11</f>
        <v>925.26</v>
      </c>
      <c r="N11" s="226"/>
      <c r="O11" s="298"/>
      <c r="P11" s="56" t="s">
        <v>56</v>
      </c>
      <c r="Q11" s="54" t="s">
        <v>45</v>
      </c>
      <c r="R11" s="536">
        <f>+$C$11</f>
        <v>602.54999999999995</v>
      </c>
      <c r="S11" s="536">
        <f>+$D$11</f>
        <v>607.62</v>
      </c>
      <c r="T11" s="536">
        <f>+$E$11</f>
        <v>621.04999999999995</v>
      </c>
      <c r="U11" s="536">
        <f>+$F$11</f>
        <v>639.49</v>
      </c>
      <c r="V11" s="536">
        <f>+$G$11</f>
        <v>664.29</v>
      </c>
      <c r="W11" s="536">
        <f>+$H$11</f>
        <v>693.67</v>
      </c>
      <c r="X11" s="536">
        <f>+$I$11</f>
        <v>727.92</v>
      </c>
      <c r="Y11" s="536">
        <f>+$J$11</f>
        <v>762.02</v>
      </c>
      <c r="Z11" s="536">
        <f>+$K$11</f>
        <v>799.28</v>
      </c>
      <c r="AA11" s="536">
        <f>+$L$11</f>
        <v>857.95</v>
      </c>
      <c r="AB11" s="536">
        <f>+$M$11</f>
        <v>925.26</v>
      </c>
      <c r="AE11" s="56" t="s">
        <v>56</v>
      </c>
      <c r="AF11" s="54" t="s">
        <v>45</v>
      </c>
      <c r="AG11" s="536">
        <f>+$C$11*q17a!$C$11</f>
        <v>65294125.649999999</v>
      </c>
      <c r="AH11" s="536">
        <f>+$D$11*q17a!$D$11</f>
        <v>67870546.379999995</v>
      </c>
      <c r="AI11" s="536">
        <f>+$E$11*q17a!$E$11</f>
        <v>74876272.199999988</v>
      </c>
      <c r="AJ11" s="536">
        <f>+$F$11*q17a!$F$11</f>
        <v>82646408.620000005</v>
      </c>
      <c r="AK11" s="536">
        <f>+$G$11*q17a!$G$11</f>
        <v>93663561.420000002</v>
      </c>
      <c r="AL11" s="536">
        <f>+$H$11*q17a!$H$11</f>
        <v>105566862.61999999</v>
      </c>
      <c r="AM11" s="536">
        <f>+$I$11*q17a!$I$11</f>
        <v>114886157.75999999</v>
      </c>
      <c r="AN11" s="536">
        <f>+$J$11*q17a!$J$11</f>
        <v>107232216.42</v>
      </c>
      <c r="AO11" s="536">
        <f>+$K$11*q17a!$K$11</f>
        <v>114487268.64</v>
      </c>
      <c r="AP11" s="536">
        <f>+$L$11*q17a!$L$11</f>
        <v>139691419</v>
      </c>
      <c r="AQ11" s="536">
        <f>+$M$11*q17a!$M$11</f>
        <v>158034408</v>
      </c>
    </row>
    <row r="12" spans="1:54" s="124" customFormat="1" ht="12.75" customHeight="1">
      <c r="A12" s="57"/>
      <c r="B12" s="58" t="str">
        <f>+'q26'!B12</f>
        <v>H</v>
      </c>
      <c r="C12" s="391">
        <f>+'q26'!C12</f>
        <v>629.21</v>
      </c>
      <c r="D12" s="391">
        <f>+'q26'!D12</f>
        <v>629.14</v>
      </c>
      <c r="E12" s="391">
        <f>+'q26'!E12</f>
        <v>644.54999999999995</v>
      </c>
      <c r="F12" s="391">
        <f>+'q26'!F12</f>
        <v>660.61</v>
      </c>
      <c r="G12" s="391">
        <f>+'q26'!G12</f>
        <v>682.81</v>
      </c>
      <c r="H12" s="391">
        <f>+'q26'!H12</f>
        <v>713.13</v>
      </c>
      <c r="I12" s="391">
        <f>+'q26'!I12</f>
        <v>749.74</v>
      </c>
      <c r="J12" s="391">
        <f>+'q26'!J12</f>
        <v>781.78</v>
      </c>
      <c r="K12" s="391">
        <f>+'q26'!K12</f>
        <v>817.96</v>
      </c>
      <c r="L12" s="391">
        <f>+'q26'!L12</f>
        <v>881.22</v>
      </c>
      <c r="M12" s="391">
        <f>+'q26'!M12</f>
        <v>950.5</v>
      </c>
      <c r="N12" s="226"/>
      <c r="O12" s="298"/>
      <c r="P12" s="57"/>
      <c r="Q12" s="58" t="s">
        <v>53</v>
      </c>
      <c r="R12" s="536">
        <f>+$C$12</f>
        <v>629.21</v>
      </c>
      <c r="S12" s="536">
        <f>+$D$12</f>
        <v>629.14</v>
      </c>
      <c r="T12" s="536">
        <f>+$E$12</f>
        <v>644.54999999999995</v>
      </c>
      <c r="U12" s="536">
        <f>+$F$12</f>
        <v>660.61</v>
      </c>
      <c r="V12" s="536">
        <f>+$G$12</f>
        <v>682.81</v>
      </c>
      <c r="W12" s="536">
        <f>+$H$12</f>
        <v>713.13</v>
      </c>
      <c r="X12" s="536">
        <f>+$I$12</f>
        <v>749.74</v>
      </c>
      <c r="Y12" s="536">
        <f>+$J$12</f>
        <v>781.78</v>
      </c>
      <c r="Z12" s="536">
        <f>+$K$12</f>
        <v>817.96</v>
      </c>
      <c r="AA12" s="536">
        <f>+$L$12</f>
        <v>881.22</v>
      </c>
      <c r="AB12" s="536">
        <f>+$M$12</f>
        <v>950.5</v>
      </c>
      <c r="AE12" s="57"/>
      <c r="AF12" s="58" t="s">
        <v>53</v>
      </c>
      <c r="AG12" s="536">
        <f>+$C$12*q17a!$C$12</f>
        <v>38496955.43</v>
      </c>
      <c r="AH12" s="536">
        <f>+$D$12*q17a!$D$12</f>
        <v>39891250.839999996</v>
      </c>
      <c r="AI12" s="536">
        <f>+$E$12*q17a!$E$12</f>
        <v>43853248.349999994</v>
      </c>
      <c r="AJ12" s="536">
        <f>+$F$12*q17a!$F$12</f>
        <v>48182250.960000001</v>
      </c>
      <c r="AK12" s="536">
        <f>+$G$12*q17a!$G$12</f>
        <v>54400155.509999998</v>
      </c>
      <c r="AL12" s="536">
        <f>+$H$12*q17a!$H$12</f>
        <v>62010219.149999999</v>
      </c>
      <c r="AM12" s="536">
        <f>+$I$12*q17a!$I$12</f>
        <v>67517835.700000003</v>
      </c>
      <c r="AN12" s="536">
        <f>+$J$12*q17a!$J$12</f>
        <v>63883934.479999997</v>
      </c>
      <c r="AO12" s="536">
        <f>+$K$12*q17a!$K$12</f>
        <v>66947572.120000005</v>
      </c>
      <c r="AP12" s="536">
        <f>+$L$12*q17a!$L$12</f>
        <v>81666182.280000001</v>
      </c>
      <c r="AQ12" s="536">
        <f>+$M$12*q17a!$M$12</f>
        <v>93149000</v>
      </c>
    </row>
    <row r="13" spans="1:54" s="124" customFormat="1" ht="12.75" customHeight="1">
      <c r="A13" s="56"/>
      <c r="B13" s="58" t="str">
        <f>+'q26'!B13</f>
        <v>M</v>
      </c>
      <c r="C13" s="391">
        <f>+'q26'!C13</f>
        <v>567.97</v>
      </c>
      <c r="D13" s="391">
        <f>+'q26'!D13</f>
        <v>579.35</v>
      </c>
      <c r="E13" s="391">
        <f>+'q26'!E13</f>
        <v>590.6</v>
      </c>
      <c r="F13" s="391">
        <f>+'q26'!F13</f>
        <v>612.13</v>
      </c>
      <c r="G13" s="391">
        <f>+'q26'!G13</f>
        <v>640.24</v>
      </c>
      <c r="H13" s="391">
        <f>+'q26'!H13</f>
        <v>667.73</v>
      </c>
      <c r="I13" s="391">
        <f>+'q26'!I13</f>
        <v>698.92</v>
      </c>
      <c r="J13" s="391">
        <f>+'q26'!J13</f>
        <v>734.65</v>
      </c>
      <c r="K13" s="391">
        <f>+'q26'!K13</f>
        <v>774.37</v>
      </c>
      <c r="L13" s="391">
        <f>+'q26'!L13</f>
        <v>827.2</v>
      </c>
      <c r="M13" s="391">
        <f>+'q26'!M13</f>
        <v>891.28</v>
      </c>
      <c r="N13" s="226"/>
      <c r="O13" s="298"/>
      <c r="P13" s="56"/>
      <c r="Q13" s="58" t="s">
        <v>54</v>
      </c>
      <c r="R13" s="536">
        <f>+$C$13</f>
        <v>567.97</v>
      </c>
      <c r="S13" s="536">
        <f>+$D$13</f>
        <v>579.35</v>
      </c>
      <c r="T13" s="536">
        <f>+$E$13</f>
        <v>590.6</v>
      </c>
      <c r="U13" s="536">
        <f>+$F$13</f>
        <v>612.13</v>
      </c>
      <c r="V13" s="536">
        <f>+$G$13</f>
        <v>640.24</v>
      </c>
      <c r="W13" s="536">
        <f>+$H$13</f>
        <v>667.73</v>
      </c>
      <c r="X13" s="536">
        <f>+$I$13</f>
        <v>698.92</v>
      </c>
      <c r="Y13" s="536">
        <f>+$J$13</f>
        <v>734.65</v>
      </c>
      <c r="Z13" s="536">
        <f>+$K$13</f>
        <v>774.37</v>
      </c>
      <c r="AA13" s="536">
        <f>+$L$13</f>
        <v>827.2</v>
      </c>
      <c r="AB13" s="536">
        <f>+$M$13</f>
        <v>891.28</v>
      </c>
      <c r="AE13" s="56"/>
      <c r="AF13" s="58" t="s">
        <v>54</v>
      </c>
      <c r="AG13" s="536">
        <f>+$C$13*q17a!$C$13</f>
        <v>26796824.600000001</v>
      </c>
      <c r="AH13" s="536">
        <f>+$D$13*q17a!$D$13</f>
        <v>27978549.550000001</v>
      </c>
      <c r="AI13" s="536">
        <f>+$E$13*q17a!$E$13</f>
        <v>31022446.200000003</v>
      </c>
      <c r="AJ13" s="536">
        <f>+$F$13*q17a!$F$13</f>
        <v>34464143.259999998</v>
      </c>
      <c r="AK13" s="536">
        <f>+$G$13*q17a!$G$13</f>
        <v>39263998.480000004</v>
      </c>
      <c r="AL13" s="536">
        <f>+$H$13*q17a!$H$13</f>
        <v>43556695.630000003</v>
      </c>
      <c r="AM13" s="536">
        <f>+$I$13*q17a!$I$13</f>
        <v>47367905.159999996</v>
      </c>
      <c r="AN13" s="536">
        <f>+$J$13*q17a!$J$13</f>
        <v>43348023.25</v>
      </c>
      <c r="AO13" s="536">
        <f>+$K$13*q17a!$K$13</f>
        <v>47539348.670000002</v>
      </c>
      <c r="AP13" s="536">
        <f>+$L$13*q17a!$L$13</f>
        <v>58024771.200000003</v>
      </c>
      <c r="AQ13" s="536">
        <f>+$M$13*q17a!$M$13</f>
        <v>64885184</v>
      </c>
    </row>
    <row r="14" spans="1:54" s="124" customFormat="1" ht="16.5" customHeight="1">
      <c r="A14" s="56" t="str">
        <f>+'q26'!A14</f>
        <v>25-29 anos</v>
      </c>
      <c r="B14" s="54" t="str">
        <f>+'q26'!B14</f>
        <v>T</v>
      </c>
      <c r="C14" s="389">
        <f>+'q26'!C14</f>
        <v>727.86</v>
      </c>
      <c r="D14" s="389">
        <f>+'q26'!D14</f>
        <v>726.43</v>
      </c>
      <c r="E14" s="389">
        <f>+'q26'!E14</f>
        <v>735.23</v>
      </c>
      <c r="F14" s="389">
        <f>+'q26'!F14</f>
        <v>756.47</v>
      </c>
      <c r="G14" s="389">
        <f>+'q26'!G14</f>
        <v>788.46</v>
      </c>
      <c r="H14" s="389">
        <f>+'q26'!H14</f>
        <v>822.43</v>
      </c>
      <c r="I14" s="389">
        <f>+'q26'!I14</f>
        <v>863.94</v>
      </c>
      <c r="J14" s="389">
        <f>+'q26'!J14</f>
        <v>902.1</v>
      </c>
      <c r="K14" s="389">
        <f>+'q26'!K14</f>
        <v>951.35</v>
      </c>
      <c r="L14" s="389">
        <f>+'q26'!L14</f>
        <v>1019.31</v>
      </c>
      <c r="M14" s="389">
        <f>+'q26'!M14</f>
        <v>1081.18</v>
      </c>
      <c r="N14" s="226"/>
      <c r="O14" s="298"/>
      <c r="P14" s="56" t="s">
        <v>57</v>
      </c>
      <c r="Q14" s="54" t="s">
        <v>45</v>
      </c>
      <c r="R14" s="124">
        <f>+$C$14*q17a!$C$14</f>
        <v>160576833.90000001</v>
      </c>
      <c r="S14" s="124">
        <f>+$D$14*q17a!$D$14</f>
        <v>154736854.29999998</v>
      </c>
      <c r="T14" s="124">
        <f>+$E$14*q17a!$E$14</f>
        <v>159725776.58000001</v>
      </c>
      <c r="U14" s="124">
        <f>+$F$14*q17a!$F$14</f>
        <v>170249625.26000002</v>
      </c>
      <c r="V14" s="124">
        <f>+$G$14*q17a!$G$14</f>
        <v>185528580.30000001</v>
      </c>
      <c r="W14" s="124">
        <f>+$H$14*q17a!$H$14</f>
        <v>203618864.25999999</v>
      </c>
      <c r="X14" s="124">
        <f>+$I$14*q17a!$I$14</f>
        <v>220963886.22000003</v>
      </c>
      <c r="Y14" s="124">
        <f>+$J$14*q17a!$J$14</f>
        <v>220044742.5</v>
      </c>
      <c r="Z14" s="124">
        <f>+$K$14*q17a!$K$14</f>
        <v>235670324.70000002</v>
      </c>
      <c r="AA14" s="124">
        <f>+$L$14*q17a!$L$14</f>
        <v>278273668.62</v>
      </c>
      <c r="AB14" s="124">
        <f>+$M$14*q17a!$M$14</f>
        <v>311492282.72000003</v>
      </c>
      <c r="AE14" s="56" t="s">
        <v>57</v>
      </c>
      <c r="AF14" s="54" t="s">
        <v>45</v>
      </c>
      <c r="AG14" s="124">
        <f>+$C$14*q17a!$C$14</f>
        <v>160576833.90000001</v>
      </c>
      <c r="AH14" s="124">
        <f>+$D$14*q17a!$D$14</f>
        <v>154736854.29999998</v>
      </c>
      <c r="AI14" s="124">
        <f>+$E$14*q17a!$E$14</f>
        <v>159725776.58000001</v>
      </c>
      <c r="AJ14" s="124">
        <f>+$F$14*q17a!$F$14</f>
        <v>170249625.26000002</v>
      </c>
      <c r="AK14" s="124">
        <f>+$G$14*q17a!$G$14</f>
        <v>185528580.30000001</v>
      </c>
      <c r="AL14" s="124">
        <f>+$H$14*q17a!$H$14</f>
        <v>203618864.25999999</v>
      </c>
      <c r="AM14" s="124">
        <f>+$I$14*q17a!$I$14</f>
        <v>220963886.22000003</v>
      </c>
      <c r="AN14" s="124">
        <f>+$J$14*q17a!$J$14</f>
        <v>220044742.5</v>
      </c>
      <c r="AO14" s="124">
        <f>+$K$14*q17a!$K$14</f>
        <v>235670324.70000002</v>
      </c>
      <c r="AP14" s="124">
        <f>+$L$14*q17a!$L$14</f>
        <v>278273668.62</v>
      </c>
      <c r="AQ14" s="124">
        <f>+$M$14*q17a!$M$14</f>
        <v>311492282.72000003</v>
      </c>
    </row>
    <row r="15" spans="1:54" s="124" customFormat="1" ht="12.75" customHeight="1">
      <c r="A15" s="57"/>
      <c r="B15" s="58" t="str">
        <f>+'q26'!B15</f>
        <v>H</v>
      </c>
      <c r="C15" s="391">
        <f>+'q26'!C15</f>
        <v>752.13</v>
      </c>
      <c r="D15" s="391">
        <f>+'q26'!D15</f>
        <v>749.18</v>
      </c>
      <c r="E15" s="391">
        <f>+'q26'!E15</f>
        <v>763.39</v>
      </c>
      <c r="F15" s="391">
        <f>+'q26'!F15</f>
        <v>785.23</v>
      </c>
      <c r="G15" s="391">
        <f>+'q26'!G15</f>
        <v>819.22</v>
      </c>
      <c r="H15" s="391">
        <f>+'q26'!H15</f>
        <v>854.04</v>
      </c>
      <c r="I15" s="391">
        <f>+'q26'!I15</f>
        <v>896.09</v>
      </c>
      <c r="J15" s="391">
        <f>+'q26'!J15</f>
        <v>930.39</v>
      </c>
      <c r="K15" s="391">
        <f>+'q26'!K15</f>
        <v>984.62</v>
      </c>
      <c r="L15" s="391">
        <f>+'q26'!L15</f>
        <v>1055.55</v>
      </c>
      <c r="M15" s="391">
        <f>+'q26'!M15</f>
        <v>1111.71</v>
      </c>
      <c r="N15" s="226"/>
      <c r="O15" s="298"/>
      <c r="P15" s="57"/>
      <c r="Q15" s="58" t="s">
        <v>53</v>
      </c>
      <c r="R15" s="124">
        <f>+$C$15*q17a!$C$15</f>
        <v>86060970.989999995</v>
      </c>
      <c r="S15" s="124">
        <f>+$D$15*q17a!$D$15</f>
        <v>83762819.079999998</v>
      </c>
      <c r="T15" s="124">
        <f>+$E$15*q17a!$E$15</f>
        <v>86694385.349999994</v>
      </c>
      <c r="U15" s="124">
        <f>+$F$15*q17a!$F$15</f>
        <v>92987721.829999998</v>
      </c>
      <c r="V15" s="124">
        <f>+$G$15*q17a!$G$15</f>
        <v>102035489.44</v>
      </c>
      <c r="W15" s="124">
        <f>+$H$15*q17a!$H$15</f>
        <v>112536850.8</v>
      </c>
      <c r="X15" s="124">
        <f>+$I$15*q17a!$I$15</f>
        <v>122501775.63000001</v>
      </c>
      <c r="Y15" s="124">
        <f>+$J$15*q17a!$J$15</f>
        <v>122654244.09</v>
      </c>
      <c r="Z15" s="124">
        <f>+$K$15*q17a!$K$15</f>
        <v>131387692.8</v>
      </c>
      <c r="AA15" s="124">
        <f>+$L$15*q17a!$L$15</f>
        <v>156890618.69999999</v>
      </c>
      <c r="AB15" s="124">
        <f>+$M$15*q17a!$M$15</f>
        <v>176217152.09999999</v>
      </c>
      <c r="AE15" s="57"/>
      <c r="AF15" s="58" t="s">
        <v>53</v>
      </c>
      <c r="AG15" s="124">
        <f>+$C$15*q17a!$C$15</f>
        <v>86060970.989999995</v>
      </c>
      <c r="AH15" s="124">
        <f>+$D$15*q17a!$D$15</f>
        <v>83762819.079999998</v>
      </c>
      <c r="AI15" s="124">
        <f>+$E$15*q17a!$E$15</f>
        <v>86694385.349999994</v>
      </c>
      <c r="AJ15" s="124">
        <f>+$F$15*q17a!$F$15</f>
        <v>92987721.829999998</v>
      </c>
      <c r="AK15" s="124">
        <f>+$G$15*q17a!$G$15</f>
        <v>102035489.44</v>
      </c>
      <c r="AL15" s="124">
        <f>+$H$15*q17a!$H$15</f>
        <v>112536850.8</v>
      </c>
      <c r="AM15" s="124">
        <f>+$I$15*q17a!$I$15</f>
        <v>122501775.63000001</v>
      </c>
      <c r="AN15" s="124">
        <f>+$J$15*q17a!$J$15</f>
        <v>122654244.09</v>
      </c>
      <c r="AO15" s="124">
        <f>+$K$15*q17a!$K$15</f>
        <v>131387692.8</v>
      </c>
      <c r="AP15" s="124">
        <f>+$L$15*q17a!$L$15</f>
        <v>156890618.69999999</v>
      </c>
      <c r="AQ15" s="124">
        <f>+$M$15*q17a!$M$15</f>
        <v>176217152.09999999</v>
      </c>
    </row>
    <row r="16" spans="1:54" s="124" customFormat="1" ht="12.75" customHeight="1">
      <c r="A16" s="56"/>
      <c r="B16" s="58" t="str">
        <f>+'q26'!B16</f>
        <v>M</v>
      </c>
      <c r="C16" s="391">
        <f>+'q26'!C16</f>
        <v>701.7</v>
      </c>
      <c r="D16" s="391">
        <f>+'q26'!D16</f>
        <v>701.29</v>
      </c>
      <c r="E16" s="391">
        <f>+'q26'!E16</f>
        <v>704.39</v>
      </c>
      <c r="F16" s="391">
        <f>+'q26'!F16</f>
        <v>724.54</v>
      </c>
      <c r="G16" s="391">
        <f>+'q26'!G16</f>
        <v>753.87</v>
      </c>
      <c r="H16" s="391">
        <f>+'q26'!H16</f>
        <v>786.45</v>
      </c>
      <c r="I16" s="391">
        <f>+'q26'!I16</f>
        <v>827.03</v>
      </c>
      <c r="J16" s="391">
        <f>+'q26'!J16</f>
        <v>868.82</v>
      </c>
      <c r="K16" s="391">
        <f>+'q26'!K16</f>
        <v>912.5</v>
      </c>
      <c r="L16" s="391">
        <f>+'q26'!L16</f>
        <v>975.99</v>
      </c>
      <c r="M16" s="391">
        <f>+'q26'!M16</f>
        <v>1043.8499999999999</v>
      </c>
      <c r="N16" s="226"/>
      <c r="O16" s="298"/>
      <c r="P16" s="56"/>
      <c r="Q16" s="58" t="s">
        <v>54</v>
      </c>
      <c r="R16" s="124">
        <f>+$C$16*q17a!$C$16</f>
        <v>74514926.400000006</v>
      </c>
      <c r="S16" s="124">
        <f>+$D$16*q17a!$D$16</f>
        <v>70973353.159999996</v>
      </c>
      <c r="T16" s="124">
        <f>+$E$16*q17a!$E$16</f>
        <v>73031859.590000004</v>
      </c>
      <c r="U16" s="124">
        <f>+$F$16*q17a!$F$16</f>
        <v>77262771.979999989</v>
      </c>
      <c r="V16" s="124">
        <f>+$G$16*q17a!$G$16</f>
        <v>83493364.109999999</v>
      </c>
      <c r="W16" s="124">
        <f>+$H$16*q17a!$H$16</f>
        <v>91080347.400000006</v>
      </c>
      <c r="X16" s="124">
        <f>+$I$16*q17a!$I$16</f>
        <v>98462883.679999992</v>
      </c>
      <c r="Y16" s="124">
        <f>+$J$16*q17a!$J$16</f>
        <v>97389509.079999998</v>
      </c>
      <c r="Z16" s="124">
        <f>+$K$16*q17a!$K$16</f>
        <v>104282325</v>
      </c>
      <c r="AA16" s="124">
        <f>+$L$16*q17a!$L$16</f>
        <v>121381924.32000001</v>
      </c>
      <c r="AB16" s="124">
        <f>+$M$16*q17a!$M$16</f>
        <v>135276696.89999998</v>
      </c>
      <c r="AE16" s="56"/>
      <c r="AF16" s="58" t="s">
        <v>54</v>
      </c>
      <c r="AG16" s="124">
        <f>+$C$16*q17a!$C$16</f>
        <v>74514926.400000006</v>
      </c>
      <c r="AH16" s="124">
        <f>+$D$16*q17a!$D$16</f>
        <v>70973353.159999996</v>
      </c>
      <c r="AI16" s="124">
        <f>+$E$16*q17a!$E$16</f>
        <v>73031859.590000004</v>
      </c>
      <c r="AJ16" s="124">
        <f>+$F$16*q17a!$F$16</f>
        <v>77262771.979999989</v>
      </c>
      <c r="AK16" s="124">
        <f>+$G$16*q17a!$G$16</f>
        <v>83493364.109999999</v>
      </c>
      <c r="AL16" s="124">
        <f>+$H$16*q17a!$H$16</f>
        <v>91080347.400000006</v>
      </c>
      <c r="AM16" s="124">
        <f>+$I$16*q17a!$I$16</f>
        <v>98462883.679999992</v>
      </c>
      <c r="AN16" s="124">
        <f>+$J$16*q17a!$J$16</f>
        <v>97389509.079999998</v>
      </c>
      <c r="AO16" s="124">
        <f>+$K$16*q17a!$K$16</f>
        <v>104282325</v>
      </c>
      <c r="AP16" s="124">
        <f>+$L$16*q17a!$L$16</f>
        <v>121381924.32000001</v>
      </c>
      <c r="AQ16" s="124">
        <f>+$M$16*q17a!$M$16</f>
        <v>135276696.89999998</v>
      </c>
    </row>
    <row r="17" spans="1:43" s="124" customFormat="1" ht="16.5" customHeight="1">
      <c r="A17" s="56" t="str">
        <f>+'q26'!A17</f>
        <v>30-34 anos</v>
      </c>
      <c r="B17" s="54" t="str">
        <f>+'q26'!B17</f>
        <v>T</v>
      </c>
      <c r="C17" s="389">
        <f>+'q26'!C17</f>
        <v>837.55</v>
      </c>
      <c r="D17" s="389">
        <f>+'q26'!D17</f>
        <v>829.87</v>
      </c>
      <c r="E17" s="389">
        <f>+'q26'!E17</f>
        <v>834.19</v>
      </c>
      <c r="F17" s="389">
        <f>+'q26'!F17</f>
        <v>845.29</v>
      </c>
      <c r="G17" s="389">
        <f>+'q26'!G17</f>
        <v>867.5</v>
      </c>
      <c r="H17" s="389">
        <f>+'q26'!H17</f>
        <v>902.93</v>
      </c>
      <c r="I17" s="389">
        <f>+'q26'!I17</f>
        <v>948.01</v>
      </c>
      <c r="J17" s="389">
        <f>+'q26'!J17</f>
        <v>986.98</v>
      </c>
      <c r="K17" s="389">
        <f>+'q26'!K17</f>
        <v>1040.01</v>
      </c>
      <c r="L17" s="389">
        <f>+'q26'!L17</f>
        <v>1112.7</v>
      </c>
      <c r="M17" s="389">
        <f>+'q26'!M17</f>
        <v>1185.97</v>
      </c>
      <c r="N17" s="226"/>
      <c r="O17" s="298"/>
      <c r="P17" s="56" t="s">
        <v>58</v>
      </c>
      <c r="Q17" s="54" t="s">
        <v>45</v>
      </c>
      <c r="R17" s="124">
        <f>+$C$17*q17a!$C$17</f>
        <v>245544533.5</v>
      </c>
      <c r="S17" s="124">
        <f>+$D$17*q17a!$D$17</f>
        <v>238587625</v>
      </c>
      <c r="T17" s="124">
        <f>+$E$17*q17a!$E$17</f>
        <v>236009868.99000001</v>
      </c>
      <c r="U17" s="124">
        <f>+$F$17*q17a!$F$17</f>
        <v>235360011.72999999</v>
      </c>
      <c r="V17" s="124">
        <f>+$G$17*q17a!$G$17</f>
        <v>239447350</v>
      </c>
      <c r="W17" s="124">
        <f>+$H$17*q17a!$H$17</f>
        <v>248417713.31999999</v>
      </c>
      <c r="X17" s="124">
        <f>+$I$17*q17a!$I$17</f>
        <v>259715871.59</v>
      </c>
      <c r="Y17" s="124">
        <f>+$J$17*q17a!$J$17</f>
        <v>259880716.81999999</v>
      </c>
      <c r="Z17" s="124">
        <f>+$K$17*q17a!$K$17</f>
        <v>276862102.11000001</v>
      </c>
      <c r="AA17" s="124">
        <f>+$L$17*q17a!$L$17</f>
        <v>322478263.19999999</v>
      </c>
      <c r="AB17" s="124">
        <f>+$M$17*q17a!$M$17</f>
        <v>360362914.35000002</v>
      </c>
      <c r="AE17" s="56" t="s">
        <v>58</v>
      </c>
      <c r="AF17" s="54" t="s">
        <v>45</v>
      </c>
      <c r="AG17" s="124">
        <f>+$C$17*q17a!$C$17</f>
        <v>245544533.5</v>
      </c>
      <c r="AH17" s="124">
        <f>+$D$17*q17a!$D$17</f>
        <v>238587625</v>
      </c>
      <c r="AI17" s="124">
        <f>+$E$17*q17a!$E$17</f>
        <v>236009868.99000001</v>
      </c>
      <c r="AJ17" s="124">
        <f>+$F$17*q17a!$F$17</f>
        <v>235360011.72999999</v>
      </c>
      <c r="AK17" s="124">
        <f>+$G$17*q17a!$G$17</f>
        <v>239447350</v>
      </c>
      <c r="AL17" s="124">
        <f>+$H$17*q17a!$H$17</f>
        <v>248417713.31999999</v>
      </c>
      <c r="AM17" s="124">
        <f>+$I$17*q17a!$I$17</f>
        <v>259715871.59</v>
      </c>
      <c r="AN17" s="124">
        <f>+$J$17*q17a!$J$17</f>
        <v>259880716.81999999</v>
      </c>
      <c r="AO17" s="124">
        <f>+$K$17*q17a!$K$17</f>
        <v>276862102.11000001</v>
      </c>
      <c r="AP17" s="124">
        <f>+$L$17*q17a!$L$17</f>
        <v>322478263.19999999</v>
      </c>
      <c r="AQ17" s="124">
        <f>+$M$17*q17a!$M$17</f>
        <v>360362914.35000002</v>
      </c>
    </row>
    <row r="18" spans="1:43" s="124" customFormat="1" ht="12.75" customHeight="1">
      <c r="A18" s="57"/>
      <c r="B18" s="58" t="str">
        <f>+'q26'!B18</f>
        <v>H</v>
      </c>
      <c r="C18" s="391">
        <f>+'q26'!C18</f>
        <v>870.42</v>
      </c>
      <c r="D18" s="391">
        <f>+'q26'!D18</f>
        <v>857.08</v>
      </c>
      <c r="E18" s="391">
        <f>+'q26'!E18</f>
        <v>864.51</v>
      </c>
      <c r="F18" s="391">
        <f>+'q26'!F18</f>
        <v>873.35</v>
      </c>
      <c r="G18" s="391">
        <f>+'q26'!G18</f>
        <v>898.33</v>
      </c>
      <c r="H18" s="391">
        <f>+'q26'!H18</f>
        <v>942.25</v>
      </c>
      <c r="I18" s="391">
        <f>+'q26'!I18</f>
        <v>988.77</v>
      </c>
      <c r="J18" s="391">
        <f>+'q26'!J18</f>
        <v>1026.54</v>
      </c>
      <c r="K18" s="391">
        <f>+'q26'!K18</f>
        <v>1081.76</v>
      </c>
      <c r="L18" s="391">
        <f>+'q26'!L18</f>
        <v>1155.03</v>
      </c>
      <c r="M18" s="391">
        <f>+'q26'!M18</f>
        <v>1226.97</v>
      </c>
      <c r="N18" s="226"/>
      <c r="O18" s="298"/>
      <c r="P18" s="57"/>
      <c r="Q18" s="58" t="s">
        <v>53</v>
      </c>
      <c r="R18" s="124">
        <f>+$C$18*q17a!$C$18</f>
        <v>133346603.16</v>
      </c>
      <c r="S18" s="124">
        <f>+$D$18*q17a!$D$18</f>
        <v>129638492.48</v>
      </c>
      <c r="T18" s="124">
        <f>+$E$18*q17a!$E$18</f>
        <v>128339967.53999999</v>
      </c>
      <c r="U18" s="124">
        <f>+$F$18*q17a!$F$18</f>
        <v>128291621.60000001</v>
      </c>
      <c r="V18" s="124">
        <f>+$G$18*q17a!$G$18</f>
        <v>132071578.27000001</v>
      </c>
      <c r="W18" s="124">
        <f>+$H$18*q17a!$H$18</f>
        <v>139704580.75</v>
      </c>
      <c r="X18" s="124">
        <f>+$I$18*q17a!$I$18</f>
        <v>147189290.97</v>
      </c>
      <c r="Y18" s="124">
        <f>+$J$18*q17a!$J$18</f>
        <v>148670708.57999998</v>
      </c>
      <c r="Z18" s="124">
        <f>+$K$18*q17a!$K$18</f>
        <v>158426997.28</v>
      </c>
      <c r="AA18" s="124">
        <f>+$L$18*q17a!$L$18</f>
        <v>186253207.62</v>
      </c>
      <c r="AB18" s="124">
        <f>+$M$18*q17a!$M$18</f>
        <v>208751767.92000002</v>
      </c>
      <c r="AE18" s="57"/>
      <c r="AF18" s="58" t="s">
        <v>53</v>
      </c>
      <c r="AG18" s="124">
        <f>+$C$18*q17a!$C$18</f>
        <v>133346603.16</v>
      </c>
      <c r="AH18" s="124">
        <f>+$D$18*q17a!$D$18</f>
        <v>129638492.48</v>
      </c>
      <c r="AI18" s="124">
        <f>+$E$18*q17a!$E$18</f>
        <v>128339967.53999999</v>
      </c>
      <c r="AJ18" s="124">
        <f>+$F$18*q17a!$F$18</f>
        <v>128291621.60000001</v>
      </c>
      <c r="AK18" s="124">
        <f>+$G$18*q17a!$G$18</f>
        <v>132071578.27000001</v>
      </c>
      <c r="AL18" s="124">
        <f>+$H$18*q17a!$H$18</f>
        <v>139704580.75</v>
      </c>
      <c r="AM18" s="124">
        <f>+$I$18*q17a!$I$18</f>
        <v>147189290.97</v>
      </c>
      <c r="AN18" s="124">
        <f>+$J$18*q17a!$J$18</f>
        <v>148670708.57999998</v>
      </c>
      <c r="AO18" s="124">
        <f>+$K$18*q17a!$K$18</f>
        <v>158426997.28</v>
      </c>
      <c r="AP18" s="124">
        <f>+$L$18*q17a!$L$18</f>
        <v>186253207.62</v>
      </c>
      <c r="AQ18" s="124">
        <f>+$M$18*q17a!$M$18</f>
        <v>208751767.92000002</v>
      </c>
    </row>
    <row r="19" spans="1:43" s="124" customFormat="1" ht="12.75" customHeight="1">
      <c r="A19" s="56"/>
      <c r="B19" s="58" t="str">
        <f>+'q26'!B19</f>
        <v>M</v>
      </c>
      <c r="C19" s="391">
        <f>+'q26'!C19</f>
        <v>801.57</v>
      </c>
      <c r="D19" s="391">
        <f>+'q26'!D19</f>
        <v>799.66</v>
      </c>
      <c r="E19" s="391">
        <f>+'q26'!E19</f>
        <v>800.73</v>
      </c>
      <c r="F19" s="391">
        <f>+'q26'!F19</f>
        <v>813.95</v>
      </c>
      <c r="G19" s="391">
        <f>+'q26'!G19</f>
        <v>832.36</v>
      </c>
      <c r="H19" s="391">
        <f>+'q26'!H19</f>
        <v>856.99</v>
      </c>
      <c r="I19" s="391">
        <f>+'q26'!I19</f>
        <v>899.5</v>
      </c>
      <c r="J19" s="391">
        <f>+'q26'!J19</f>
        <v>938.62</v>
      </c>
      <c r="K19" s="391">
        <f>+'q26'!K19</f>
        <v>988.96</v>
      </c>
      <c r="L19" s="391">
        <f>+'q26'!L19</f>
        <v>1059.5999999999999</v>
      </c>
      <c r="M19" s="391">
        <f>+'q26'!M19</f>
        <v>1133.8</v>
      </c>
      <c r="N19" s="226"/>
      <c r="O19" s="298"/>
      <c r="P19" s="56"/>
      <c r="Q19" s="58" t="s">
        <v>54</v>
      </c>
      <c r="R19" s="124">
        <f>+$C$19*q17a!$C$19</f>
        <v>112197356.04000001</v>
      </c>
      <c r="S19" s="124">
        <f>+$D$19*q17a!$D$19</f>
        <v>108948877.03999999</v>
      </c>
      <c r="T19" s="124">
        <f>+$E$19*q17a!$E$19</f>
        <v>107671760.91</v>
      </c>
      <c r="U19" s="124">
        <f>+$F$19*q17a!$F$19</f>
        <v>107067796.95</v>
      </c>
      <c r="V19" s="124">
        <f>+$G$19*q17a!$G$19</f>
        <v>107375272.36</v>
      </c>
      <c r="W19" s="124">
        <f>+$H$19*q17a!$H$19</f>
        <v>108715180.43000001</v>
      </c>
      <c r="X19" s="124">
        <f>+$I$19*q17a!$I$19</f>
        <v>112525651</v>
      </c>
      <c r="Y19" s="124">
        <f>+$J$19*q17a!$J$19</f>
        <v>111209574.84</v>
      </c>
      <c r="Z19" s="124">
        <f>+$K$19*q17a!$K$19</f>
        <v>118435871.68000001</v>
      </c>
      <c r="AA19" s="124">
        <f>+$L$19*q17a!$L$19</f>
        <v>136224295.19999999</v>
      </c>
      <c r="AB19" s="124">
        <f>+$M$19*q17a!$M$19</f>
        <v>151610602.19999999</v>
      </c>
      <c r="AE19" s="56"/>
      <c r="AF19" s="58" t="s">
        <v>54</v>
      </c>
      <c r="AG19" s="124">
        <f>+$C$19*q17a!$C$19</f>
        <v>112197356.04000001</v>
      </c>
      <c r="AH19" s="124">
        <f>+$D$19*q17a!$D$19</f>
        <v>108948877.03999999</v>
      </c>
      <c r="AI19" s="124">
        <f>+$E$19*q17a!$E$19</f>
        <v>107671760.91</v>
      </c>
      <c r="AJ19" s="124">
        <f>+$F$19*q17a!$F$19</f>
        <v>107067796.95</v>
      </c>
      <c r="AK19" s="124">
        <f>+$G$19*q17a!$G$19</f>
        <v>107375272.36</v>
      </c>
      <c r="AL19" s="124">
        <f>+$H$19*q17a!$H$19</f>
        <v>108715180.43000001</v>
      </c>
      <c r="AM19" s="124">
        <f>+$I$19*q17a!$I$19</f>
        <v>112525651</v>
      </c>
      <c r="AN19" s="124">
        <f>+$J$19*q17a!$J$19</f>
        <v>111209574.84</v>
      </c>
      <c r="AO19" s="124">
        <f>+$K$19*q17a!$K$19</f>
        <v>118435871.68000001</v>
      </c>
      <c r="AP19" s="124">
        <f>+$L$19*q17a!$L$19</f>
        <v>136224295.19999999</v>
      </c>
      <c r="AQ19" s="124">
        <f>+$M$19*q17a!$M$19</f>
        <v>151610602.19999999</v>
      </c>
    </row>
    <row r="20" spans="1:43" s="124" customFormat="1" ht="16.5" customHeight="1">
      <c r="A20" s="56" t="str">
        <f>+'q26'!A20</f>
        <v>35-39 anos</v>
      </c>
      <c r="B20" s="54" t="str">
        <f>+'q26'!B20</f>
        <v>T</v>
      </c>
      <c r="C20" s="389">
        <f>+'q26'!C20</f>
        <v>951.11</v>
      </c>
      <c r="D20" s="389">
        <f>+'q26'!D20</f>
        <v>940.3</v>
      </c>
      <c r="E20" s="389">
        <f>+'q26'!E20</f>
        <v>935.92</v>
      </c>
      <c r="F20" s="389">
        <f>+'q26'!F20</f>
        <v>943.39</v>
      </c>
      <c r="G20" s="389">
        <f>+'q26'!G20</f>
        <v>956.28</v>
      </c>
      <c r="H20" s="389">
        <f>+'q26'!H20</f>
        <v>979.27</v>
      </c>
      <c r="I20" s="389">
        <f>+'q26'!I20</f>
        <v>1016.51</v>
      </c>
      <c r="J20" s="389">
        <f>+'q26'!J20</f>
        <v>1049.22</v>
      </c>
      <c r="K20" s="389">
        <f>+'q26'!K20</f>
        <v>1092.93</v>
      </c>
      <c r="L20" s="389">
        <f>+'q26'!L20</f>
        <v>1163.1300000000001</v>
      </c>
      <c r="M20" s="389">
        <f>+'q26'!M20</f>
        <v>1240.07</v>
      </c>
      <c r="N20" s="229"/>
      <c r="O20" s="298"/>
      <c r="P20" s="56" t="s">
        <v>59</v>
      </c>
      <c r="Q20" s="54" t="s">
        <v>45</v>
      </c>
      <c r="R20" s="124">
        <f>+$C$20*q17a!$C$20</f>
        <v>311890844.53000003</v>
      </c>
      <c r="S20" s="124">
        <f>+$D$20*q17a!$D$20</f>
        <v>307149935.30000001</v>
      </c>
      <c r="T20" s="124">
        <f>+$E$20*q17a!$E$20</f>
        <v>305923234.47999996</v>
      </c>
      <c r="U20" s="124">
        <f>+$F$20*q17a!$F$20</f>
        <v>303430072.81999999</v>
      </c>
      <c r="V20" s="124">
        <f>+$G$20*q17a!$G$20</f>
        <v>305528591.15999997</v>
      </c>
      <c r="W20" s="124">
        <f>+$H$20*q17a!$H$20</f>
        <v>312156022.27999997</v>
      </c>
      <c r="X20" s="124">
        <f>+$I$20*q17a!$I$20</f>
        <v>320428348.24000001</v>
      </c>
      <c r="Y20" s="124">
        <f>+$J$20*q17a!$J$20</f>
        <v>311964582.60000002</v>
      </c>
      <c r="Z20" s="124">
        <f>+$K$20*q17a!$K$20</f>
        <v>317206538.55000001</v>
      </c>
      <c r="AA20" s="124">
        <f>+$L$20*q17a!$L$20</f>
        <v>352763371.44000006</v>
      </c>
      <c r="AB20" s="124">
        <f>+$M$20*q17a!$M$20</f>
        <v>380768453.77999997</v>
      </c>
      <c r="AE20" s="56" t="s">
        <v>59</v>
      </c>
      <c r="AF20" s="54" t="s">
        <v>45</v>
      </c>
      <c r="AG20" s="124">
        <f>+$C$20*q17a!$C$20</f>
        <v>311890844.53000003</v>
      </c>
      <c r="AH20" s="124">
        <f>+$D$20*q17a!$D$20</f>
        <v>307149935.30000001</v>
      </c>
      <c r="AI20" s="124">
        <f>+$E$20*q17a!$E$20</f>
        <v>305923234.47999996</v>
      </c>
      <c r="AJ20" s="124">
        <f>+$F$20*q17a!$F$20</f>
        <v>303430072.81999999</v>
      </c>
      <c r="AK20" s="124">
        <f>+$G$20*q17a!$G$20</f>
        <v>305528591.15999997</v>
      </c>
      <c r="AL20" s="124">
        <f>+$H$20*q17a!$H$20</f>
        <v>312156022.27999997</v>
      </c>
      <c r="AM20" s="124">
        <f>+$I$20*q17a!$I$20</f>
        <v>320428348.24000001</v>
      </c>
      <c r="AN20" s="124">
        <f>+$J$20*q17a!$J$20</f>
        <v>311964582.60000002</v>
      </c>
      <c r="AO20" s="124">
        <f>+$K$20*q17a!$K$20</f>
        <v>317206538.55000001</v>
      </c>
      <c r="AP20" s="124">
        <f>+$L$20*q17a!$L$20</f>
        <v>352763371.44000006</v>
      </c>
      <c r="AQ20" s="124">
        <f>+$M$20*q17a!$M$20</f>
        <v>380768453.77999997</v>
      </c>
    </row>
    <row r="21" spans="1:43" s="124" customFormat="1" ht="12.75" customHeight="1">
      <c r="A21" s="57"/>
      <c r="B21" s="58" t="str">
        <f>+'q26'!B21</f>
        <v>H</v>
      </c>
      <c r="C21" s="391">
        <f>+'q26'!C21</f>
        <v>1010.17</v>
      </c>
      <c r="D21" s="391">
        <f>+'q26'!D21</f>
        <v>993.54</v>
      </c>
      <c r="E21" s="391">
        <f>+'q26'!E21</f>
        <v>987.57</v>
      </c>
      <c r="F21" s="391">
        <f>+'q26'!F21</f>
        <v>992.66</v>
      </c>
      <c r="G21" s="391">
        <f>+'q26'!G21</f>
        <v>1003.76</v>
      </c>
      <c r="H21" s="391">
        <f>+'q26'!H21</f>
        <v>1027.18</v>
      </c>
      <c r="I21" s="391">
        <f>+'q26'!I21</f>
        <v>1066.02</v>
      </c>
      <c r="J21" s="391">
        <f>+'q26'!J21</f>
        <v>1097.29</v>
      </c>
      <c r="K21" s="391">
        <f>+'q26'!K21</f>
        <v>1149.93</v>
      </c>
      <c r="L21" s="391">
        <f>+'q26'!L21</f>
        <v>1230.6099999999999</v>
      </c>
      <c r="M21" s="391">
        <f>+'q26'!M21</f>
        <v>1309.3</v>
      </c>
      <c r="N21" s="226"/>
      <c r="O21" s="298"/>
      <c r="P21" s="57"/>
      <c r="Q21" s="58" t="s">
        <v>53</v>
      </c>
      <c r="R21" s="124">
        <f>+$C$21*q17a!$C$21</f>
        <v>174326047.06999999</v>
      </c>
      <c r="S21" s="124">
        <f>+$D$21*q17a!$D$21</f>
        <v>171196877.40000001</v>
      </c>
      <c r="T21" s="124">
        <f>+$E$21*q17a!$E$21</f>
        <v>169117412.22</v>
      </c>
      <c r="U21" s="124">
        <f>+$F$21*q17a!$F$21</f>
        <v>167499463.07999998</v>
      </c>
      <c r="V21" s="124">
        <f>+$G$21*q17a!$G$21</f>
        <v>168852507.19999999</v>
      </c>
      <c r="W21" s="124">
        <f>+$H$21*q17a!$H$21</f>
        <v>173621153.86000001</v>
      </c>
      <c r="X21" s="124">
        <f>+$I$21*q17a!$I$21</f>
        <v>179596653.47999999</v>
      </c>
      <c r="Y21" s="124">
        <f>+$J$21*q17a!$J$21</f>
        <v>176361935.25</v>
      </c>
      <c r="Z21" s="124">
        <f>+$K$21*q17a!$K$21</f>
        <v>181210569.12</v>
      </c>
      <c r="AA21" s="124">
        <f>+$L$21*q17a!$L$21</f>
        <v>204355096.59999999</v>
      </c>
      <c r="AB21" s="124">
        <f>+$M$21*q17a!$M$21</f>
        <v>221981340.59999999</v>
      </c>
      <c r="AE21" s="57"/>
      <c r="AF21" s="58" t="s">
        <v>53</v>
      </c>
      <c r="AG21" s="124">
        <f>+$C$21*q17a!$C$21</f>
        <v>174326047.06999999</v>
      </c>
      <c r="AH21" s="124">
        <f>+$D$21*q17a!$D$21</f>
        <v>171196877.40000001</v>
      </c>
      <c r="AI21" s="124">
        <f>+$E$21*q17a!$E$21</f>
        <v>169117412.22</v>
      </c>
      <c r="AJ21" s="124">
        <f>+$F$21*q17a!$F$21</f>
        <v>167499463.07999998</v>
      </c>
      <c r="AK21" s="124">
        <f>+$G$21*q17a!$G$21</f>
        <v>168852507.19999999</v>
      </c>
      <c r="AL21" s="124">
        <f>+$H$21*q17a!$H$21</f>
        <v>173621153.86000001</v>
      </c>
      <c r="AM21" s="124">
        <f>+$I$21*q17a!$I$21</f>
        <v>179596653.47999999</v>
      </c>
      <c r="AN21" s="124">
        <f>+$J$21*q17a!$J$21</f>
        <v>176361935.25</v>
      </c>
      <c r="AO21" s="124">
        <f>+$K$21*q17a!$K$21</f>
        <v>181210569.12</v>
      </c>
      <c r="AP21" s="124">
        <f>+$L$21*q17a!$L$21</f>
        <v>204355096.59999999</v>
      </c>
      <c r="AQ21" s="124">
        <f>+$M$21*q17a!$M$21</f>
        <v>221981340.59999999</v>
      </c>
    </row>
    <row r="22" spans="1:43" s="124" customFormat="1" ht="12.75" customHeight="1">
      <c r="A22" s="56"/>
      <c r="B22" s="58" t="str">
        <f>+'q26'!B22</f>
        <v>M</v>
      </c>
      <c r="C22" s="391">
        <f>+'q26'!C22</f>
        <v>885.52</v>
      </c>
      <c r="D22" s="391">
        <f>+'q26'!D22</f>
        <v>880.87</v>
      </c>
      <c r="E22" s="391">
        <f>+'q26'!E22</f>
        <v>879.09</v>
      </c>
      <c r="F22" s="391">
        <f>+'q26'!F22</f>
        <v>889.01</v>
      </c>
      <c r="G22" s="391">
        <f>+'q26'!G22</f>
        <v>903.49</v>
      </c>
      <c r="H22" s="391">
        <f>+'q26'!H22</f>
        <v>925.19</v>
      </c>
      <c r="I22" s="391">
        <f>+'q26'!I22</f>
        <v>959.68</v>
      </c>
      <c r="J22" s="391">
        <f>+'q26'!J22</f>
        <v>992.67</v>
      </c>
      <c r="K22" s="391">
        <f>+'q26'!K22</f>
        <v>1025.23</v>
      </c>
      <c r="L22" s="391">
        <f>+'q26'!L22</f>
        <v>1081.47</v>
      </c>
      <c r="M22" s="391">
        <f>+'q26'!M22</f>
        <v>1154.72</v>
      </c>
      <c r="N22" s="226"/>
      <c r="O22" s="298"/>
      <c r="P22" s="56"/>
      <c r="Q22" s="58" t="s">
        <v>54</v>
      </c>
      <c r="R22" s="124">
        <f>+$C$22*q17a!$C$22</f>
        <v>137567303.03999999</v>
      </c>
      <c r="S22" s="124">
        <f>+$D$22*q17a!$D$22</f>
        <v>135954356.66999999</v>
      </c>
      <c r="T22" s="124">
        <f>+$E$22*q17a!$E$22</f>
        <v>136806623.06999999</v>
      </c>
      <c r="U22" s="124">
        <f>+$F$22*q17a!$F$22</f>
        <v>135929629</v>
      </c>
      <c r="V22" s="124">
        <f>+$G$22*q17a!$G$22</f>
        <v>136677256.72999999</v>
      </c>
      <c r="W22" s="124">
        <f>+$H$22*q17a!$H$22</f>
        <v>138535175.03</v>
      </c>
      <c r="X22" s="124">
        <f>+$I$22*q17a!$I$22</f>
        <v>140833040</v>
      </c>
      <c r="Y22" s="124">
        <f>+$J$22*q17a!$J$22</f>
        <v>135603685.34999999</v>
      </c>
      <c r="Z22" s="124">
        <f>+$K$22*q17a!$K$22</f>
        <v>135997784.72999999</v>
      </c>
      <c r="AA22" s="124">
        <f>+$L$22*q17a!$L$22</f>
        <v>148407965.16</v>
      </c>
      <c r="AB22" s="124">
        <f>+$M$22*q17a!$M$22</f>
        <v>158787856.64000002</v>
      </c>
      <c r="AE22" s="56"/>
      <c r="AF22" s="58" t="s">
        <v>54</v>
      </c>
      <c r="AG22" s="124">
        <f>+$C$22*q17a!$C$22</f>
        <v>137567303.03999999</v>
      </c>
      <c r="AH22" s="124">
        <f>+$D$22*q17a!$D$22</f>
        <v>135954356.66999999</v>
      </c>
      <c r="AI22" s="124">
        <f>+$E$22*q17a!$E$22</f>
        <v>136806623.06999999</v>
      </c>
      <c r="AJ22" s="124">
        <f>+$F$22*q17a!$F$22</f>
        <v>135929629</v>
      </c>
      <c r="AK22" s="124">
        <f>+$G$22*q17a!$G$22</f>
        <v>136677256.72999999</v>
      </c>
      <c r="AL22" s="124">
        <f>+$H$22*q17a!$H$22</f>
        <v>138535175.03</v>
      </c>
      <c r="AM22" s="124">
        <f>+$I$22*q17a!$I$22</f>
        <v>140833040</v>
      </c>
      <c r="AN22" s="124">
        <f>+$J$22*q17a!$J$22</f>
        <v>135603685.34999999</v>
      </c>
      <c r="AO22" s="124">
        <f>+$K$22*q17a!$K$22</f>
        <v>135997784.72999999</v>
      </c>
      <c r="AP22" s="124">
        <f>+$L$22*q17a!$L$22</f>
        <v>148407965.16</v>
      </c>
      <c r="AQ22" s="124">
        <f>+$M$22*q17a!$M$22</f>
        <v>158787856.64000002</v>
      </c>
    </row>
    <row r="23" spans="1:43" s="124" customFormat="1" ht="16.5" customHeight="1">
      <c r="A23" s="56" t="str">
        <f>+'q26'!A23</f>
        <v>40-44 anos</v>
      </c>
      <c r="B23" s="54" t="str">
        <f>+'q26'!B23</f>
        <v>T</v>
      </c>
      <c r="C23" s="389">
        <f>+'q26'!C23</f>
        <v>988.37</v>
      </c>
      <c r="D23" s="389">
        <f>+'q26'!D23</f>
        <v>994.63</v>
      </c>
      <c r="E23" s="389">
        <f>+'q26'!E23</f>
        <v>999.49</v>
      </c>
      <c r="F23" s="389">
        <f>+'q26'!F23</f>
        <v>1009.31</v>
      </c>
      <c r="G23" s="389">
        <f>+'q26'!G23</f>
        <v>1025.8399999999999</v>
      </c>
      <c r="H23" s="389">
        <f>+'q26'!H23</f>
        <v>1053.27</v>
      </c>
      <c r="I23" s="389">
        <f>+'q26'!I23</f>
        <v>1087.6099999999999</v>
      </c>
      <c r="J23" s="389">
        <f>+'q26'!J23</f>
        <v>1112.6099999999999</v>
      </c>
      <c r="K23" s="389">
        <f>+'q26'!K23</f>
        <v>1153.31</v>
      </c>
      <c r="L23" s="389">
        <f>+'q26'!L23</f>
        <v>1212.3499999999999</v>
      </c>
      <c r="M23" s="389">
        <f>+'q26'!M23</f>
        <v>1290.51</v>
      </c>
      <c r="N23" s="226"/>
      <c r="O23" s="298"/>
      <c r="P23" s="56" t="s">
        <v>60</v>
      </c>
      <c r="Q23" s="54" t="s">
        <v>45</v>
      </c>
      <c r="R23" s="124">
        <f>+$C$23*q17a!$C$23</f>
        <v>286741950.92000002</v>
      </c>
      <c r="S23" s="124">
        <f>+$D$23*q17a!$D$23</f>
        <v>301472353</v>
      </c>
      <c r="T23" s="124">
        <f>+$E$23*q17a!$E$23</f>
        <v>317924775.63</v>
      </c>
      <c r="U23" s="124">
        <f>+$F$23*q17a!$F$23</f>
        <v>334224932.01999998</v>
      </c>
      <c r="V23" s="124">
        <f>+$G$23*q17a!$G$23</f>
        <v>350828047.44</v>
      </c>
      <c r="W23" s="124">
        <f>+$H$23*q17a!$H$23</f>
        <v>366584303.88</v>
      </c>
      <c r="X23" s="124">
        <f>+$I$23*q17a!$I$23</f>
        <v>374866538.69999999</v>
      </c>
      <c r="Y23" s="124">
        <f>+$J$23*q17a!$J$23</f>
        <v>367796600.30999994</v>
      </c>
      <c r="Z23" s="124">
        <f>+$K$23*q17a!$K$23</f>
        <v>373638994.00999999</v>
      </c>
      <c r="AA23" s="124">
        <f>+$L$23*q17a!$L$23</f>
        <v>407781196.59999996</v>
      </c>
      <c r="AB23" s="124">
        <f>+$M$23*q17a!$M$23</f>
        <v>439426398.06</v>
      </c>
      <c r="AE23" s="56" t="s">
        <v>60</v>
      </c>
      <c r="AF23" s="54" t="s">
        <v>45</v>
      </c>
      <c r="AG23" s="124">
        <f>+$C$23*q17a!$C$23</f>
        <v>286741950.92000002</v>
      </c>
      <c r="AH23" s="124">
        <f>+$D$23*q17a!$D$23</f>
        <v>301472353</v>
      </c>
      <c r="AI23" s="124">
        <f>+$E$23*q17a!$E$23</f>
        <v>317924775.63</v>
      </c>
      <c r="AJ23" s="124">
        <f>+$F$23*q17a!$F$23</f>
        <v>334224932.01999998</v>
      </c>
      <c r="AK23" s="124">
        <f>+$G$23*q17a!$G$23</f>
        <v>350828047.44</v>
      </c>
      <c r="AL23" s="124">
        <f>+$H$23*q17a!$H$23</f>
        <v>366584303.88</v>
      </c>
      <c r="AM23" s="124">
        <f>+$I$23*q17a!$I$23</f>
        <v>374866538.69999999</v>
      </c>
      <c r="AN23" s="124">
        <f>+$J$23*q17a!$J$23</f>
        <v>367796600.30999994</v>
      </c>
      <c r="AO23" s="124">
        <f>+$K$23*q17a!$K$23</f>
        <v>373638994.00999999</v>
      </c>
      <c r="AP23" s="124">
        <f>+$L$23*q17a!$L$23</f>
        <v>407781196.59999996</v>
      </c>
      <c r="AQ23" s="124">
        <f>+$M$23*q17a!$M$23</f>
        <v>439426398.06</v>
      </c>
    </row>
    <row r="24" spans="1:43" s="124" customFormat="1" ht="12.75" customHeight="1">
      <c r="A24" s="57"/>
      <c r="B24" s="58" t="str">
        <f>+'q26'!B24</f>
        <v>H</v>
      </c>
      <c r="C24" s="391">
        <f>+'q26'!C24</f>
        <v>1081.29</v>
      </c>
      <c r="D24" s="391">
        <f>+'q26'!D24</f>
        <v>1080.48</v>
      </c>
      <c r="E24" s="391">
        <f>+'q26'!E24</f>
        <v>1083.3800000000001</v>
      </c>
      <c r="F24" s="391">
        <f>+'q26'!F24</f>
        <v>1087.28</v>
      </c>
      <c r="G24" s="391">
        <f>+'q26'!G24</f>
        <v>1097.33</v>
      </c>
      <c r="H24" s="391">
        <f>+'q26'!H24</f>
        <v>1124.75</v>
      </c>
      <c r="I24" s="391">
        <f>+'q26'!I24</f>
        <v>1160.19</v>
      </c>
      <c r="J24" s="391">
        <f>+'q26'!J24</f>
        <v>1180.1400000000001</v>
      </c>
      <c r="K24" s="391">
        <f>+'q26'!K24</f>
        <v>1224.8</v>
      </c>
      <c r="L24" s="391">
        <f>+'q26'!L24</f>
        <v>1290.67</v>
      </c>
      <c r="M24" s="391">
        <f>+'q26'!M24</f>
        <v>1369.84</v>
      </c>
      <c r="N24" s="226"/>
      <c r="O24" s="298"/>
      <c r="P24" s="57"/>
      <c r="Q24" s="58" t="s">
        <v>53</v>
      </c>
      <c r="R24" s="124">
        <f>+$C$24*q17a!$C$24</f>
        <v>166866835.38</v>
      </c>
      <c r="S24" s="124">
        <f>+$D$24*q17a!$D$24</f>
        <v>173982131.03999999</v>
      </c>
      <c r="T24" s="124">
        <f>+$E$24*q17a!$E$24</f>
        <v>181800914.42000002</v>
      </c>
      <c r="U24" s="124">
        <f>+$F$24*q17a!$F$24</f>
        <v>189166061.68000001</v>
      </c>
      <c r="V24" s="124">
        <f>+$G$24*q17a!$G$24</f>
        <v>197471117.47999999</v>
      </c>
      <c r="W24" s="124">
        <f>+$H$24*q17a!$H$24</f>
        <v>206242033.25</v>
      </c>
      <c r="X24" s="124">
        <f>+$I$24*q17a!$I$24</f>
        <v>211762519.56</v>
      </c>
      <c r="Y24" s="124">
        <f>+$J$24*q17a!$J$24</f>
        <v>207246745.68000001</v>
      </c>
      <c r="Z24" s="124">
        <f>+$K$24*q17a!$K$24</f>
        <v>209957665.59999999</v>
      </c>
      <c r="AA24" s="124">
        <f>+$L$24*q17a!$L$24</f>
        <v>230043858.12</v>
      </c>
      <c r="AB24" s="124">
        <f>+$M$24*q17a!$M$24</f>
        <v>248862942.31999999</v>
      </c>
      <c r="AE24" s="57"/>
      <c r="AF24" s="58" t="s">
        <v>53</v>
      </c>
      <c r="AG24" s="124">
        <f>+$C$24*q17a!$C$24</f>
        <v>166866835.38</v>
      </c>
      <c r="AH24" s="124">
        <f>+$D$24*q17a!$D$24</f>
        <v>173982131.03999999</v>
      </c>
      <c r="AI24" s="124">
        <f>+$E$24*q17a!$E$24</f>
        <v>181800914.42000002</v>
      </c>
      <c r="AJ24" s="124">
        <f>+$F$24*q17a!$F$24</f>
        <v>189166061.68000001</v>
      </c>
      <c r="AK24" s="124">
        <f>+$G$24*q17a!$G$24</f>
        <v>197471117.47999999</v>
      </c>
      <c r="AL24" s="124">
        <f>+$H$24*q17a!$H$24</f>
        <v>206242033.25</v>
      </c>
      <c r="AM24" s="124">
        <f>+$I$24*q17a!$I$24</f>
        <v>211762519.56</v>
      </c>
      <c r="AN24" s="124">
        <f>+$J$24*q17a!$J$24</f>
        <v>207246745.68000001</v>
      </c>
      <c r="AO24" s="124">
        <f>+$K$24*q17a!$K$24</f>
        <v>209957665.59999999</v>
      </c>
      <c r="AP24" s="124">
        <f>+$L$24*q17a!$L$24</f>
        <v>230043858.12</v>
      </c>
      <c r="AQ24" s="124">
        <f>+$M$24*q17a!$M$24</f>
        <v>248862942.31999999</v>
      </c>
    </row>
    <row r="25" spans="1:43" s="124" customFormat="1" ht="12.75" customHeight="1">
      <c r="A25" s="56"/>
      <c r="B25" s="58" t="str">
        <f>+'q26'!B25</f>
        <v>M</v>
      </c>
      <c r="C25" s="391">
        <f>+'q26'!C25</f>
        <v>882.78</v>
      </c>
      <c r="D25" s="391">
        <f>+'q26'!D25</f>
        <v>897.33</v>
      </c>
      <c r="E25" s="391">
        <f>+'q26'!E25</f>
        <v>905.82</v>
      </c>
      <c r="F25" s="391">
        <f>+'q26'!F25</f>
        <v>923</v>
      </c>
      <c r="G25" s="391">
        <f>+'q26'!G25</f>
        <v>946.44</v>
      </c>
      <c r="H25" s="391">
        <f>+'q26'!H25</f>
        <v>973.68</v>
      </c>
      <c r="I25" s="391">
        <f>+'q26'!I25</f>
        <v>1005.91</v>
      </c>
      <c r="J25" s="391">
        <f>+'q26'!J25</f>
        <v>1036.0899999999999</v>
      </c>
      <c r="K25" s="391">
        <f>+'q26'!K25</f>
        <v>1072.97</v>
      </c>
      <c r="L25" s="391">
        <f>+'q26'!L25</f>
        <v>1124.06</v>
      </c>
      <c r="M25" s="391">
        <f>+'q26'!M25</f>
        <v>1199.78</v>
      </c>
      <c r="N25" s="226"/>
      <c r="O25" s="298"/>
      <c r="P25" s="56"/>
      <c r="Q25" s="58" t="s">
        <v>54</v>
      </c>
      <c r="R25" s="124">
        <f>+$C$25*q17a!$C$25</f>
        <v>119876227.31999999</v>
      </c>
      <c r="S25" s="124">
        <f>+$D$25*q17a!$D$25</f>
        <v>127489954.41000001</v>
      </c>
      <c r="T25" s="124">
        <f>+$E$25*q17a!$E$25</f>
        <v>136124817.96000001</v>
      </c>
      <c r="U25" s="124">
        <f>+$F$25*q17a!$F$25</f>
        <v>145059603</v>
      </c>
      <c r="V25" s="124">
        <f>+$G$25*q17a!$G$25</f>
        <v>153356405.40000001</v>
      </c>
      <c r="W25" s="124">
        <f>+$H$25*q17a!$H$25</f>
        <v>160342701.35999998</v>
      </c>
      <c r="X25" s="124">
        <f>+$I$25*q17a!$I$25</f>
        <v>163104282.85999998</v>
      </c>
      <c r="Y25" s="124">
        <f>+$J$25*q17a!$J$25</f>
        <v>160551470.30999997</v>
      </c>
      <c r="Z25" s="124">
        <f>+$K$25*q17a!$K$25</f>
        <v>163680500.53</v>
      </c>
      <c r="AA25" s="124">
        <f>+$L$25*q17a!$L$25</f>
        <v>177736367.19999999</v>
      </c>
      <c r="AB25" s="124">
        <f>+$M$25*q17a!$M$25</f>
        <v>190564656.74000001</v>
      </c>
      <c r="AE25" s="56"/>
      <c r="AF25" s="58" t="s">
        <v>54</v>
      </c>
      <c r="AG25" s="124">
        <f>+$C$25*q17a!$C$25</f>
        <v>119876227.31999999</v>
      </c>
      <c r="AH25" s="124">
        <f>+$D$25*q17a!$D$25</f>
        <v>127489954.41000001</v>
      </c>
      <c r="AI25" s="124">
        <f>+$E$25*q17a!$E$25</f>
        <v>136124817.96000001</v>
      </c>
      <c r="AJ25" s="124">
        <f>+$F$25*q17a!$F$25</f>
        <v>145059603</v>
      </c>
      <c r="AK25" s="124">
        <f>+$G$25*q17a!$G$25</f>
        <v>153356405.40000001</v>
      </c>
      <c r="AL25" s="124">
        <f>+$H$25*q17a!$H$25</f>
        <v>160342701.35999998</v>
      </c>
      <c r="AM25" s="124">
        <f>+$I$25*q17a!$I$25</f>
        <v>163104282.85999998</v>
      </c>
      <c r="AN25" s="124">
        <f>+$J$25*q17a!$J$25</f>
        <v>160551470.30999997</v>
      </c>
      <c r="AO25" s="124">
        <f>+$K$25*q17a!$K$25</f>
        <v>163680500.53</v>
      </c>
      <c r="AP25" s="124">
        <f>+$L$25*q17a!$L$25</f>
        <v>177736367.19999999</v>
      </c>
      <c r="AQ25" s="124">
        <f>+$M$25*q17a!$M$25</f>
        <v>190564656.74000001</v>
      </c>
    </row>
    <row r="26" spans="1:43" s="124" customFormat="1" ht="16.5" customHeight="1">
      <c r="A26" s="56" t="str">
        <f>+'q26'!A26</f>
        <v>45-49 anos</v>
      </c>
      <c r="B26" s="54" t="str">
        <f>+'q26'!B26</f>
        <v>T</v>
      </c>
      <c r="C26" s="389">
        <f>+'q26'!C26</f>
        <v>977.01</v>
      </c>
      <c r="D26" s="389">
        <f>+'q26'!D26</f>
        <v>972.14</v>
      </c>
      <c r="E26" s="389">
        <f>+'q26'!E26</f>
        <v>978.89</v>
      </c>
      <c r="F26" s="389">
        <f>+'q26'!F26</f>
        <v>995.05</v>
      </c>
      <c r="G26" s="389">
        <f>+'q26'!G26</f>
        <v>1021.83</v>
      </c>
      <c r="H26" s="389">
        <f>+'q26'!H26</f>
        <v>1057.7</v>
      </c>
      <c r="I26" s="389">
        <f>+'q26'!I26</f>
        <v>1104.3499999999999</v>
      </c>
      <c r="J26" s="389">
        <f>+'q26'!J26</f>
        <v>1141.78</v>
      </c>
      <c r="K26" s="389">
        <f>+'q26'!K26</f>
        <v>1180.92</v>
      </c>
      <c r="L26" s="389">
        <f>+'q26'!L26</f>
        <v>1242.54</v>
      </c>
      <c r="M26" s="389">
        <f>+'q26'!M26</f>
        <v>1329.67</v>
      </c>
      <c r="N26" s="226"/>
      <c r="O26" s="298"/>
      <c r="P26" s="56" t="s">
        <v>61</v>
      </c>
      <c r="Q26" s="54" t="s">
        <v>45</v>
      </c>
      <c r="R26" s="124">
        <f>+$C$26*q17a!$C$26</f>
        <v>239520840.56999999</v>
      </c>
      <c r="S26" s="124">
        <f>+$D$26*q17a!$D$26</f>
        <v>246607614.5</v>
      </c>
      <c r="T26" s="124">
        <f>+$E$26*q17a!$E$26</f>
        <v>258247823.13</v>
      </c>
      <c r="U26" s="124">
        <f>+$F$26*q17a!$F$26</f>
        <v>275644770.80000001</v>
      </c>
      <c r="V26" s="124">
        <f>+$G$26*q17a!$G$26</f>
        <v>296500323.78000003</v>
      </c>
      <c r="W26" s="124">
        <f>+$H$26*q17a!$H$26</f>
        <v>321905706.5</v>
      </c>
      <c r="X26" s="124">
        <f>+$I$26*q17a!$I$26</f>
        <v>343645006.89999998</v>
      </c>
      <c r="Y26" s="124">
        <f>+$J$26*q17a!$J$26</f>
        <v>357337177.69999999</v>
      </c>
      <c r="Z26" s="124">
        <f>+$K$26*q17a!$K$26</f>
        <v>380971877.52000004</v>
      </c>
      <c r="AA26" s="124">
        <f>+$L$26*q17a!$L$26</f>
        <v>429870380.94</v>
      </c>
      <c r="AB26" s="124">
        <f>+$M$26*q17a!$M$26</f>
        <v>468864246.39000005</v>
      </c>
      <c r="AE26" s="56" t="s">
        <v>61</v>
      </c>
      <c r="AF26" s="54" t="s">
        <v>45</v>
      </c>
      <c r="AG26" s="124">
        <f>+$C$26*q17a!$C$26</f>
        <v>239520840.56999999</v>
      </c>
      <c r="AH26" s="124">
        <f>+$D$26*q17a!$D$26</f>
        <v>246607614.5</v>
      </c>
      <c r="AI26" s="124">
        <f>+$E$26*q17a!$E$26</f>
        <v>258247823.13</v>
      </c>
      <c r="AJ26" s="124">
        <f>+$F$26*q17a!$F$26</f>
        <v>275644770.80000001</v>
      </c>
      <c r="AK26" s="124">
        <f>+$G$26*q17a!$G$26</f>
        <v>296500323.78000003</v>
      </c>
      <c r="AL26" s="124">
        <f>+$H$26*q17a!$H$26</f>
        <v>321905706.5</v>
      </c>
      <c r="AM26" s="124">
        <f>+$I$26*q17a!$I$26</f>
        <v>343645006.89999998</v>
      </c>
      <c r="AN26" s="124">
        <f>+$J$26*q17a!$J$26</f>
        <v>357337177.69999999</v>
      </c>
      <c r="AO26" s="124">
        <f>+$K$26*q17a!$K$26</f>
        <v>380971877.52000004</v>
      </c>
      <c r="AP26" s="124">
        <f>+$L$26*q17a!$L$26</f>
        <v>429870380.94</v>
      </c>
      <c r="AQ26" s="124">
        <f>+$M$26*q17a!$M$26</f>
        <v>468864246.39000005</v>
      </c>
    </row>
    <row r="27" spans="1:43" s="124" customFormat="1" ht="12.75" customHeight="1">
      <c r="A27" s="57"/>
      <c r="B27" s="58" t="str">
        <f>+'q26'!B27</f>
        <v>H</v>
      </c>
      <c r="C27" s="391">
        <f>+'q26'!C27</f>
        <v>1091.1199999999999</v>
      </c>
      <c r="D27" s="391">
        <f>+'q26'!D27</f>
        <v>1076.23</v>
      </c>
      <c r="E27" s="391">
        <f>+'q26'!E27</f>
        <v>1082.27</v>
      </c>
      <c r="F27" s="391">
        <f>+'q26'!F27</f>
        <v>1093.83</v>
      </c>
      <c r="G27" s="391">
        <f>+'q26'!G27</f>
        <v>1116.73</v>
      </c>
      <c r="H27" s="391">
        <f>+'q26'!H27</f>
        <v>1150.45</v>
      </c>
      <c r="I27" s="391">
        <f>+'q26'!I27</f>
        <v>1199.77</v>
      </c>
      <c r="J27" s="391">
        <f>+'q26'!J27</f>
        <v>1236.26</v>
      </c>
      <c r="K27" s="391">
        <f>+'q26'!K27</f>
        <v>1275.57</v>
      </c>
      <c r="L27" s="391">
        <f>+'q26'!L27</f>
        <v>1340.51</v>
      </c>
      <c r="M27" s="391">
        <f>+'q26'!M27</f>
        <v>1429.47</v>
      </c>
      <c r="N27" s="226"/>
      <c r="O27" s="298"/>
      <c r="P27" s="57"/>
      <c r="Q27" s="58" t="s">
        <v>53</v>
      </c>
      <c r="R27" s="124">
        <f>+$C$27*q17a!$C$27</f>
        <v>144249337.35999998</v>
      </c>
      <c r="S27" s="124">
        <f>+$D$27*q17a!$D$27</f>
        <v>146877413.02000001</v>
      </c>
      <c r="T27" s="124">
        <f>+$E$27*q17a!$E$27</f>
        <v>152510241.59</v>
      </c>
      <c r="U27" s="124">
        <f>+$F$27*q17a!$F$27</f>
        <v>161503999.5</v>
      </c>
      <c r="V27" s="124">
        <f>+$G$27*q17a!$G$27</f>
        <v>173256192.58000001</v>
      </c>
      <c r="W27" s="124">
        <f>+$H$27*q17a!$H$27</f>
        <v>187289808.65000001</v>
      </c>
      <c r="X27" s="124">
        <f>+$I$27*q17a!$I$27</f>
        <v>199759305.46000001</v>
      </c>
      <c r="Y27" s="124">
        <f>+$J$27*q17a!$J$27</f>
        <v>207008028.22</v>
      </c>
      <c r="Z27" s="124">
        <f>+$K$27*q17a!$K$27</f>
        <v>217968126.03</v>
      </c>
      <c r="AA27" s="124">
        <f>+$L$27*q17a!$L$27</f>
        <v>244744953.75999999</v>
      </c>
      <c r="AB27" s="124">
        <f>+$M$27*q17a!$M$27</f>
        <v>266028655.41</v>
      </c>
      <c r="AE27" s="57"/>
      <c r="AF27" s="58" t="s">
        <v>53</v>
      </c>
      <c r="AG27" s="124">
        <f>+$C$27*q17a!$C$27</f>
        <v>144249337.35999998</v>
      </c>
      <c r="AH27" s="124">
        <f>+$D$27*q17a!$D$27</f>
        <v>146877413.02000001</v>
      </c>
      <c r="AI27" s="124">
        <f>+$E$27*q17a!$E$27</f>
        <v>152510241.59</v>
      </c>
      <c r="AJ27" s="124">
        <f>+$F$27*q17a!$F$27</f>
        <v>161503999.5</v>
      </c>
      <c r="AK27" s="124">
        <f>+$G$27*q17a!$G$27</f>
        <v>173256192.58000001</v>
      </c>
      <c r="AL27" s="124">
        <f>+$H$27*q17a!$H$27</f>
        <v>187289808.65000001</v>
      </c>
      <c r="AM27" s="124">
        <f>+$I$27*q17a!$I$27</f>
        <v>199759305.46000001</v>
      </c>
      <c r="AN27" s="124">
        <f>+$J$27*q17a!$J$27</f>
        <v>207008028.22</v>
      </c>
      <c r="AO27" s="124">
        <f>+$K$27*q17a!$K$27</f>
        <v>217968126.03</v>
      </c>
      <c r="AP27" s="124">
        <f>+$L$27*q17a!$L$27</f>
        <v>244744953.75999999</v>
      </c>
      <c r="AQ27" s="124">
        <f>+$M$27*q17a!$M$27</f>
        <v>266028655.41</v>
      </c>
    </row>
    <row r="28" spans="1:43" s="124" customFormat="1" ht="12.75" customHeight="1">
      <c r="A28" s="56"/>
      <c r="B28" s="58" t="str">
        <f>+'q26'!B28</f>
        <v>M</v>
      </c>
      <c r="C28" s="391">
        <f>+'q26'!C28</f>
        <v>843.44</v>
      </c>
      <c r="D28" s="391">
        <f>+'q26'!D28</f>
        <v>850.93</v>
      </c>
      <c r="E28" s="391">
        <f>+'q26'!E28</f>
        <v>860.36</v>
      </c>
      <c r="F28" s="391">
        <f>+'q26'!F28</f>
        <v>882.31</v>
      </c>
      <c r="G28" s="391">
        <f>+'q26'!G28</f>
        <v>912.79</v>
      </c>
      <c r="H28" s="391">
        <f>+'q26'!H28</f>
        <v>951.03</v>
      </c>
      <c r="I28" s="391">
        <f>+'q26'!I28</f>
        <v>994.55</v>
      </c>
      <c r="J28" s="391">
        <f>+'q26'!J28</f>
        <v>1033.07</v>
      </c>
      <c r="K28" s="391">
        <f>+'q26'!K28</f>
        <v>1074.32</v>
      </c>
      <c r="L28" s="391">
        <f>+'q26'!L28</f>
        <v>1133.06</v>
      </c>
      <c r="M28" s="391">
        <f>+'q26'!M28</f>
        <v>1218.1199999999999</v>
      </c>
      <c r="N28" s="226"/>
      <c r="O28" s="298"/>
      <c r="P28" s="56"/>
      <c r="Q28" s="58" t="s">
        <v>54</v>
      </c>
      <c r="R28" s="124">
        <f>+$C$28*q17a!$C$28</f>
        <v>95269921.760000005</v>
      </c>
      <c r="S28" s="124">
        <f>+$D$28*q17a!$D$28</f>
        <v>99729846.929999992</v>
      </c>
      <c r="T28" s="124">
        <f>+$E$28*q17a!$E$28</f>
        <v>105738244</v>
      </c>
      <c r="U28" s="124">
        <f>+$F$28*q17a!$F$28</f>
        <v>114140915.45999999</v>
      </c>
      <c r="V28" s="124">
        <f>+$G$28*q17a!$G$28</f>
        <v>123244905.8</v>
      </c>
      <c r="W28" s="124">
        <f>+$H$28*q17a!$H$28</f>
        <v>134616394.44</v>
      </c>
      <c r="X28" s="124">
        <f>+$I$28*q17a!$I$28</f>
        <v>143887515.79999998</v>
      </c>
      <c r="Y28" s="124">
        <f>+$J$28*q17a!$J$28</f>
        <v>150330280.25999999</v>
      </c>
      <c r="Z28" s="124">
        <f>+$K$28*q17a!$K$28</f>
        <v>163003350.63999999</v>
      </c>
      <c r="AA28" s="124">
        <f>+$L$28*q17a!$L$28</f>
        <v>185125008.09999999</v>
      </c>
      <c r="AB28" s="124">
        <f>+$M$28*q17a!$M$28</f>
        <v>202834033.67999998</v>
      </c>
      <c r="AE28" s="56"/>
      <c r="AF28" s="58" t="s">
        <v>54</v>
      </c>
      <c r="AG28" s="124">
        <f>+$C$28*q17a!$C$28</f>
        <v>95269921.760000005</v>
      </c>
      <c r="AH28" s="124">
        <f>+$D$28*q17a!$D$28</f>
        <v>99729846.929999992</v>
      </c>
      <c r="AI28" s="124">
        <f>+$E$28*q17a!$E$28</f>
        <v>105738244</v>
      </c>
      <c r="AJ28" s="124">
        <f>+$F$28*q17a!$F$28</f>
        <v>114140915.45999999</v>
      </c>
      <c r="AK28" s="124">
        <f>+$G$28*q17a!$G$28</f>
        <v>123244905.8</v>
      </c>
      <c r="AL28" s="124">
        <f>+$H$28*q17a!$H$28</f>
        <v>134616394.44</v>
      </c>
      <c r="AM28" s="124">
        <f>+$I$28*q17a!$I$28</f>
        <v>143887515.79999998</v>
      </c>
      <c r="AN28" s="124">
        <f>+$J$28*q17a!$J$28</f>
        <v>150330280.25999999</v>
      </c>
      <c r="AO28" s="124">
        <f>+$K$28*q17a!$K$28</f>
        <v>163003350.63999999</v>
      </c>
      <c r="AP28" s="124">
        <f>+$L$28*q17a!$L$28</f>
        <v>185125008.09999999</v>
      </c>
      <c r="AQ28" s="124">
        <f>+$M$28*q17a!$M$28</f>
        <v>202834033.67999998</v>
      </c>
    </row>
    <row r="29" spans="1:43" s="124" customFormat="1" ht="16.5" customHeight="1">
      <c r="A29" s="56" t="str">
        <f>+'q26'!A29</f>
        <v>50-54 anos</v>
      </c>
      <c r="B29" s="54" t="str">
        <f>+'q26'!B29</f>
        <v>T</v>
      </c>
      <c r="C29" s="389">
        <f>+'q26'!C29</f>
        <v>988.1</v>
      </c>
      <c r="D29" s="389">
        <f>+'q26'!D29</f>
        <v>978.4</v>
      </c>
      <c r="E29" s="389">
        <f>+'q26'!E29</f>
        <v>979.79</v>
      </c>
      <c r="F29" s="389">
        <f>+'q26'!F29</f>
        <v>986.96</v>
      </c>
      <c r="G29" s="389">
        <f>+'q26'!G29</f>
        <v>1000</v>
      </c>
      <c r="H29" s="389">
        <f>+'q26'!H29</f>
        <v>1025.5</v>
      </c>
      <c r="I29" s="389">
        <f>+'q26'!I29</f>
        <v>1054.3599999999999</v>
      </c>
      <c r="J29" s="389">
        <f>+'q26'!J29</f>
        <v>1089.8499999999999</v>
      </c>
      <c r="K29" s="389">
        <f>+'q26'!K29</f>
        <v>1131.56</v>
      </c>
      <c r="L29" s="389">
        <f>+'q26'!L29</f>
        <v>1202.0999999999999</v>
      </c>
      <c r="M29" s="389">
        <f>+'q26'!M29</f>
        <v>1295.8499999999999</v>
      </c>
      <c r="N29" s="226"/>
      <c r="O29" s="298"/>
      <c r="P29" s="56" t="s">
        <v>62</v>
      </c>
      <c r="Q29" s="54" t="s">
        <v>45</v>
      </c>
      <c r="R29" s="124">
        <f>+$C$29*q17a!$C$29</f>
        <v>194527247</v>
      </c>
      <c r="S29" s="124">
        <f>+$D$29*q17a!$D$29</f>
        <v>200543626.40000001</v>
      </c>
      <c r="T29" s="124">
        <f>+$E$29*q17a!$E$29</f>
        <v>211343642.37</v>
      </c>
      <c r="U29" s="124">
        <f>+$F$29*q17a!$F$29</f>
        <v>225943765.84</v>
      </c>
      <c r="V29" s="124">
        <f>+$G$29*q17a!$G$29</f>
        <v>240195000</v>
      </c>
      <c r="W29" s="124">
        <f>+$H$29*q17a!$H$29</f>
        <v>258227053</v>
      </c>
      <c r="X29" s="124">
        <f>+$I$29*q17a!$I$29</f>
        <v>267975083.23999998</v>
      </c>
      <c r="Y29" s="124">
        <f>+$J$29*q17a!$J$29</f>
        <v>275045444.5</v>
      </c>
      <c r="Z29" s="124">
        <f>+$K$29*q17a!$K$29</f>
        <v>297079762.39999998</v>
      </c>
      <c r="AA29" s="124">
        <f>+$L$29*q17a!$L$29</f>
        <v>341461313.39999998</v>
      </c>
      <c r="AB29" s="124">
        <f>+$M$29*q17a!$M$29</f>
        <v>384727498.19999999</v>
      </c>
      <c r="AE29" s="56" t="s">
        <v>62</v>
      </c>
      <c r="AF29" s="54" t="s">
        <v>45</v>
      </c>
      <c r="AG29" s="124">
        <f>+$C$29*q17a!$C$29</f>
        <v>194527247</v>
      </c>
      <c r="AH29" s="124">
        <f>+$D$29*q17a!$D$29</f>
        <v>200543626.40000001</v>
      </c>
      <c r="AI29" s="124">
        <f>+$E$29*q17a!$E$29</f>
        <v>211343642.37</v>
      </c>
      <c r="AJ29" s="124">
        <f>+$F$29*q17a!$F$29</f>
        <v>225943765.84</v>
      </c>
      <c r="AK29" s="124">
        <f>+$G$29*q17a!$G$29</f>
        <v>240195000</v>
      </c>
      <c r="AL29" s="124">
        <f>+$H$29*q17a!$H$29</f>
        <v>258227053</v>
      </c>
      <c r="AM29" s="124">
        <f>+$I$29*q17a!$I$29</f>
        <v>267975083.23999998</v>
      </c>
      <c r="AN29" s="124">
        <f>+$J$29*q17a!$J$29</f>
        <v>275045444.5</v>
      </c>
      <c r="AO29" s="124">
        <f>+$K$29*q17a!$K$29</f>
        <v>297079762.39999998</v>
      </c>
      <c r="AP29" s="124">
        <f>+$L$29*q17a!$L$29</f>
        <v>341461313.39999998</v>
      </c>
      <c r="AQ29" s="124">
        <f>+$M$29*q17a!$M$29</f>
        <v>384727498.19999999</v>
      </c>
    </row>
    <row r="30" spans="1:43" s="124" customFormat="1" ht="12.75" customHeight="1">
      <c r="A30" s="57"/>
      <c r="B30" s="58" t="str">
        <f>+'q26'!B30</f>
        <v>H</v>
      </c>
      <c r="C30" s="391">
        <f>+'q26'!C30</f>
        <v>1114.07</v>
      </c>
      <c r="D30" s="391">
        <f>+'q26'!D30</f>
        <v>1098.48</v>
      </c>
      <c r="E30" s="391">
        <f>+'q26'!E30</f>
        <v>1097.54</v>
      </c>
      <c r="F30" s="391">
        <f>+'q26'!F30</f>
        <v>1097.47</v>
      </c>
      <c r="G30" s="391">
        <f>+'q26'!G30</f>
        <v>1104.9000000000001</v>
      </c>
      <c r="H30" s="391">
        <f>+'q26'!H30</f>
        <v>1126.51</v>
      </c>
      <c r="I30" s="391">
        <f>+'q26'!I30</f>
        <v>1153.17</v>
      </c>
      <c r="J30" s="391">
        <f>+'q26'!J30</f>
        <v>1187.74</v>
      </c>
      <c r="K30" s="391">
        <f>+'q26'!K30</f>
        <v>1230.9000000000001</v>
      </c>
      <c r="L30" s="391">
        <f>+'q26'!L30</f>
        <v>1309.68</v>
      </c>
      <c r="M30" s="391">
        <f>+'q26'!M30</f>
        <v>1407.92</v>
      </c>
      <c r="N30" s="226"/>
      <c r="O30" s="298"/>
      <c r="P30" s="57"/>
      <c r="Q30" s="58" t="s">
        <v>53</v>
      </c>
      <c r="R30" s="124">
        <f>+$C$30*q17a!$C$30</f>
        <v>122260269.94</v>
      </c>
      <c r="S30" s="124">
        <f>+$D$30*q17a!$D$30</f>
        <v>125041076.88</v>
      </c>
      <c r="T30" s="124">
        <f>+$E$30*q17a!$E$30</f>
        <v>130718111.53999999</v>
      </c>
      <c r="U30" s="124">
        <f>+$F$30*q17a!$F$30</f>
        <v>138268050.36000001</v>
      </c>
      <c r="V30" s="124">
        <f>+$G$30*q17a!$G$30</f>
        <v>146251193.40000001</v>
      </c>
      <c r="W30" s="124">
        <f>+$H$30*q17a!$H$30</f>
        <v>156205256.13</v>
      </c>
      <c r="X30" s="124">
        <f>+$I$30*q17a!$I$30</f>
        <v>160780727.25</v>
      </c>
      <c r="Y30" s="124">
        <f>+$J$30*q17a!$J$30</f>
        <v>164618388.52000001</v>
      </c>
      <c r="Z30" s="124">
        <f>+$K$30*q17a!$K$30</f>
        <v>175170609.90000001</v>
      </c>
      <c r="AA30" s="124">
        <f>+$L$30*q17a!$L$30</f>
        <v>200578801.68000001</v>
      </c>
      <c r="AB30" s="124">
        <f>+$M$30*q17a!$M$30</f>
        <v>224399921.28</v>
      </c>
      <c r="AE30" s="57"/>
      <c r="AF30" s="58" t="s">
        <v>53</v>
      </c>
      <c r="AG30" s="124">
        <f>+$C$30*q17a!$C$30</f>
        <v>122260269.94</v>
      </c>
      <c r="AH30" s="124">
        <f>+$D$30*q17a!$D$30</f>
        <v>125041076.88</v>
      </c>
      <c r="AI30" s="124">
        <f>+$E$30*q17a!$E$30</f>
        <v>130718111.53999999</v>
      </c>
      <c r="AJ30" s="124">
        <f>+$F$30*q17a!$F$30</f>
        <v>138268050.36000001</v>
      </c>
      <c r="AK30" s="124">
        <f>+$G$30*q17a!$G$30</f>
        <v>146251193.40000001</v>
      </c>
      <c r="AL30" s="124">
        <f>+$H$30*q17a!$H$30</f>
        <v>156205256.13</v>
      </c>
      <c r="AM30" s="124">
        <f>+$I$30*q17a!$I$30</f>
        <v>160780727.25</v>
      </c>
      <c r="AN30" s="124">
        <f>+$J$30*q17a!$J$30</f>
        <v>164618388.52000001</v>
      </c>
      <c r="AO30" s="124">
        <f>+$K$30*q17a!$K$30</f>
        <v>175170609.90000001</v>
      </c>
      <c r="AP30" s="124">
        <f>+$L$30*q17a!$L$30</f>
        <v>200578801.68000001</v>
      </c>
      <c r="AQ30" s="124">
        <f>+$M$30*q17a!$M$30</f>
        <v>224399921.28</v>
      </c>
    </row>
    <row r="31" spans="1:43" s="124" customFormat="1" ht="12.75" customHeight="1">
      <c r="A31" s="56"/>
      <c r="B31" s="58" t="str">
        <f>+'q26'!B31</f>
        <v>M</v>
      </c>
      <c r="C31" s="391">
        <f>+'q26'!C31</f>
        <v>829.44</v>
      </c>
      <c r="D31" s="391">
        <f>+'q26'!D31</f>
        <v>828.43</v>
      </c>
      <c r="E31" s="391">
        <f>+'q26'!E31</f>
        <v>834.62</v>
      </c>
      <c r="F31" s="391">
        <f>+'q26'!F31</f>
        <v>851.7</v>
      </c>
      <c r="G31" s="391">
        <f>+'q26'!G31</f>
        <v>871.22</v>
      </c>
      <c r="H31" s="391">
        <f>+'q26'!H31</f>
        <v>901.7</v>
      </c>
      <c r="I31" s="391">
        <f>+'q26'!I31</f>
        <v>934.28</v>
      </c>
      <c r="J31" s="391">
        <f>+'q26'!J31</f>
        <v>970.6</v>
      </c>
      <c r="K31" s="391">
        <f>+'q26'!K31</f>
        <v>1013.97</v>
      </c>
      <c r="L31" s="391">
        <f>+'q26'!L31</f>
        <v>1076.23</v>
      </c>
      <c r="M31" s="391">
        <f>+'q26'!M31</f>
        <v>1165.96</v>
      </c>
      <c r="N31" s="226"/>
      <c r="O31" s="298"/>
      <c r="P31" s="56"/>
      <c r="Q31" s="58" t="s">
        <v>54</v>
      </c>
      <c r="R31" s="124">
        <f>+$C$31*q17a!$C$31</f>
        <v>72267448.320000008</v>
      </c>
      <c r="S31" s="124">
        <f>+$D$31*q17a!$D$31</f>
        <v>75503110.199999988</v>
      </c>
      <c r="T31" s="124">
        <f>+$E$31*q17a!$E$31</f>
        <v>80625961.239999995</v>
      </c>
      <c r="U31" s="124">
        <f>+$F$31*q17a!$F$31</f>
        <v>87674849.700000003</v>
      </c>
      <c r="V31" s="124">
        <f>+$G$31*q17a!$G$31</f>
        <v>93942781.38000001</v>
      </c>
      <c r="W31" s="124">
        <f>+$H$31*q17a!$H$31</f>
        <v>102021043.10000001</v>
      </c>
      <c r="X31" s="124">
        <f>+$I$31*q17a!$I$31</f>
        <v>107193681.52</v>
      </c>
      <c r="Y31" s="124">
        <f>+$J$31*q17a!$J$31</f>
        <v>110427103.2</v>
      </c>
      <c r="Z31" s="124">
        <f>+$K$31*q17a!$K$31</f>
        <v>121908599.13000001</v>
      </c>
      <c r="AA31" s="124">
        <f>+$L$31*q17a!$L$31</f>
        <v>140881735.69</v>
      </c>
      <c r="AB31" s="124">
        <f>+$M$31*q17a!$M$31</f>
        <v>160328827.68000001</v>
      </c>
      <c r="AE31" s="56"/>
      <c r="AF31" s="58" t="s">
        <v>54</v>
      </c>
      <c r="AG31" s="124">
        <f>+$C$31*q17a!$C$31</f>
        <v>72267448.320000008</v>
      </c>
      <c r="AH31" s="124">
        <f>+$D$31*q17a!$D$31</f>
        <v>75503110.199999988</v>
      </c>
      <c r="AI31" s="124">
        <f>+$E$31*q17a!$E$31</f>
        <v>80625961.239999995</v>
      </c>
      <c r="AJ31" s="124">
        <f>+$F$31*q17a!$F$31</f>
        <v>87674849.700000003</v>
      </c>
      <c r="AK31" s="124">
        <f>+$G$31*q17a!$G$31</f>
        <v>93942781.38000001</v>
      </c>
      <c r="AL31" s="124">
        <f>+$H$31*q17a!$H$31</f>
        <v>102021043.10000001</v>
      </c>
      <c r="AM31" s="124">
        <f>+$I$31*q17a!$I$31</f>
        <v>107193681.52</v>
      </c>
      <c r="AN31" s="124">
        <f>+$J$31*q17a!$J$31</f>
        <v>110427103.2</v>
      </c>
      <c r="AO31" s="124">
        <f>+$K$31*q17a!$K$31</f>
        <v>121908599.13000001</v>
      </c>
      <c r="AP31" s="124">
        <f>+$L$31*q17a!$L$31</f>
        <v>140881735.69</v>
      </c>
      <c r="AQ31" s="124">
        <f>+$M$31*q17a!$M$31</f>
        <v>160328827.68000001</v>
      </c>
    </row>
    <row r="32" spans="1:43" s="124" customFormat="1" ht="16.5" customHeight="1">
      <c r="A32" s="56" t="str">
        <f>+'q26'!A32</f>
        <v>55-59 anos</v>
      </c>
      <c r="B32" s="54" t="str">
        <f>+'q26'!B32</f>
        <v>T</v>
      </c>
      <c r="C32" s="389">
        <f>+'q26'!C32</f>
        <v>1043.6600000000001</v>
      </c>
      <c r="D32" s="389">
        <f>+'q26'!D32</f>
        <v>1018.84</v>
      </c>
      <c r="E32" s="389">
        <f>+'q26'!E32</f>
        <v>1012.16</v>
      </c>
      <c r="F32" s="389">
        <f>+'q26'!F32</f>
        <v>1007.4</v>
      </c>
      <c r="G32" s="389">
        <f>+'q26'!G32</f>
        <v>1005.95</v>
      </c>
      <c r="H32" s="389">
        <f>+'q26'!H32</f>
        <v>1021.53</v>
      </c>
      <c r="I32" s="389">
        <f>+'q26'!I32</f>
        <v>1037.1300000000001</v>
      </c>
      <c r="J32" s="389">
        <f>+'q26'!J32</f>
        <v>1071.18</v>
      </c>
      <c r="K32" s="389">
        <f>+'q26'!K32</f>
        <v>1100.1400000000001</v>
      </c>
      <c r="L32" s="389">
        <f>+'q26'!L32</f>
        <v>1152.24</v>
      </c>
      <c r="M32" s="389">
        <f>+'q26'!M32</f>
        <v>1236.27</v>
      </c>
      <c r="N32" s="226"/>
      <c r="O32" s="298"/>
      <c r="P32" s="56" t="s">
        <v>63</v>
      </c>
      <c r="Q32" s="54" t="s">
        <v>45</v>
      </c>
      <c r="R32" s="124">
        <f>+$C$32*q17a!$C$32</f>
        <v>140345134.84</v>
      </c>
      <c r="S32" s="124">
        <f>+$D$32*q17a!$D$32</f>
        <v>147956963.64000002</v>
      </c>
      <c r="T32" s="124">
        <f>+$E$32*q17a!$E$32</f>
        <v>157074073.91999999</v>
      </c>
      <c r="U32" s="124">
        <f>+$F$32*q17a!$F$32</f>
        <v>166422480</v>
      </c>
      <c r="V32" s="124">
        <f>+$G$32*q17a!$G$32</f>
        <v>178424345.55000001</v>
      </c>
      <c r="W32" s="124">
        <f>+$H$32*q17a!$H$32</f>
        <v>193027287.26999998</v>
      </c>
      <c r="X32" s="124">
        <f>+$I$32*q17a!$I$32</f>
        <v>201436574.25000003</v>
      </c>
      <c r="Y32" s="124">
        <f>+$J$32*q17a!$J$32</f>
        <v>209893436.28</v>
      </c>
      <c r="Z32" s="124">
        <f>+$K$32*q17a!$K$32</f>
        <v>225027036.16000003</v>
      </c>
      <c r="AA32" s="124">
        <f>+$L$32*q17a!$L$32</f>
        <v>254534424.96000001</v>
      </c>
      <c r="AB32" s="124">
        <f>+$M$32*q17a!$M$32</f>
        <v>286049388.87</v>
      </c>
      <c r="AE32" s="56" t="s">
        <v>63</v>
      </c>
      <c r="AF32" s="54" t="s">
        <v>45</v>
      </c>
      <c r="AG32" s="124">
        <f>+$C$32*q17a!$C$32</f>
        <v>140345134.84</v>
      </c>
      <c r="AH32" s="124">
        <f>+$D$32*q17a!$D$32</f>
        <v>147956963.64000002</v>
      </c>
      <c r="AI32" s="124">
        <f>+$E$32*q17a!$E$32</f>
        <v>157074073.91999999</v>
      </c>
      <c r="AJ32" s="124">
        <f>+$F$32*q17a!$F$32</f>
        <v>166422480</v>
      </c>
      <c r="AK32" s="124">
        <f>+$G$32*q17a!$G$32</f>
        <v>178424345.55000001</v>
      </c>
      <c r="AL32" s="124">
        <f>+$H$32*q17a!$H$32</f>
        <v>193027287.26999998</v>
      </c>
      <c r="AM32" s="124">
        <f>+$I$32*q17a!$I$32</f>
        <v>201436574.25000003</v>
      </c>
      <c r="AN32" s="124">
        <f>+$J$32*q17a!$J$32</f>
        <v>209893436.28</v>
      </c>
      <c r="AO32" s="124">
        <f>+$K$32*q17a!$K$32</f>
        <v>225027036.16000003</v>
      </c>
      <c r="AP32" s="124">
        <f>+$L$32*q17a!$L$32</f>
        <v>254534424.96000001</v>
      </c>
      <c r="AQ32" s="124">
        <f>+$M$32*q17a!$M$32</f>
        <v>286049388.87</v>
      </c>
    </row>
    <row r="33" spans="1:43" s="124" customFormat="1" ht="12.75" customHeight="1">
      <c r="A33" s="57"/>
      <c r="B33" s="58" t="str">
        <f>+'q26'!B33</f>
        <v>H</v>
      </c>
      <c r="C33" s="391">
        <f>+'q26'!C33</f>
        <v>1184.69</v>
      </c>
      <c r="D33" s="391">
        <f>+'q26'!D33</f>
        <v>1145.02</v>
      </c>
      <c r="E33" s="391">
        <f>+'q26'!E33</f>
        <v>1133.47</v>
      </c>
      <c r="F33" s="391">
        <f>+'q26'!F33</f>
        <v>1123.44</v>
      </c>
      <c r="G33" s="391">
        <f>+'q26'!G33</f>
        <v>1112.03</v>
      </c>
      <c r="H33" s="391">
        <f>+'q26'!H33</f>
        <v>1125.8</v>
      </c>
      <c r="I33" s="391">
        <f>+'q26'!I33</f>
        <v>1142.6500000000001</v>
      </c>
      <c r="J33" s="391">
        <f>+'q26'!J33</f>
        <v>1177.1400000000001</v>
      </c>
      <c r="K33" s="391">
        <f>+'q26'!K33</f>
        <v>1202.8699999999999</v>
      </c>
      <c r="L33" s="391">
        <f>+'q26'!L33</f>
        <v>1262.48</v>
      </c>
      <c r="M33" s="391">
        <f>+'q26'!M33</f>
        <v>1350.02</v>
      </c>
      <c r="N33" s="226"/>
      <c r="O33" s="298"/>
      <c r="P33" s="57"/>
      <c r="Q33" s="58" t="s">
        <v>53</v>
      </c>
      <c r="R33" s="124">
        <f>+$C$33*q17a!$C$33</f>
        <v>93755181.910000011</v>
      </c>
      <c r="S33" s="124">
        <f>+$D$33*q17a!$D$33</f>
        <v>96669458.519999996</v>
      </c>
      <c r="T33" s="124">
        <f>+$E$33*q17a!$E$33</f>
        <v>101210936.71000001</v>
      </c>
      <c r="U33" s="124">
        <f>+$F$33*q17a!$F$33</f>
        <v>106087562.64</v>
      </c>
      <c r="V33" s="124">
        <f>+$G$33*q17a!$G$33</f>
        <v>113224670.53999999</v>
      </c>
      <c r="W33" s="124">
        <f>+$H$33*q17a!$H$33</f>
        <v>121754144.19999999</v>
      </c>
      <c r="X33" s="124">
        <f>+$I$33*q17a!$I$33</f>
        <v>126621617.10000001</v>
      </c>
      <c r="Y33" s="124">
        <f>+$J$33*q17a!$J$33</f>
        <v>131365292.58000001</v>
      </c>
      <c r="Z33" s="124">
        <f>+$K$33*q17a!$K$33</f>
        <v>138444322.64999998</v>
      </c>
      <c r="AA33" s="124">
        <f>+$L$33*q17a!$L$33</f>
        <v>154997194.56</v>
      </c>
      <c r="AB33" s="124">
        <f>+$M$33*q17a!$M$33</f>
        <v>173130614.85999998</v>
      </c>
      <c r="AE33" s="57"/>
      <c r="AF33" s="58" t="s">
        <v>53</v>
      </c>
      <c r="AG33" s="124">
        <f>+$C$33*q17a!$C$33</f>
        <v>93755181.910000011</v>
      </c>
      <c r="AH33" s="124">
        <f>+$D$33*q17a!$D$33</f>
        <v>96669458.519999996</v>
      </c>
      <c r="AI33" s="124">
        <f>+$E$33*q17a!$E$33</f>
        <v>101210936.71000001</v>
      </c>
      <c r="AJ33" s="124">
        <f>+$F$33*q17a!$F$33</f>
        <v>106087562.64</v>
      </c>
      <c r="AK33" s="124">
        <f>+$G$33*q17a!$G$33</f>
        <v>113224670.53999999</v>
      </c>
      <c r="AL33" s="124">
        <f>+$H$33*q17a!$H$33</f>
        <v>121754144.19999999</v>
      </c>
      <c r="AM33" s="124">
        <f>+$I$33*q17a!$I$33</f>
        <v>126621617.10000001</v>
      </c>
      <c r="AN33" s="124">
        <f>+$J$33*q17a!$J$33</f>
        <v>131365292.58000001</v>
      </c>
      <c r="AO33" s="124">
        <f>+$K$33*q17a!$K$33</f>
        <v>138444322.64999998</v>
      </c>
      <c r="AP33" s="124">
        <f>+$L$33*q17a!$L$33</f>
        <v>154997194.56</v>
      </c>
      <c r="AQ33" s="124">
        <f>+$M$33*q17a!$M$33</f>
        <v>173130614.85999998</v>
      </c>
    </row>
    <row r="34" spans="1:43" s="124" customFormat="1" ht="12.75" customHeight="1">
      <c r="A34" s="56"/>
      <c r="B34" s="58" t="str">
        <f>+'q26'!B34</f>
        <v>M</v>
      </c>
      <c r="C34" s="391">
        <f>+'q26'!C34</f>
        <v>841.95</v>
      </c>
      <c r="D34" s="391">
        <f>+'q26'!D34</f>
        <v>843.61</v>
      </c>
      <c r="E34" s="391">
        <f>+'q26'!E34</f>
        <v>847.77</v>
      </c>
      <c r="F34" s="391">
        <f>+'q26'!F34</f>
        <v>852.56</v>
      </c>
      <c r="G34" s="391">
        <f>+'q26'!G34</f>
        <v>863</v>
      </c>
      <c r="H34" s="391">
        <f>+'q26'!H34</f>
        <v>881.97</v>
      </c>
      <c r="I34" s="391">
        <f>+'q26'!I34</f>
        <v>896.93</v>
      </c>
      <c r="J34" s="391">
        <f>+'q26'!J34</f>
        <v>931</v>
      </c>
      <c r="K34" s="391">
        <f>+'q26'!K34</f>
        <v>967.95</v>
      </c>
      <c r="L34" s="391">
        <f>+'q26'!L34</f>
        <v>1014.33</v>
      </c>
      <c r="M34" s="391">
        <f>+'q26'!M34</f>
        <v>1094.8399999999999</v>
      </c>
      <c r="N34" s="226"/>
      <c r="O34" s="298"/>
      <c r="P34" s="56"/>
      <c r="Q34" s="58" t="s">
        <v>54</v>
      </c>
      <c r="R34" s="124">
        <f>+$C$34*q17a!$C$34</f>
        <v>46589303.25</v>
      </c>
      <c r="S34" s="124">
        <f>+$D$34*q17a!$D$34</f>
        <v>51287269.950000003</v>
      </c>
      <c r="T34" s="124">
        <f>+$E$34*q17a!$E$34</f>
        <v>55862956.379999995</v>
      </c>
      <c r="U34" s="124">
        <f>+$F$34*q17a!$F$34</f>
        <v>60334818.639999993</v>
      </c>
      <c r="V34" s="124">
        <f>+$G$34*q17a!$G$34</f>
        <v>65200513</v>
      </c>
      <c r="W34" s="124">
        <f>+$H$34*q17a!$H$34</f>
        <v>71271995.700000003</v>
      </c>
      <c r="X34" s="124">
        <f>+$I$34*q17a!$I$34</f>
        <v>74813828.229999989</v>
      </c>
      <c r="Y34" s="124">
        <f>+$J$34*q17a!$J$34</f>
        <v>78528919</v>
      </c>
      <c r="Z34" s="124">
        <f>+$K$34*q17a!$K$34</f>
        <v>86582159.549999997</v>
      </c>
      <c r="AA34" s="124">
        <f>+$L$34*q17a!$L$34</f>
        <v>99538231.560000002</v>
      </c>
      <c r="AB34" s="124">
        <f>+$M$34*q17a!$M$34</f>
        <v>112919607.91999999</v>
      </c>
      <c r="AE34" s="56"/>
      <c r="AF34" s="58" t="s">
        <v>54</v>
      </c>
      <c r="AG34" s="124">
        <f>+$C$34*q17a!$C$34</f>
        <v>46589303.25</v>
      </c>
      <c r="AH34" s="124">
        <f>+$D$34*q17a!$D$34</f>
        <v>51287269.950000003</v>
      </c>
      <c r="AI34" s="124">
        <f>+$E$34*q17a!$E$34</f>
        <v>55862956.379999995</v>
      </c>
      <c r="AJ34" s="124">
        <f>+$F$34*q17a!$F$34</f>
        <v>60334818.639999993</v>
      </c>
      <c r="AK34" s="124">
        <f>+$G$34*q17a!$G$34</f>
        <v>65200513</v>
      </c>
      <c r="AL34" s="124">
        <f>+$H$34*q17a!$H$34</f>
        <v>71271995.700000003</v>
      </c>
      <c r="AM34" s="124">
        <f>+$I$34*q17a!$I$34</f>
        <v>74813828.229999989</v>
      </c>
      <c r="AN34" s="124">
        <f>+$J$34*q17a!$J$34</f>
        <v>78528919</v>
      </c>
      <c r="AO34" s="124">
        <f>+$K$34*q17a!$K$34</f>
        <v>86582159.549999997</v>
      </c>
      <c r="AP34" s="124">
        <f>+$L$34*q17a!$L$34</f>
        <v>99538231.560000002</v>
      </c>
      <c r="AQ34" s="124">
        <f>+$M$34*q17a!$M$34</f>
        <v>112919607.91999999</v>
      </c>
    </row>
    <row r="35" spans="1:43" s="124" customFormat="1" ht="16.5" customHeight="1">
      <c r="A35" s="56" t="str">
        <f>+'q26'!A35</f>
        <v>60-64 anos</v>
      </c>
      <c r="B35" s="54" t="str">
        <f>+'q26'!B35</f>
        <v>T</v>
      </c>
      <c r="C35" s="389">
        <f>+'q26'!C35</f>
        <v>1051.71</v>
      </c>
      <c r="D35" s="389">
        <f>+'q26'!D35</f>
        <v>1050.3900000000001</v>
      </c>
      <c r="E35" s="389">
        <f>+'q26'!E35</f>
        <v>1059.06</v>
      </c>
      <c r="F35" s="389">
        <f>+'q26'!F35</f>
        <v>1057.99</v>
      </c>
      <c r="G35" s="389">
        <f>+'q26'!G35</f>
        <v>1062.26</v>
      </c>
      <c r="H35" s="389">
        <f>+'q26'!H35</f>
        <v>1075.3</v>
      </c>
      <c r="I35" s="389">
        <f>+'q26'!I35</f>
        <v>1087.1300000000001</v>
      </c>
      <c r="J35" s="389">
        <f>+'q26'!J35</f>
        <v>1112.21</v>
      </c>
      <c r="K35" s="389">
        <f>+'q26'!K35</f>
        <v>1124.0899999999999</v>
      </c>
      <c r="L35" s="389">
        <f>+'q26'!L35</f>
        <v>1158.8699999999999</v>
      </c>
      <c r="M35" s="389">
        <f>+'q26'!M35</f>
        <v>1222.78</v>
      </c>
      <c r="N35" s="226"/>
      <c r="O35" s="298"/>
      <c r="P35" s="56" t="s">
        <v>64</v>
      </c>
      <c r="Q35" s="54" t="s">
        <v>45</v>
      </c>
      <c r="R35" s="124">
        <f>+$C$35*q17a!$C$35</f>
        <v>62970084.539999999</v>
      </c>
      <c r="S35" s="124">
        <f>+$D$35*q17a!$D$35</f>
        <v>69712283.520000011</v>
      </c>
      <c r="T35" s="124">
        <f>+$E$35*q17a!$E$35</f>
        <v>76868692.920000002</v>
      </c>
      <c r="U35" s="124">
        <f>+$F$35*q17a!$F$35</f>
        <v>82526393.969999999</v>
      </c>
      <c r="V35" s="124">
        <f>+$G$35*q17a!$G$35</f>
        <v>93016796.900000006</v>
      </c>
      <c r="W35" s="124">
        <f>+$H$35*q17a!$H$35</f>
        <v>99352343.5</v>
      </c>
      <c r="X35" s="124">
        <f>+$I$35*q17a!$I$35</f>
        <v>105707085.55000001</v>
      </c>
      <c r="Y35" s="124">
        <f>+$J$35*q17a!$J$35</f>
        <v>110411311.12</v>
      </c>
      <c r="Z35" s="124">
        <f>+$K$35*q17a!$K$35</f>
        <v>122305488.35999998</v>
      </c>
      <c r="AA35" s="124">
        <f>+$L$35*q17a!$L$35</f>
        <v>144370865.72999999</v>
      </c>
      <c r="AB35" s="124">
        <f>+$M$35*q17a!$M$35</f>
        <v>167674930.28</v>
      </c>
      <c r="AE35" s="56" t="s">
        <v>64</v>
      </c>
      <c r="AF35" s="54" t="s">
        <v>45</v>
      </c>
      <c r="AG35" s="124">
        <f>+$C$35*q17a!$C$35</f>
        <v>62970084.539999999</v>
      </c>
      <c r="AH35" s="124">
        <f>+$D$35*q17a!$D$35</f>
        <v>69712283.520000011</v>
      </c>
      <c r="AI35" s="124">
        <f>+$E$35*q17a!$E$35</f>
        <v>76868692.920000002</v>
      </c>
      <c r="AJ35" s="124">
        <f>+$F$35*q17a!$F$35</f>
        <v>82526393.969999999</v>
      </c>
      <c r="AK35" s="124">
        <f>+$G$35*q17a!$G$35</f>
        <v>93016796.900000006</v>
      </c>
      <c r="AL35" s="124">
        <f>+$H$35*q17a!$H$35</f>
        <v>99352343.5</v>
      </c>
      <c r="AM35" s="124">
        <f>+$I$35*q17a!$I$35</f>
        <v>105707085.55000001</v>
      </c>
      <c r="AN35" s="124">
        <f>+$J$35*q17a!$J$35</f>
        <v>110411311.12</v>
      </c>
      <c r="AO35" s="124">
        <f>+$K$35*q17a!$K$35</f>
        <v>122305488.35999998</v>
      </c>
      <c r="AP35" s="124">
        <f>+$L$35*q17a!$L$35</f>
        <v>144370865.72999999</v>
      </c>
      <c r="AQ35" s="124">
        <f>+$M$35*q17a!$M$35</f>
        <v>167674930.28</v>
      </c>
    </row>
    <row r="36" spans="1:43" s="124" customFormat="1" ht="12.75" customHeight="1">
      <c r="A36" s="57"/>
      <c r="B36" s="58" t="str">
        <f>+'q26'!B36</f>
        <v>H</v>
      </c>
      <c r="C36" s="391">
        <f>+'q26'!C36</f>
        <v>1211.8699999999999</v>
      </c>
      <c r="D36" s="391">
        <f>+'q26'!D36</f>
        <v>1205.1300000000001</v>
      </c>
      <c r="E36" s="391">
        <f>+'q26'!E36</f>
        <v>1214.8499999999999</v>
      </c>
      <c r="F36" s="391">
        <f>+'q26'!F36</f>
        <v>1207.74</v>
      </c>
      <c r="G36" s="391">
        <f>+'q26'!G36</f>
        <v>1195.4000000000001</v>
      </c>
      <c r="H36" s="391">
        <f>+'q26'!H36</f>
        <v>1199.92</v>
      </c>
      <c r="I36" s="391">
        <f>+'q26'!I36</f>
        <v>1200.5999999999999</v>
      </c>
      <c r="J36" s="391">
        <f>+'q26'!J36</f>
        <v>1222.19</v>
      </c>
      <c r="K36" s="391">
        <f>+'q26'!K36</f>
        <v>1227.8599999999999</v>
      </c>
      <c r="L36" s="391">
        <f>+'q26'!L36</f>
        <v>1264.96</v>
      </c>
      <c r="M36" s="391">
        <f>+'q26'!M36</f>
        <v>1334.18</v>
      </c>
      <c r="N36" s="226"/>
      <c r="O36" s="298"/>
      <c r="P36" s="57"/>
      <c r="Q36" s="58" t="s">
        <v>53</v>
      </c>
      <c r="R36" s="124">
        <f>+$C$36*q17a!$C$36</f>
        <v>43268606.479999997</v>
      </c>
      <c r="S36" s="124">
        <f>+$D$36*q17a!$D$36</f>
        <v>47744840.340000004</v>
      </c>
      <c r="T36" s="124">
        <f>+$E$36*q17a!$E$36</f>
        <v>52414703.249999993</v>
      </c>
      <c r="U36" s="124">
        <f>+$F$36*q17a!$F$36</f>
        <v>55527054.240000002</v>
      </c>
      <c r="V36" s="124">
        <f>+$G$36*q17a!$G$36</f>
        <v>61867927.000000007</v>
      </c>
      <c r="W36" s="124">
        <f>+$H$36*q17a!$H$36</f>
        <v>64793280.160000004</v>
      </c>
      <c r="X36" s="124">
        <f>+$I$36*q17a!$I$36</f>
        <v>67719843</v>
      </c>
      <c r="Y36" s="124">
        <f>+$J$36*q17a!$J$36</f>
        <v>70272258.430000007</v>
      </c>
      <c r="Z36" s="124">
        <f>+$K$36*q17a!$K$36</f>
        <v>76891048.919999987</v>
      </c>
      <c r="AA36" s="124">
        <f>+$L$36*q17a!$L$36</f>
        <v>90239716.480000004</v>
      </c>
      <c r="AB36" s="124">
        <f>+$M$36*q17a!$M$36</f>
        <v>104088721.06</v>
      </c>
      <c r="AE36" s="57"/>
      <c r="AF36" s="58" t="s">
        <v>53</v>
      </c>
      <c r="AG36" s="124">
        <f>+$C$36*q17a!$C$36</f>
        <v>43268606.479999997</v>
      </c>
      <c r="AH36" s="124">
        <f>+$D$36*q17a!$D$36</f>
        <v>47744840.340000004</v>
      </c>
      <c r="AI36" s="124">
        <f>+$E$36*q17a!$E$36</f>
        <v>52414703.249999993</v>
      </c>
      <c r="AJ36" s="124">
        <f>+$F$36*q17a!$F$36</f>
        <v>55527054.240000002</v>
      </c>
      <c r="AK36" s="124">
        <f>+$G$36*q17a!$G$36</f>
        <v>61867927.000000007</v>
      </c>
      <c r="AL36" s="124">
        <f>+$H$36*q17a!$H$36</f>
        <v>64793280.160000004</v>
      </c>
      <c r="AM36" s="124">
        <f>+$I$36*q17a!$I$36</f>
        <v>67719843</v>
      </c>
      <c r="AN36" s="124">
        <f>+$J$36*q17a!$J$36</f>
        <v>70272258.430000007</v>
      </c>
      <c r="AO36" s="124">
        <f>+$K$36*q17a!$K$36</f>
        <v>76891048.919999987</v>
      </c>
      <c r="AP36" s="124">
        <f>+$L$36*q17a!$L$36</f>
        <v>90239716.480000004</v>
      </c>
      <c r="AQ36" s="124">
        <f>+$M$36*q17a!$M$36</f>
        <v>104088721.06</v>
      </c>
    </row>
    <row r="37" spans="1:43" s="124" customFormat="1" ht="12.75" customHeight="1">
      <c r="A37" s="56"/>
      <c r="B37" s="58" t="str">
        <f>+'q26'!B37</f>
        <v>M</v>
      </c>
      <c r="C37" s="391">
        <f>+'q26'!C37</f>
        <v>815.12</v>
      </c>
      <c r="D37" s="391">
        <f>+'q26'!D37</f>
        <v>821.21</v>
      </c>
      <c r="E37" s="391">
        <f>+'q26'!E37</f>
        <v>830.73</v>
      </c>
      <c r="F37" s="391">
        <f>+'q26'!F37</f>
        <v>843.02</v>
      </c>
      <c r="G37" s="391">
        <f>+'q26'!G37</f>
        <v>869.83</v>
      </c>
      <c r="H37" s="391">
        <f>+'q26'!H37</f>
        <v>900.03</v>
      </c>
      <c r="I37" s="391">
        <f>+'q26'!I37</f>
        <v>930.38</v>
      </c>
      <c r="J37" s="391">
        <f>+'q26'!J37</f>
        <v>960.84</v>
      </c>
      <c r="K37" s="391">
        <f>+'q26'!K37</f>
        <v>983.37</v>
      </c>
      <c r="L37" s="391">
        <f>+'q26'!L37</f>
        <v>1016.72</v>
      </c>
      <c r="M37" s="391">
        <f>+'q26'!M37</f>
        <v>1075.74</v>
      </c>
      <c r="N37" s="226"/>
      <c r="O37" s="298"/>
      <c r="P37" s="56"/>
      <c r="Q37" s="58" t="s">
        <v>54</v>
      </c>
      <c r="R37" s="124">
        <f>+$C$37*q17a!$C$37</f>
        <v>19701450.399999999</v>
      </c>
      <c r="S37" s="124">
        <f>+$D$37*q17a!$D$37</f>
        <v>21967367.5</v>
      </c>
      <c r="T37" s="124">
        <f>+$E$37*q17a!$E$37</f>
        <v>24454199.010000002</v>
      </c>
      <c r="U37" s="124">
        <f>+$F$37*q17a!$F$37</f>
        <v>26999401.539999999</v>
      </c>
      <c r="V37" s="124">
        <f>+$G$37*q17a!$G$37</f>
        <v>31148612.300000001</v>
      </c>
      <c r="W37" s="124">
        <f>+$H$37*q17a!$H$37</f>
        <v>34558451.909999996</v>
      </c>
      <c r="X37" s="124">
        <f>+$I$37*q17a!$I$37</f>
        <v>37987415.399999999</v>
      </c>
      <c r="Y37" s="124">
        <f>+$J$37*q17a!$J$37</f>
        <v>40139091</v>
      </c>
      <c r="Z37" s="124">
        <f>+$K$37*q17a!$K$37</f>
        <v>45413993.340000004</v>
      </c>
      <c r="AA37" s="124">
        <f>+$L$37*q17a!$L$37</f>
        <v>54131189.520000003</v>
      </c>
      <c r="AB37" s="124">
        <f>+$M$37*q17a!$M$37</f>
        <v>63585915.660000004</v>
      </c>
      <c r="AE37" s="56"/>
      <c r="AF37" s="58" t="s">
        <v>54</v>
      </c>
      <c r="AG37" s="124">
        <f>+$C$37*q17a!$C$37</f>
        <v>19701450.399999999</v>
      </c>
      <c r="AH37" s="124">
        <f>+$D$37*q17a!$D$37</f>
        <v>21967367.5</v>
      </c>
      <c r="AI37" s="124">
        <f>+$E$37*q17a!$E$37</f>
        <v>24454199.010000002</v>
      </c>
      <c r="AJ37" s="124">
        <f>+$F$37*q17a!$F$37</f>
        <v>26999401.539999999</v>
      </c>
      <c r="AK37" s="124">
        <f>+$G$37*q17a!$G$37</f>
        <v>31148612.300000001</v>
      </c>
      <c r="AL37" s="124">
        <f>+$H$37*q17a!$H$37</f>
        <v>34558451.909999996</v>
      </c>
      <c r="AM37" s="124">
        <f>+$I$37*q17a!$I$37</f>
        <v>37987415.399999999</v>
      </c>
      <c r="AN37" s="124">
        <f>+$J$37*q17a!$J$37</f>
        <v>40139091</v>
      </c>
      <c r="AO37" s="124">
        <f>+$K$37*q17a!$K$37</f>
        <v>45413993.340000004</v>
      </c>
      <c r="AP37" s="124">
        <f>+$L$37*q17a!$L$37</f>
        <v>54131189.520000003</v>
      </c>
      <c r="AQ37" s="124">
        <f>+$M$37*q17a!$M$37</f>
        <v>63585915.660000004</v>
      </c>
    </row>
    <row r="38" spans="1:43" s="124" customFormat="1" ht="16.5" customHeight="1">
      <c r="A38" s="56" t="str">
        <f>+'q26'!A38</f>
        <v>65 e + anos</v>
      </c>
      <c r="B38" s="54" t="str">
        <f>+'q26'!B38</f>
        <v>T</v>
      </c>
      <c r="C38" s="389">
        <f>+'q26'!C38</f>
        <v>1220.43</v>
      </c>
      <c r="D38" s="389">
        <f>+'q26'!D38</f>
        <v>1170.01</v>
      </c>
      <c r="E38" s="389">
        <f>+'q26'!E38</f>
        <v>1185.02</v>
      </c>
      <c r="F38" s="389">
        <f>+'q26'!F38</f>
        <v>1181.94</v>
      </c>
      <c r="G38" s="389">
        <f>+'q26'!G38</f>
        <v>1181.47</v>
      </c>
      <c r="H38" s="389">
        <f>+'q26'!H38</f>
        <v>1177.69</v>
      </c>
      <c r="I38" s="389">
        <f>+'q26'!I38</f>
        <v>1219.73</v>
      </c>
      <c r="J38" s="389">
        <f>+'q26'!J38</f>
        <v>1280.79</v>
      </c>
      <c r="K38" s="389">
        <f>+'q26'!K38</f>
        <v>1291.3499999999999</v>
      </c>
      <c r="L38" s="389">
        <f>+'q26'!L38</f>
        <v>1298</v>
      </c>
      <c r="M38" s="389">
        <f>+'q26'!M38</f>
        <v>1345.46</v>
      </c>
      <c r="N38" s="226"/>
      <c r="O38" s="298"/>
      <c r="P38" s="56" t="s">
        <v>65</v>
      </c>
      <c r="Q38" s="54" t="s">
        <v>45</v>
      </c>
      <c r="R38" s="536">
        <f>+$C$38</f>
        <v>1220.43</v>
      </c>
      <c r="S38" s="536">
        <f>+$D$38</f>
        <v>1170.01</v>
      </c>
      <c r="T38" s="536">
        <f>+$E$38</f>
        <v>1185.02</v>
      </c>
      <c r="U38" s="536">
        <f>+$F$38</f>
        <v>1181.94</v>
      </c>
      <c r="V38" s="536">
        <f>+$G$38</f>
        <v>1181.47</v>
      </c>
      <c r="W38" s="536">
        <f>+$H$38</f>
        <v>1177.69</v>
      </c>
      <c r="X38" s="536">
        <f>+$I$38</f>
        <v>1219.73</v>
      </c>
      <c r="Y38" s="536">
        <f>+$J$38</f>
        <v>1280.79</v>
      </c>
      <c r="Z38" s="536">
        <f>+$K$38</f>
        <v>1291.3499999999999</v>
      </c>
      <c r="AA38" s="536">
        <f>+$L$38</f>
        <v>1298</v>
      </c>
      <c r="AB38" s="536">
        <f>+$M$38</f>
        <v>1345.46</v>
      </c>
      <c r="AE38" s="56" t="s">
        <v>65</v>
      </c>
      <c r="AF38" s="54" t="s">
        <v>45</v>
      </c>
      <c r="AG38" s="536">
        <f>+$C$38*q17a!$C$38</f>
        <v>14906332.020000001</v>
      </c>
      <c r="AH38" s="536">
        <f>+$D$38*q17a!$D$38</f>
        <v>16919514.609999999</v>
      </c>
      <c r="AI38" s="536">
        <f>+$E$38*q17a!$E$38</f>
        <v>19537424.739999998</v>
      </c>
      <c r="AJ38" s="536">
        <f>+$F$38*q17a!$F$38</f>
        <v>21855252.540000003</v>
      </c>
      <c r="AK38" s="536">
        <f>+$G$38*q17a!$G$38</f>
        <v>24723441.219999999</v>
      </c>
      <c r="AL38" s="536">
        <f>+$H$38*q17a!$H$38</f>
        <v>28442391.190000001</v>
      </c>
      <c r="AM38" s="536">
        <f>+$I$38*q17a!$I$38</f>
        <v>33448655.789999999</v>
      </c>
      <c r="AN38" s="536">
        <f>+$J$38*q17a!$J$38</f>
        <v>34869507.75</v>
      </c>
      <c r="AO38" s="536">
        <f>+$K$38*q17a!$K$38</f>
        <v>38816689.649999999</v>
      </c>
      <c r="AP38" s="536">
        <f>+$L$38*q17a!$L$38</f>
        <v>45127566</v>
      </c>
      <c r="AQ38" s="536">
        <f>+$M$38*q17a!$M$38</f>
        <v>52342430.380000003</v>
      </c>
    </row>
    <row r="39" spans="1:43" s="124" customFormat="1" ht="12.75" customHeight="1">
      <c r="A39" s="57"/>
      <c r="B39" s="58" t="str">
        <f>+'q26'!B39</f>
        <v>H</v>
      </c>
      <c r="C39" s="391">
        <f>+'q26'!C39</f>
        <v>1379.79</v>
      </c>
      <c r="D39" s="391">
        <f>+'q26'!D39</f>
        <v>1342.71</v>
      </c>
      <c r="E39" s="391">
        <f>+'q26'!E39</f>
        <v>1365.22</v>
      </c>
      <c r="F39" s="391">
        <f>+'q26'!F39</f>
        <v>1356.01</v>
      </c>
      <c r="G39" s="391">
        <f>+'q26'!G39</f>
        <v>1353.73</v>
      </c>
      <c r="H39" s="391">
        <f>+'q26'!H39</f>
        <v>1329.78</v>
      </c>
      <c r="I39" s="391">
        <f>+'q26'!I39</f>
        <v>1356.39</v>
      </c>
      <c r="J39" s="391">
        <f>+'q26'!J39</f>
        <v>1428.29</v>
      </c>
      <c r="K39" s="391">
        <f>+'q26'!K39</f>
        <v>1426.24</v>
      </c>
      <c r="L39" s="391">
        <f>+'q26'!L39</f>
        <v>1419.42</v>
      </c>
      <c r="M39" s="391">
        <f>+'q26'!M39</f>
        <v>1456.5</v>
      </c>
      <c r="N39" s="226"/>
      <c r="O39" s="298"/>
      <c r="P39" s="57"/>
      <c r="Q39" s="58" t="s">
        <v>53</v>
      </c>
      <c r="R39" s="536">
        <f>+$C$39</f>
        <v>1379.79</v>
      </c>
      <c r="S39" s="536">
        <f>+$D$39</f>
        <v>1342.71</v>
      </c>
      <c r="T39" s="536">
        <f>+$E$39</f>
        <v>1365.22</v>
      </c>
      <c r="U39" s="536">
        <f>+$F$39</f>
        <v>1356.01</v>
      </c>
      <c r="V39" s="536">
        <f>+$G$39</f>
        <v>1353.73</v>
      </c>
      <c r="W39" s="536">
        <f>+$H$39</f>
        <v>1329.78</v>
      </c>
      <c r="X39" s="536">
        <f>+$I$39</f>
        <v>1356.39</v>
      </c>
      <c r="Y39" s="536">
        <f>+$J$39</f>
        <v>1428.29</v>
      </c>
      <c r="Z39" s="536">
        <f>+$K$39</f>
        <v>1426.24</v>
      </c>
      <c r="AA39" s="536">
        <f>+$L$39</f>
        <v>1419.42</v>
      </c>
      <c r="AB39" s="536">
        <f>+$M$39</f>
        <v>1456.5</v>
      </c>
      <c r="AE39" s="57"/>
      <c r="AF39" s="58" t="s">
        <v>53</v>
      </c>
      <c r="AG39" s="536">
        <f>+$C$39*q17a!$C$39</f>
        <v>11068675.379999999</v>
      </c>
      <c r="AH39" s="536">
        <f>+$D$39*q17a!$D$39</f>
        <v>12246857.91</v>
      </c>
      <c r="AI39" s="536">
        <f>+$E$39*q17a!$E$39</f>
        <v>13891113.5</v>
      </c>
      <c r="AJ39" s="536">
        <f>+$F$39*q17a!$F$39</f>
        <v>15289012.75</v>
      </c>
      <c r="AK39" s="536">
        <f>+$G$39*q17a!$G$39</f>
        <v>17576830.32</v>
      </c>
      <c r="AL39" s="536">
        <f>+$H$39*q17a!$H$39</f>
        <v>19901487.48</v>
      </c>
      <c r="AM39" s="536">
        <f>+$I$39*q17a!$I$39</f>
        <v>23591691.270000003</v>
      </c>
      <c r="AN39" s="536">
        <f>+$J$39*q17a!$J$39</f>
        <v>24686564.359999999</v>
      </c>
      <c r="AO39" s="536">
        <f>+$K$39*q17a!$K$39</f>
        <v>26857525.440000001</v>
      </c>
      <c r="AP39" s="536">
        <f>+$L$39*q17a!$L$39</f>
        <v>30939097.740000002</v>
      </c>
      <c r="AQ39" s="536">
        <f>+$M$39*q17a!$M$39</f>
        <v>35605599</v>
      </c>
    </row>
    <row r="40" spans="1:43" s="124" customFormat="1" ht="12.75" customHeight="1">
      <c r="A40" s="56"/>
      <c r="B40" s="58" t="str">
        <f>+'q26'!B40</f>
        <v>M</v>
      </c>
      <c r="C40" s="391">
        <f>+'q26'!C40</f>
        <v>915.48</v>
      </c>
      <c r="D40" s="391">
        <f>+'q26'!D40</f>
        <v>875.04</v>
      </c>
      <c r="E40" s="391">
        <f>+'q26'!E40</f>
        <v>894.55</v>
      </c>
      <c r="F40" s="391">
        <f>+'q26'!F40</f>
        <v>909.95</v>
      </c>
      <c r="G40" s="391">
        <f>+'q26'!G40</f>
        <v>899.85</v>
      </c>
      <c r="H40" s="391">
        <f>+'q26'!H40</f>
        <v>929.87</v>
      </c>
      <c r="I40" s="391">
        <f>+'q26'!I40</f>
        <v>982.74</v>
      </c>
      <c r="J40" s="391">
        <f>+'q26'!J40</f>
        <v>1024.3399999999999</v>
      </c>
      <c r="K40" s="391">
        <f>+'q26'!K40</f>
        <v>1065.1300000000001</v>
      </c>
      <c r="L40" s="391">
        <f>+'q26'!L40</f>
        <v>1093.93</v>
      </c>
      <c r="M40" s="391">
        <f>+'q26'!M40</f>
        <v>1157.69</v>
      </c>
      <c r="N40" s="226"/>
      <c r="O40" s="298"/>
      <c r="P40" s="56"/>
      <c r="Q40" s="58" t="s">
        <v>54</v>
      </c>
      <c r="R40" s="536">
        <f>+$C$40</f>
        <v>915.48</v>
      </c>
      <c r="S40" s="536">
        <f>+$D$40</f>
        <v>875.04</v>
      </c>
      <c r="T40" s="536">
        <f>+$E$40</f>
        <v>894.55</v>
      </c>
      <c r="U40" s="536">
        <f>+$F$40</f>
        <v>909.95</v>
      </c>
      <c r="V40" s="536">
        <f>+$G$40</f>
        <v>899.85</v>
      </c>
      <c r="W40" s="536">
        <f>+$H$40</f>
        <v>929.87</v>
      </c>
      <c r="X40" s="536">
        <f>+$I$40</f>
        <v>982.74</v>
      </c>
      <c r="Y40" s="536">
        <f>+$J$40</f>
        <v>1024.3399999999999</v>
      </c>
      <c r="Z40" s="536">
        <f>+$K$40</f>
        <v>1065.1300000000001</v>
      </c>
      <c r="AA40" s="536">
        <f>+$L$40</f>
        <v>1093.93</v>
      </c>
      <c r="AB40" s="536">
        <f>+$M$40</f>
        <v>1157.69</v>
      </c>
      <c r="AE40" s="56"/>
      <c r="AF40" s="58" t="s">
        <v>54</v>
      </c>
      <c r="AG40" s="536">
        <f>+$C$40*q17a!$C$40</f>
        <v>3837692.16</v>
      </c>
      <c r="AH40" s="536">
        <f>+$D$40*q17a!$D$40</f>
        <v>4672713.5999999996</v>
      </c>
      <c r="AI40" s="536">
        <f>+$E$40*q17a!$E$40</f>
        <v>5646399.5999999996</v>
      </c>
      <c r="AJ40" s="536">
        <f>+$F$40*q17a!$F$40</f>
        <v>6566199.2000000002</v>
      </c>
      <c r="AK40" s="536">
        <f>+$G$40*q17a!$G$40</f>
        <v>7146608.7000000002</v>
      </c>
      <c r="AL40" s="536">
        <f>+$H$40*q17a!$H$40</f>
        <v>8540855.9499999993</v>
      </c>
      <c r="AM40" s="536">
        <f>+$I$40*q17a!$I$40</f>
        <v>9856882.1999999993</v>
      </c>
      <c r="AN40" s="536">
        <f>+$J$40*q17a!$J$40</f>
        <v>10182963.939999999</v>
      </c>
      <c r="AO40" s="536">
        <f>+$K$40*q17a!$K$40</f>
        <v>11959279.640000001</v>
      </c>
      <c r="AP40" s="536">
        <f>+$L$40*q17a!$L$40</f>
        <v>14188272.100000001</v>
      </c>
      <c r="AQ40" s="536">
        <f>+$M$40*q17a!$M$40</f>
        <v>16736724.33</v>
      </c>
    </row>
    <row r="41" spans="1:43" s="124" customFormat="1" ht="16.5" customHeight="1">
      <c r="A41" s="56" t="str">
        <f>+'q26'!A41</f>
        <v>Ignorado</v>
      </c>
      <c r="B41" s="54" t="str">
        <f>+'q26'!B41</f>
        <v>T</v>
      </c>
      <c r="C41" s="389">
        <f>+'q26'!C41</f>
        <v>1469.55</v>
      </c>
      <c r="D41" s="389">
        <f>+'q26'!D41</f>
        <v>1473.79</v>
      </c>
      <c r="E41" s="389">
        <f>+'q26'!E41</f>
        <v>1438.46</v>
      </c>
      <c r="F41" s="389">
        <f>+'q26'!F41</f>
        <v>1460.64</v>
      </c>
      <c r="G41" s="389">
        <f>+'q26'!G41</f>
        <v>1507.09</v>
      </c>
      <c r="H41" s="389">
        <f>+'q26'!H41</f>
        <v>1538.69</v>
      </c>
      <c r="I41" s="389">
        <f>+'q26'!I41</f>
        <v>919.63</v>
      </c>
      <c r="J41" s="389">
        <f>+'q26'!J41</f>
        <v>1018.58</v>
      </c>
      <c r="K41" s="389">
        <f>+'q26'!K41</f>
        <v>961.42</v>
      </c>
      <c r="L41" s="389">
        <f>+'q26'!L41</f>
        <v>1084.8599999999999</v>
      </c>
      <c r="M41" s="389">
        <f>+'q26'!M41</f>
        <v>765</v>
      </c>
      <c r="N41" s="226"/>
      <c r="O41" s="298"/>
      <c r="P41" s="56" t="s">
        <v>13</v>
      </c>
      <c r="Q41" s="54" t="s">
        <v>45</v>
      </c>
      <c r="R41" s="536">
        <f>+$C$41</f>
        <v>1469.55</v>
      </c>
      <c r="S41" s="536">
        <f>+$D$41</f>
        <v>1473.79</v>
      </c>
      <c r="T41" s="536">
        <f>+$E$41</f>
        <v>1438.46</v>
      </c>
      <c r="U41" s="536">
        <f>+$F$41</f>
        <v>1460.64</v>
      </c>
      <c r="V41" s="536">
        <f>+$G$41</f>
        <v>1507.09</v>
      </c>
      <c r="W41" s="536">
        <f>+$H$41</f>
        <v>1538.69</v>
      </c>
      <c r="X41" s="536">
        <f>+$I$41</f>
        <v>919.63</v>
      </c>
      <c r="Y41" s="536">
        <f>+$J$41</f>
        <v>1018.58</v>
      </c>
      <c r="Z41" s="536">
        <f>+$K$41</f>
        <v>961.42</v>
      </c>
      <c r="AA41" s="536">
        <f>+$L$41</f>
        <v>1084.8599999999999</v>
      </c>
      <c r="AB41" s="536">
        <f>+$M$41</f>
        <v>765</v>
      </c>
      <c r="AE41" s="56" t="s">
        <v>13</v>
      </c>
      <c r="AF41" s="54" t="s">
        <v>45</v>
      </c>
      <c r="AG41" s="536">
        <f>+$C$41*q17a!$C$41</f>
        <v>1947153.75</v>
      </c>
      <c r="AH41" s="536">
        <f>+$D$41*q17a!$D$41</f>
        <v>2045620.52</v>
      </c>
      <c r="AI41" s="536">
        <f>+$E$41*q17a!$E$41</f>
        <v>2054120.8800000001</v>
      </c>
      <c r="AJ41" s="536">
        <f>+$F$41*q17a!$F$41</f>
        <v>2179274.8800000004</v>
      </c>
      <c r="AK41" s="536">
        <f>+$G$41*q17a!$G$41</f>
        <v>2307354.79</v>
      </c>
      <c r="AL41" s="536">
        <f>+$H$41*q17a!$H$41</f>
        <v>2648085.4900000002</v>
      </c>
      <c r="AM41" s="536">
        <f>+$I$41*q17a!$I$41</f>
        <v>359575.33</v>
      </c>
      <c r="AN41" s="536">
        <f>+$J$41*q17a!$J$41</f>
        <v>257700.74000000002</v>
      </c>
      <c r="AO41" s="536">
        <f>+$K$41*q17a!$K$41</f>
        <v>367262.44</v>
      </c>
      <c r="AP41" s="536">
        <f>+$L$41*q17a!$L$41</f>
        <v>207208.25999999998</v>
      </c>
      <c r="AQ41" s="536">
        <f>+$M$41*q17a!$M$41</f>
        <v>765</v>
      </c>
    </row>
    <row r="42" spans="1:43" s="124" customFormat="1" ht="12.75" customHeight="1">
      <c r="A42" s="57"/>
      <c r="B42" s="58" t="str">
        <f>+'q26'!B42</f>
        <v>H</v>
      </c>
      <c r="C42" s="391">
        <f>+'q26'!C42</f>
        <v>1631.24</v>
      </c>
      <c r="D42" s="391">
        <f>+'q26'!D42</f>
        <v>1670.25</v>
      </c>
      <c r="E42" s="391">
        <f>+'q26'!E42</f>
        <v>1597.76</v>
      </c>
      <c r="F42" s="391">
        <f>+'q26'!F42</f>
        <v>1632.89</v>
      </c>
      <c r="G42" s="391">
        <f>+'q26'!G42</f>
        <v>1681.05</v>
      </c>
      <c r="H42" s="391">
        <f>+'q26'!H42</f>
        <v>1715.21</v>
      </c>
      <c r="I42" s="391">
        <f>+'q26'!I42</f>
        <v>937.33</v>
      </c>
      <c r="J42" s="391">
        <f>+'q26'!J42</f>
        <v>1041.0899999999999</v>
      </c>
      <c r="K42" s="391">
        <f>+'q26'!K42</f>
        <v>988.09</v>
      </c>
      <c r="L42" s="391">
        <f>+'q26'!L42</f>
        <v>1133.52</v>
      </c>
      <c r="M42" s="391">
        <f>+'q26'!M42</f>
        <v>765</v>
      </c>
      <c r="N42" s="226"/>
      <c r="O42" s="298"/>
      <c r="P42" s="57"/>
      <c r="Q42" s="58" t="s">
        <v>53</v>
      </c>
      <c r="R42" s="536">
        <f>+$C$42</f>
        <v>1631.24</v>
      </c>
      <c r="S42" s="536">
        <f>+$D$42</f>
        <v>1670.25</v>
      </c>
      <c r="T42" s="536">
        <f>+$E$42</f>
        <v>1597.76</v>
      </c>
      <c r="U42" s="536">
        <f>+$F$42</f>
        <v>1632.89</v>
      </c>
      <c r="V42" s="536">
        <f>+$G$42</f>
        <v>1681.05</v>
      </c>
      <c r="W42" s="536">
        <f>+$H$42</f>
        <v>1715.21</v>
      </c>
      <c r="X42" s="536">
        <f>+$I$42</f>
        <v>937.33</v>
      </c>
      <c r="Y42" s="536">
        <f>+$J$42</f>
        <v>1041.0899999999999</v>
      </c>
      <c r="Z42" s="536">
        <f>+$K$42</f>
        <v>988.09</v>
      </c>
      <c r="AA42" s="536">
        <f>+$L$42</f>
        <v>1133.52</v>
      </c>
      <c r="AB42" s="536">
        <f>+$M$42</f>
        <v>765</v>
      </c>
      <c r="AE42" s="57"/>
      <c r="AF42" s="58" t="s">
        <v>53</v>
      </c>
      <c r="AG42" s="536">
        <f>+$C$42*q17a!$C$42</f>
        <v>1505634.52</v>
      </c>
      <c r="AH42" s="536">
        <f>+$D$42*q17a!$D$42</f>
        <v>1544981.25</v>
      </c>
      <c r="AI42" s="536">
        <f>+$E$42*q17a!$E$42</f>
        <v>1503492.16</v>
      </c>
      <c r="AJ42" s="536">
        <f>+$F$42*q17a!$F$42</f>
        <v>1636155.78</v>
      </c>
      <c r="AK42" s="536">
        <f>+$G$42*q17a!$G$42</f>
        <v>1721395.2</v>
      </c>
      <c r="AL42" s="536">
        <f>+$H$42*q17a!$H$42</f>
        <v>2013656.54</v>
      </c>
      <c r="AM42" s="536">
        <f>+$I$42*q17a!$I$42</f>
        <v>168719.4</v>
      </c>
      <c r="AN42" s="536">
        <f>+$J$42*q17a!$J$42</f>
        <v>150958.04999999999</v>
      </c>
      <c r="AO42" s="536">
        <f>+$K$42*q17a!$K$42</f>
        <v>190701.37</v>
      </c>
      <c r="AP42" s="536">
        <f>+$L$42*q17a!$L$42</f>
        <v>122420.16</v>
      </c>
      <c r="AQ42" s="536">
        <f>+$M$42*q17a!$M$42</f>
        <v>765</v>
      </c>
    </row>
    <row r="43" spans="1:43" s="124" customFormat="1" ht="12.75" customHeight="1">
      <c r="A43" s="19"/>
      <c r="B43" s="60" t="str">
        <f>+'q26'!B43</f>
        <v>M</v>
      </c>
      <c r="C43" s="387">
        <f>+'q26'!C43</f>
        <v>1098.3</v>
      </c>
      <c r="D43" s="387">
        <f>+'q26'!D43</f>
        <v>1081.3</v>
      </c>
      <c r="E43" s="387">
        <f>+'q26'!E43</f>
        <v>1130.6600000000001</v>
      </c>
      <c r="F43" s="387">
        <f>+'q26'!F43</f>
        <v>1108.42</v>
      </c>
      <c r="G43" s="387">
        <f>+'q26'!G43</f>
        <v>1155.74</v>
      </c>
      <c r="H43" s="387">
        <f>+'q26'!H43</f>
        <v>1159.8499999999999</v>
      </c>
      <c r="I43" s="387">
        <f>+'q26'!I43</f>
        <v>904.54</v>
      </c>
      <c r="J43" s="387">
        <f>+'q26'!J43</f>
        <v>988.36</v>
      </c>
      <c r="K43" s="387">
        <f>+'q26'!K43</f>
        <v>934.2</v>
      </c>
      <c r="L43" s="387">
        <f>+'q26'!L43</f>
        <v>1021.53</v>
      </c>
      <c r="M43" s="387">
        <f>+'q26'!M43</f>
        <v>0</v>
      </c>
      <c r="N43" s="226"/>
      <c r="O43" s="298"/>
      <c r="P43" s="19"/>
      <c r="Q43" s="60" t="s">
        <v>54</v>
      </c>
      <c r="R43" s="536">
        <f>+$C$43</f>
        <v>1098.3</v>
      </c>
      <c r="S43" s="536">
        <f>+$D$43</f>
        <v>1081.3</v>
      </c>
      <c r="T43" s="536">
        <f>+$E$43</f>
        <v>1130.6600000000001</v>
      </c>
      <c r="U43" s="536">
        <f>+$F$43</f>
        <v>1108.42</v>
      </c>
      <c r="V43" s="536">
        <f>+$G$43</f>
        <v>1155.74</v>
      </c>
      <c r="W43" s="536">
        <f>+$H$43</f>
        <v>1159.8499999999999</v>
      </c>
      <c r="X43" s="536">
        <f>+$I$43</f>
        <v>904.54</v>
      </c>
      <c r="Y43" s="536">
        <f>+$J$43</f>
        <v>988.36</v>
      </c>
      <c r="Z43" s="536">
        <f>+$K$43</f>
        <v>934.2</v>
      </c>
      <c r="AA43" s="536">
        <f>+$L$43</f>
        <v>1021.53</v>
      </c>
      <c r="AB43" s="536">
        <f>+$M$43</f>
        <v>0</v>
      </c>
      <c r="AE43" s="19"/>
      <c r="AF43" s="60" t="s">
        <v>54</v>
      </c>
      <c r="AG43" s="536">
        <f>+$C$43*q17a!$C$43</f>
        <v>441516.6</v>
      </c>
      <c r="AH43" s="536">
        <f>+$D$43*q17a!$D$43</f>
        <v>500641.89999999997</v>
      </c>
      <c r="AI43" s="536">
        <f>+$E$43*q17a!$E$43</f>
        <v>550631.42000000004</v>
      </c>
      <c r="AJ43" s="536">
        <f>+$F$43*q17a!$F$43</f>
        <v>543125.80000000005</v>
      </c>
      <c r="AK43" s="536">
        <f>+$G$43*q17a!$G$43</f>
        <v>585960.18000000005</v>
      </c>
      <c r="AL43" s="536">
        <f>+$H$43*q17a!$H$43</f>
        <v>634437.94999999995</v>
      </c>
      <c r="AM43" s="536">
        <f>+$I$43*q17a!$I$43</f>
        <v>190857.94</v>
      </c>
      <c r="AN43" s="536">
        <f>+$J$43*q17a!$J$43</f>
        <v>106742.88</v>
      </c>
      <c r="AO43" s="536">
        <f>+$K$43*q17a!$K$43</f>
        <v>176563.80000000002</v>
      </c>
      <c r="AP43" s="536">
        <f>+$L$43*q17a!$L$43</f>
        <v>84786.989999999991</v>
      </c>
      <c r="AQ43" s="536">
        <f>+$M$43*q17a!$M$43</f>
        <v>0</v>
      </c>
    </row>
    <row r="44" spans="1:43" s="265" customFormat="1" ht="15" customHeight="1">
      <c r="A44" s="21" t="str">
        <f>+'q26'!A44</f>
        <v>Fonte: GEP/MTSSS, Quadros de Pessoal.</v>
      </c>
      <c r="B44" s="255">
        <f>+'q26'!B44</f>
        <v>0</v>
      </c>
      <c r="C44" s="238"/>
      <c r="D44" s="87"/>
      <c r="E44" s="87"/>
      <c r="F44" s="87"/>
      <c r="G44" s="231"/>
      <c r="H44" s="231"/>
      <c r="I44" s="231"/>
      <c r="J44" s="231"/>
      <c r="K44" s="231"/>
      <c r="L44" s="231"/>
      <c r="M44" s="231"/>
      <c r="N44" s="277"/>
      <c r="AF44" s="54"/>
    </row>
    <row r="45" spans="1:43" s="252" customFormat="1" ht="21.75" customHeight="1">
      <c r="A45" s="779" t="s">
        <v>100</v>
      </c>
      <c r="B45" s="779"/>
      <c r="C45" s="779"/>
      <c r="D45" s="779"/>
      <c r="E45" s="779"/>
      <c r="F45" s="779"/>
      <c r="G45" s="779"/>
      <c r="H45" s="779"/>
      <c r="I45" s="779"/>
      <c r="J45" s="779"/>
      <c r="K45" s="779"/>
      <c r="L45" s="779"/>
      <c r="M45" s="779"/>
      <c r="N45" s="278"/>
      <c r="AF45" s="58"/>
    </row>
    <row r="46" spans="1:43" ht="15" customHeight="1">
      <c r="AF46" s="60"/>
    </row>
  </sheetData>
  <mergeCells count="2">
    <mergeCell ref="A1:M1"/>
    <mergeCell ref="A45:M45"/>
  </mergeCells>
  <conditionalFormatting sqref="A45 A1 I44 A5:B42 A46:D1048576 A2:D2 A4:D4 B44:D44 C5:F43 N47:XFD1048576 AC1:XFD3 N1:O43 R5:AD43 A3:M3 AC4:AD4 N44:AE46 AG5:AQ7 BC4:XFD4 AR5:XFD46">
    <cfRule type="cellIs" dxfId="1121" priority="118" operator="equal">
      <formula>0</formula>
    </cfRule>
  </conditionalFormatting>
  <conditionalFormatting sqref="E2 E46:E1048576 E4 E44">
    <cfRule type="cellIs" dxfId="1120" priority="117" operator="equal">
      <formula>0</formula>
    </cfRule>
  </conditionalFormatting>
  <conditionalFormatting sqref="A43">
    <cfRule type="cellIs" dxfId="1119" priority="116" operator="equal">
      <formula>0</formula>
    </cfRule>
  </conditionalFormatting>
  <conditionalFormatting sqref="B43">
    <cfRule type="cellIs" dxfId="1118" priority="115" operator="equal">
      <formula>0</formula>
    </cfRule>
  </conditionalFormatting>
  <conditionalFormatting sqref="A44">
    <cfRule type="cellIs" dxfId="1117" priority="114" operator="equal">
      <formula>0</formula>
    </cfRule>
  </conditionalFormatting>
  <conditionalFormatting sqref="F2 F46:F1048576 F4 F44">
    <cfRule type="cellIs" dxfId="1116" priority="112" operator="equal">
      <formula>0</formula>
    </cfRule>
  </conditionalFormatting>
  <conditionalFormatting sqref="I2 I46:I1048576">
    <cfRule type="cellIs" dxfId="1115" priority="111" operator="equal">
      <formula>0</formula>
    </cfRule>
  </conditionalFormatting>
  <conditionalFormatting sqref="G44">
    <cfRule type="cellIs" dxfId="1114" priority="110" operator="equal">
      <formula>0</formula>
    </cfRule>
  </conditionalFormatting>
  <conditionalFormatting sqref="G2 G46:G1048576 G4:I4">
    <cfRule type="cellIs" dxfId="1113" priority="109" operator="equal">
      <formula>0</formula>
    </cfRule>
  </conditionalFormatting>
  <conditionalFormatting sqref="G8:I10">
    <cfRule type="cellIs" dxfId="1112" priority="108" operator="equal">
      <formula>0</formula>
    </cfRule>
  </conditionalFormatting>
  <conditionalFormatting sqref="G5:I7">
    <cfRule type="cellIs" dxfId="1111" priority="107" operator="equal">
      <formula>0</formula>
    </cfRule>
  </conditionalFormatting>
  <conditionalFormatting sqref="G11:I13">
    <cfRule type="cellIs" dxfId="1110" priority="106" operator="equal">
      <formula>0</formula>
    </cfRule>
  </conditionalFormatting>
  <conditionalFormatting sqref="G14:I16">
    <cfRule type="cellIs" dxfId="1109" priority="105" operator="equal">
      <formula>0</formula>
    </cfRule>
  </conditionalFormatting>
  <conditionalFormatting sqref="G17:I19">
    <cfRule type="cellIs" dxfId="1108" priority="104" operator="equal">
      <formula>0</formula>
    </cfRule>
  </conditionalFormatting>
  <conditionalFormatting sqref="G20:I22">
    <cfRule type="cellIs" dxfId="1107" priority="103" operator="equal">
      <formula>0</formula>
    </cfRule>
  </conditionalFormatting>
  <conditionalFormatting sqref="G23:I25">
    <cfRule type="cellIs" dxfId="1106" priority="102" operator="equal">
      <formula>0</formula>
    </cfRule>
  </conditionalFormatting>
  <conditionalFormatting sqref="G26:I28">
    <cfRule type="cellIs" dxfId="1105" priority="101" operator="equal">
      <formula>0</formula>
    </cfRule>
  </conditionalFormatting>
  <conditionalFormatting sqref="G29:I31">
    <cfRule type="cellIs" dxfId="1104" priority="100" operator="equal">
      <formula>0</formula>
    </cfRule>
  </conditionalFormatting>
  <conditionalFormatting sqref="G32:I34">
    <cfRule type="cellIs" dxfId="1103" priority="99" operator="equal">
      <formula>0</formula>
    </cfRule>
  </conditionalFormatting>
  <conditionalFormatting sqref="G35:I37">
    <cfRule type="cellIs" dxfId="1102" priority="98" operator="equal">
      <formula>0</formula>
    </cfRule>
  </conditionalFormatting>
  <conditionalFormatting sqref="G38:I40">
    <cfRule type="cellIs" dxfId="1101" priority="97" operator="equal">
      <formula>0</formula>
    </cfRule>
  </conditionalFormatting>
  <conditionalFormatting sqref="G41:I42">
    <cfRule type="cellIs" dxfId="1100" priority="96" operator="equal">
      <formula>0</formula>
    </cfRule>
  </conditionalFormatting>
  <conditionalFormatting sqref="G43:I43">
    <cfRule type="cellIs" dxfId="1099" priority="95" operator="equal">
      <formula>0</formula>
    </cfRule>
  </conditionalFormatting>
  <conditionalFormatting sqref="H44">
    <cfRule type="cellIs" dxfId="1098" priority="94" operator="equal">
      <formula>0</formula>
    </cfRule>
  </conditionalFormatting>
  <conditionalFormatting sqref="H2 H46:H1048576">
    <cfRule type="cellIs" dxfId="1097" priority="93" operator="equal">
      <formula>0</formula>
    </cfRule>
  </conditionalFormatting>
  <conditionalFormatting sqref="J44">
    <cfRule type="cellIs" dxfId="1096" priority="92" operator="equal">
      <formula>0</formula>
    </cfRule>
  </conditionalFormatting>
  <conditionalFormatting sqref="J2 J46:J1048576">
    <cfRule type="cellIs" dxfId="1095" priority="91" operator="equal">
      <formula>0</formula>
    </cfRule>
  </conditionalFormatting>
  <conditionalFormatting sqref="J4">
    <cfRule type="cellIs" dxfId="1094" priority="90" operator="equal">
      <formula>0</formula>
    </cfRule>
  </conditionalFormatting>
  <conditionalFormatting sqref="J8:J10">
    <cfRule type="cellIs" dxfId="1093" priority="89" operator="equal">
      <formula>0</formula>
    </cfRule>
  </conditionalFormatting>
  <conditionalFormatting sqref="J5:J7">
    <cfRule type="cellIs" dxfId="1092" priority="88" operator="equal">
      <formula>0</formula>
    </cfRule>
  </conditionalFormatting>
  <conditionalFormatting sqref="J11:J13">
    <cfRule type="cellIs" dxfId="1091" priority="87" operator="equal">
      <formula>0</formula>
    </cfRule>
  </conditionalFormatting>
  <conditionalFormatting sqref="J14:J16">
    <cfRule type="cellIs" dxfId="1090" priority="86" operator="equal">
      <formula>0</formula>
    </cfRule>
  </conditionalFormatting>
  <conditionalFormatting sqref="J17:J19">
    <cfRule type="cellIs" dxfId="1089" priority="85" operator="equal">
      <formula>0</formula>
    </cfRule>
  </conditionalFormatting>
  <conditionalFormatting sqref="J20:J22">
    <cfRule type="cellIs" dxfId="1088" priority="84" operator="equal">
      <formula>0</formula>
    </cfRule>
  </conditionalFormatting>
  <conditionalFormatting sqref="J23:J25">
    <cfRule type="cellIs" dxfId="1087" priority="83" operator="equal">
      <formula>0</formula>
    </cfRule>
  </conditionalFormatting>
  <conditionalFormatting sqref="J26:J28">
    <cfRule type="cellIs" dxfId="1086" priority="82" operator="equal">
      <formula>0</formula>
    </cfRule>
  </conditionalFormatting>
  <conditionalFormatting sqref="J29:J31">
    <cfRule type="cellIs" dxfId="1085" priority="81" operator="equal">
      <formula>0</formula>
    </cfRule>
  </conditionalFormatting>
  <conditionalFormatting sqref="J32:J34">
    <cfRule type="cellIs" dxfId="1084" priority="80" operator="equal">
      <formula>0</formula>
    </cfRule>
  </conditionalFormatting>
  <conditionalFormatting sqref="J35:J37">
    <cfRule type="cellIs" dxfId="1083" priority="79" operator="equal">
      <formula>0</formula>
    </cfRule>
  </conditionalFormatting>
  <conditionalFormatting sqref="J38:J40">
    <cfRule type="cellIs" dxfId="1082" priority="78" operator="equal">
      <formula>0</formula>
    </cfRule>
  </conditionalFormatting>
  <conditionalFormatting sqref="J41:J42">
    <cfRule type="cellIs" dxfId="1081" priority="77" operator="equal">
      <formula>0</formula>
    </cfRule>
  </conditionalFormatting>
  <conditionalFormatting sqref="J43">
    <cfRule type="cellIs" dxfId="1080" priority="76" operator="equal">
      <formula>0</formula>
    </cfRule>
  </conditionalFormatting>
  <conditionalFormatting sqref="K44">
    <cfRule type="cellIs" dxfId="1079" priority="74" operator="equal">
      <formula>0</formula>
    </cfRule>
  </conditionalFormatting>
  <conditionalFormatting sqref="K2 K46:K1048576">
    <cfRule type="cellIs" dxfId="1078" priority="73" operator="equal">
      <formula>0</formula>
    </cfRule>
  </conditionalFormatting>
  <conditionalFormatting sqref="K4">
    <cfRule type="cellIs" dxfId="1077" priority="72" operator="equal">
      <formula>0</formula>
    </cfRule>
  </conditionalFormatting>
  <conditionalFormatting sqref="K8:K10">
    <cfRule type="cellIs" dxfId="1076" priority="71" operator="equal">
      <formula>0</formula>
    </cfRule>
  </conditionalFormatting>
  <conditionalFormatting sqref="K5:K7">
    <cfRule type="cellIs" dxfId="1075" priority="70" operator="equal">
      <formula>0</formula>
    </cfRule>
  </conditionalFormatting>
  <conditionalFormatting sqref="K11:K13">
    <cfRule type="cellIs" dxfId="1074" priority="69" operator="equal">
      <formula>0</formula>
    </cfRule>
  </conditionalFormatting>
  <conditionalFormatting sqref="K14:K16">
    <cfRule type="cellIs" dxfId="1073" priority="68" operator="equal">
      <formula>0</formula>
    </cfRule>
  </conditionalFormatting>
  <conditionalFormatting sqref="K17:K19">
    <cfRule type="cellIs" dxfId="1072" priority="67" operator="equal">
      <formula>0</formula>
    </cfRule>
  </conditionalFormatting>
  <conditionalFormatting sqref="K20:K22">
    <cfRule type="cellIs" dxfId="1071" priority="66" operator="equal">
      <formula>0</formula>
    </cfRule>
  </conditionalFormatting>
  <conditionalFormatting sqref="K23:K25">
    <cfRule type="cellIs" dxfId="1070" priority="65" operator="equal">
      <formula>0</formula>
    </cfRule>
  </conditionalFormatting>
  <conditionalFormatting sqref="K26:K28">
    <cfRule type="cellIs" dxfId="1069" priority="64" operator="equal">
      <formula>0</formula>
    </cfRule>
  </conditionalFormatting>
  <conditionalFormatting sqref="K29:K31">
    <cfRule type="cellIs" dxfId="1068" priority="63" operator="equal">
      <formula>0</formula>
    </cfRule>
  </conditionalFormatting>
  <conditionalFormatting sqref="K32:K34">
    <cfRule type="cellIs" dxfId="1067" priority="62" operator="equal">
      <formula>0</formula>
    </cfRule>
  </conditionalFormatting>
  <conditionalFormatting sqref="K35:K37">
    <cfRule type="cellIs" dxfId="1066" priority="61" operator="equal">
      <formula>0</formula>
    </cfRule>
  </conditionalFormatting>
  <conditionalFormatting sqref="K38:K40">
    <cfRule type="cellIs" dxfId="1065" priority="60" operator="equal">
      <formula>0</formula>
    </cfRule>
  </conditionalFormatting>
  <conditionalFormatting sqref="K41:K42">
    <cfRule type="cellIs" dxfId="1064" priority="59" operator="equal">
      <formula>0</formula>
    </cfRule>
  </conditionalFormatting>
  <conditionalFormatting sqref="K43">
    <cfRule type="cellIs" dxfId="1063" priority="58" operator="equal">
      <formula>0</formula>
    </cfRule>
  </conditionalFormatting>
  <conditionalFormatting sqref="L44">
    <cfRule type="cellIs" dxfId="1062" priority="56" operator="equal">
      <formula>0</formula>
    </cfRule>
  </conditionalFormatting>
  <conditionalFormatting sqref="L2 L46:L1048576">
    <cfRule type="cellIs" dxfId="1061" priority="55" operator="equal">
      <formula>0</formula>
    </cfRule>
  </conditionalFormatting>
  <conditionalFormatting sqref="L4">
    <cfRule type="cellIs" dxfId="1060" priority="54" operator="equal">
      <formula>0</formula>
    </cfRule>
  </conditionalFormatting>
  <conditionalFormatting sqref="L8:L10">
    <cfRule type="cellIs" dxfId="1059" priority="53" operator="equal">
      <formula>0</formula>
    </cfRule>
  </conditionalFormatting>
  <conditionalFormatting sqref="L5:L7">
    <cfRule type="cellIs" dxfId="1058" priority="52" operator="equal">
      <formula>0</formula>
    </cfRule>
  </conditionalFormatting>
  <conditionalFormatting sqref="L11:L13">
    <cfRule type="cellIs" dxfId="1057" priority="51" operator="equal">
      <formula>0</formula>
    </cfRule>
  </conditionalFormatting>
  <conditionalFormatting sqref="L14:L16">
    <cfRule type="cellIs" dxfId="1056" priority="50" operator="equal">
      <formula>0</formula>
    </cfRule>
  </conditionalFormatting>
  <conditionalFormatting sqref="L17:L19">
    <cfRule type="cellIs" dxfId="1055" priority="49" operator="equal">
      <formula>0</formula>
    </cfRule>
  </conditionalFormatting>
  <conditionalFormatting sqref="L20:L22">
    <cfRule type="cellIs" dxfId="1054" priority="48" operator="equal">
      <formula>0</formula>
    </cfRule>
  </conditionalFormatting>
  <conditionalFormatting sqref="L23:L25">
    <cfRule type="cellIs" dxfId="1053" priority="47" operator="equal">
      <formula>0</formula>
    </cfRule>
  </conditionalFormatting>
  <conditionalFormatting sqref="L26:L28">
    <cfRule type="cellIs" dxfId="1052" priority="46" operator="equal">
      <formula>0</formula>
    </cfRule>
  </conditionalFormatting>
  <conditionalFormatting sqref="L29:L31">
    <cfRule type="cellIs" dxfId="1051" priority="45" operator="equal">
      <formula>0</formula>
    </cfRule>
  </conditionalFormatting>
  <conditionalFormatting sqref="L32:L34">
    <cfRule type="cellIs" dxfId="1050" priority="44" operator="equal">
      <formula>0</formula>
    </cfRule>
  </conditionalFormatting>
  <conditionalFormatting sqref="L35:L37">
    <cfRule type="cellIs" dxfId="1049" priority="43" operator="equal">
      <formula>0</formula>
    </cfRule>
  </conditionalFormatting>
  <conditionalFormatting sqref="L38:L40">
    <cfRule type="cellIs" dxfId="1048" priority="42" operator="equal">
      <formula>0</formula>
    </cfRule>
  </conditionalFormatting>
  <conditionalFormatting sqref="L41:L42">
    <cfRule type="cellIs" dxfId="1047" priority="41" operator="equal">
      <formula>0</formula>
    </cfRule>
  </conditionalFormatting>
  <conditionalFormatting sqref="L43">
    <cfRule type="cellIs" dxfId="1046" priority="40" operator="equal">
      <formula>0</formula>
    </cfRule>
  </conditionalFormatting>
  <conditionalFormatting sqref="M44">
    <cfRule type="cellIs" dxfId="1045" priority="38" operator="equal">
      <formula>0</formula>
    </cfRule>
  </conditionalFormatting>
  <conditionalFormatting sqref="M2 M46:M1048576">
    <cfRule type="cellIs" dxfId="1044" priority="37" operator="equal">
      <formula>0</formula>
    </cfRule>
  </conditionalFormatting>
  <conditionalFormatting sqref="M4">
    <cfRule type="cellIs" dxfId="1043" priority="36" operator="equal">
      <formula>0</formula>
    </cfRule>
  </conditionalFormatting>
  <conditionalFormatting sqref="M8:M10">
    <cfRule type="cellIs" dxfId="1042" priority="35" operator="equal">
      <formula>0</formula>
    </cfRule>
  </conditionalFormatting>
  <conditionalFormatting sqref="M5:M7">
    <cfRule type="cellIs" dxfId="1041" priority="34" operator="equal">
      <formula>0</formula>
    </cfRule>
  </conditionalFormatting>
  <conditionalFormatting sqref="M11:M13">
    <cfRule type="cellIs" dxfId="1040" priority="33" operator="equal">
      <formula>0</formula>
    </cfRule>
  </conditionalFormatting>
  <conditionalFormatting sqref="M14:M16">
    <cfRule type="cellIs" dxfId="1039" priority="32" operator="equal">
      <formula>0</formula>
    </cfRule>
  </conditionalFormatting>
  <conditionalFormatting sqref="M17:M19">
    <cfRule type="cellIs" dxfId="1038" priority="31" operator="equal">
      <formula>0</formula>
    </cfRule>
  </conditionalFormatting>
  <conditionalFormatting sqref="M20:M22">
    <cfRule type="cellIs" dxfId="1037" priority="30" operator="equal">
      <formula>0</formula>
    </cfRule>
  </conditionalFormatting>
  <conditionalFormatting sqref="M23:M25">
    <cfRule type="cellIs" dxfId="1036" priority="29" operator="equal">
      <formula>0</formula>
    </cfRule>
  </conditionalFormatting>
  <conditionalFormatting sqref="M26:M28">
    <cfRule type="cellIs" dxfId="1035" priority="28" operator="equal">
      <formula>0</formula>
    </cfRule>
  </conditionalFormatting>
  <conditionalFormatting sqref="M29:M31">
    <cfRule type="cellIs" dxfId="1034" priority="27" operator="equal">
      <formula>0</formula>
    </cfRule>
  </conditionalFormatting>
  <conditionalFormatting sqref="M32:M34">
    <cfRule type="cellIs" dxfId="1033" priority="26" operator="equal">
      <formula>0</formula>
    </cfRule>
  </conditionalFormatting>
  <conditionalFormatting sqref="M35:M37">
    <cfRule type="cellIs" dxfId="1032" priority="25" operator="equal">
      <formula>0</formula>
    </cfRule>
  </conditionalFormatting>
  <conditionalFormatting sqref="M38:M40">
    <cfRule type="cellIs" dxfId="1031" priority="24" operator="equal">
      <formula>0</formula>
    </cfRule>
  </conditionalFormatting>
  <conditionalFormatting sqref="M41:M42">
    <cfRule type="cellIs" dxfId="1030" priority="23" operator="equal">
      <formula>0</formula>
    </cfRule>
  </conditionalFormatting>
  <conditionalFormatting sqref="M43">
    <cfRule type="cellIs" dxfId="1029" priority="22" operator="equal">
      <formula>0</formula>
    </cfRule>
  </conditionalFormatting>
  <conditionalFormatting sqref="P3:AB3 Q2:AB2 P1:AB1">
    <cfRule type="cellIs" dxfId="1028" priority="21" operator="equal">
      <formula>0</formula>
    </cfRule>
  </conditionalFormatting>
  <conditionalFormatting sqref="P4:AB4">
    <cfRule type="cellIs" dxfId="1027" priority="20" operator="equal">
      <formula>0</formula>
    </cfRule>
  </conditionalFormatting>
  <conditionalFormatting sqref="Q5:Q42">
    <cfRule type="cellIs" dxfId="1026" priority="11" operator="equal">
      <formula>0</formula>
    </cfRule>
  </conditionalFormatting>
  <conditionalFormatting sqref="Q43">
    <cfRule type="cellIs" dxfId="1025" priority="10" operator="equal">
      <formula>0</formula>
    </cfRule>
  </conditionalFormatting>
  <conditionalFormatting sqref="AG5:AQ43">
    <cfRule type="cellIs" dxfId="1024" priority="9" operator="equal">
      <formula>0</formula>
    </cfRule>
  </conditionalFormatting>
  <conditionalFormatting sqref="AE4:AQ4">
    <cfRule type="cellIs" dxfId="1023" priority="8" operator="equal">
      <formula>0</formula>
    </cfRule>
  </conditionalFormatting>
  <conditionalFormatting sqref="AE5:AE42">
    <cfRule type="cellIs" dxfId="1022" priority="7" operator="equal">
      <formula>0</formula>
    </cfRule>
  </conditionalFormatting>
  <conditionalFormatting sqref="AE43">
    <cfRule type="cellIs" dxfId="1021" priority="6" operator="equal">
      <formula>0</formula>
    </cfRule>
  </conditionalFormatting>
  <conditionalFormatting sqref="P5:P42">
    <cfRule type="cellIs" dxfId="1020" priority="13" operator="equal">
      <formula>0</formula>
    </cfRule>
  </conditionalFormatting>
  <conditionalFormatting sqref="P43">
    <cfRule type="cellIs" dxfId="1019" priority="12" operator="equal">
      <formula>0</formula>
    </cfRule>
  </conditionalFormatting>
  <conditionalFormatting sqref="AF5:AF42">
    <cfRule type="cellIs" dxfId="1018" priority="5" operator="equal">
      <formula>0</formula>
    </cfRule>
  </conditionalFormatting>
  <conditionalFormatting sqref="AF43">
    <cfRule type="cellIs" dxfId="1017" priority="4" operator="equal">
      <formula>0</formula>
    </cfRule>
  </conditionalFormatting>
  <conditionalFormatting sqref="AF44:AF45">
    <cfRule type="cellIs" dxfId="1016" priority="3" operator="equal">
      <formula>0</formula>
    </cfRule>
  </conditionalFormatting>
  <conditionalFormatting sqref="AF46">
    <cfRule type="cellIs" dxfId="1015" priority="2" operator="equal">
      <formula>0</formula>
    </cfRule>
  </conditionalFormatting>
  <conditionalFormatting sqref="AR4:BB4">
    <cfRule type="cellIs" dxfId="101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4EBB-F41A-44A1-96DB-6EC38392C073}">
  <sheetPr>
    <tabColor rgb="FFFFFF00"/>
    <pageSetUpPr fitToPage="1"/>
  </sheetPr>
  <dimension ref="A1:U19"/>
  <sheetViews>
    <sheetView showGridLines="0" showRowColHeaders="0" zoomScaleNormal="100" workbookViewId="0">
      <selection sqref="A1:XFD1048576"/>
    </sheetView>
  </sheetViews>
  <sheetFormatPr defaultColWidth="0" defaultRowHeight="12.75" zeroHeight="1"/>
  <cols>
    <col min="1" max="4" width="9.140625" style="854" customWidth="1"/>
    <col min="5" max="5" width="10.85546875" style="854" customWidth="1"/>
    <col min="6" max="20" width="9.140625" style="854" customWidth="1"/>
    <col min="21" max="21" width="12.28515625" style="854" customWidth="1"/>
    <col min="22" max="16384" width="9.140625" style="854" hidden="1"/>
  </cols>
  <sheetData>
    <row r="1" spans="1:21">
      <c r="A1" s="857"/>
      <c r="B1" s="857"/>
      <c r="C1" s="857"/>
      <c r="D1" s="857"/>
      <c r="E1" s="857"/>
      <c r="F1" s="857"/>
      <c r="G1" s="857"/>
      <c r="H1" s="857"/>
      <c r="I1" s="857"/>
      <c r="J1" s="857"/>
      <c r="K1" s="857"/>
      <c r="L1" s="857"/>
      <c r="M1" s="857"/>
      <c r="N1" s="857"/>
      <c r="O1" s="857"/>
      <c r="P1" s="857"/>
      <c r="Q1" s="857"/>
      <c r="R1" s="857"/>
      <c r="S1" s="857"/>
      <c r="T1" s="857"/>
      <c r="U1" s="857"/>
    </row>
    <row r="2" spans="1:21">
      <c r="A2" s="857"/>
      <c r="B2" s="857"/>
      <c r="C2" s="857"/>
      <c r="D2" s="857"/>
      <c r="E2" s="857"/>
      <c r="F2" s="857"/>
      <c r="G2" s="857"/>
      <c r="H2" s="857"/>
      <c r="I2" s="857"/>
      <c r="J2" s="857"/>
      <c r="K2" s="857"/>
      <c r="L2" s="857"/>
      <c r="M2" s="857"/>
      <c r="N2" s="857"/>
      <c r="O2" s="857"/>
      <c r="P2" s="857"/>
      <c r="Q2" s="857"/>
      <c r="R2" s="857"/>
      <c r="S2" s="857"/>
      <c r="T2" s="857"/>
      <c r="U2" s="857"/>
    </row>
    <row r="3" spans="1:21">
      <c r="A3" s="857"/>
      <c r="B3" s="857"/>
      <c r="C3" s="857"/>
      <c r="D3" s="857"/>
      <c r="E3" s="857"/>
      <c r="F3" s="857"/>
      <c r="G3" s="857"/>
      <c r="H3" s="857"/>
      <c r="I3" s="857"/>
      <c r="J3" s="857"/>
      <c r="K3" s="857"/>
      <c r="L3" s="857"/>
      <c r="M3" s="857"/>
      <c r="N3" s="857"/>
      <c r="O3" s="857"/>
      <c r="P3" s="857"/>
      <c r="Q3" s="857"/>
      <c r="R3" s="857"/>
      <c r="S3" s="857"/>
      <c r="T3" s="857"/>
      <c r="U3" s="857"/>
    </row>
    <row r="4" spans="1:21" ht="6.75" customHeight="1">
      <c r="A4" s="857"/>
      <c r="B4" s="857"/>
      <c r="C4" s="857"/>
      <c r="D4" s="857"/>
      <c r="E4" s="857"/>
      <c r="F4" s="857"/>
      <c r="G4" s="857"/>
      <c r="H4" s="857"/>
      <c r="I4" s="857"/>
      <c r="J4" s="857"/>
      <c r="K4" s="857"/>
      <c r="L4" s="857"/>
      <c r="M4" s="857"/>
      <c r="N4" s="857"/>
      <c r="O4" s="857"/>
      <c r="P4" s="857"/>
      <c r="Q4" s="857"/>
      <c r="R4" s="857"/>
      <c r="S4" s="857"/>
      <c r="T4" s="857"/>
      <c r="U4" s="857"/>
    </row>
    <row r="5" spans="1:21" ht="200.25" customHeight="1">
      <c r="A5" s="858" t="s">
        <v>810</v>
      </c>
      <c r="B5" s="858"/>
      <c r="C5" s="858"/>
      <c r="D5" s="858"/>
      <c r="E5" s="858"/>
      <c r="F5" s="858"/>
      <c r="G5" s="858"/>
      <c r="H5" s="858"/>
      <c r="I5" s="858"/>
      <c r="J5" s="858"/>
      <c r="K5" s="858"/>
      <c r="L5" s="858"/>
      <c r="M5" s="858"/>
      <c r="N5" s="858"/>
      <c r="O5" s="858"/>
      <c r="P5" s="858"/>
      <c r="Q5" s="858"/>
      <c r="R5" s="858"/>
      <c r="S5" s="858"/>
      <c r="T5" s="858"/>
      <c r="U5" s="858"/>
    </row>
    <row r="6" spans="1:21" ht="304.5" customHeight="1">
      <c r="A6" s="859" t="s">
        <v>478</v>
      </c>
      <c r="B6" s="859"/>
      <c r="C6" s="859"/>
      <c r="D6" s="859"/>
      <c r="E6" s="859"/>
      <c r="F6" s="859"/>
      <c r="G6" s="859"/>
      <c r="H6" s="859"/>
      <c r="I6" s="859"/>
      <c r="J6" s="859"/>
      <c r="K6" s="859"/>
      <c r="L6" s="859"/>
      <c r="M6" s="859"/>
      <c r="N6" s="859"/>
      <c r="O6" s="859"/>
      <c r="P6" s="859"/>
      <c r="Q6" s="859"/>
      <c r="R6" s="859"/>
      <c r="S6" s="859"/>
      <c r="T6" s="859"/>
      <c r="U6" s="859"/>
    </row>
    <row r="7" spans="1:21" ht="168.75" customHeight="1">
      <c r="A7" s="859" t="s">
        <v>876</v>
      </c>
      <c r="B7" s="859"/>
      <c r="C7" s="859"/>
      <c r="D7" s="859"/>
      <c r="E7" s="859"/>
      <c r="F7" s="859"/>
      <c r="G7" s="859"/>
      <c r="H7" s="859"/>
      <c r="I7" s="859"/>
      <c r="J7" s="859"/>
      <c r="K7" s="859"/>
      <c r="L7" s="859"/>
      <c r="M7" s="859"/>
      <c r="N7" s="859"/>
      <c r="O7" s="859"/>
      <c r="P7" s="859"/>
      <c r="Q7" s="859"/>
      <c r="R7" s="859"/>
      <c r="S7" s="859"/>
      <c r="T7" s="859"/>
      <c r="U7" s="859"/>
    </row>
    <row r="8" spans="1:21" ht="110.25" customHeight="1">
      <c r="A8" s="859" t="s">
        <v>874</v>
      </c>
      <c r="B8" s="859"/>
      <c r="C8" s="859"/>
      <c r="D8" s="859"/>
      <c r="E8" s="859"/>
      <c r="F8" s="859"/>
      <c r="G8" s="859"/>
      <c r="H8" s="859"/>
      <c r="I8" s="859"/>
      <c r="J8" s="859"/>
      <c r="K8" s="859"/>
      <c r="L8" s="859"/>
      <c r="M8" s="859"/>
      <c r="N8" s="859"/>
      <c r="O8" s="859"/>
      <c r="P8" s="859"/>
      <c r="Q8" s="859"/>
      <c r="R8" s="859"/>
      <c r="S8" s="859"/>
      <c r="T8" s="859"/>
      <c r="U8" s="859"/>
    </row>
    <row r="9" spans="1:21" ht="18" customHeight="1">
      <c r="A9" s="860" t="s">
        <v>837</v>
      </c>
      <c r="B9" s="860"/>
      <c r="C9" s="860"/>
      <c r="D9" s="860"/>
      <c r="E9" s="860"/>
      <c r="F9" s="860"/>
      <c r="G9" s="860"/>
      <c r="H9" s="860"/>
      <c r="I9" s="860"/>
      <c r="J9" s="860"/>
      <c r="K9" s="860"/>
      <c r="L9" s="860"/>
      <c r="M9" s="860"/>
      <c r="N9" s="860"/>
      <c r="O9" s="860"/>
      <c r="P9" s="860"/>
      <c r="Q9" s="860"/>
      <c r="R9" s="860"/>
      <c r="S9" s="860"/>
      <c r="T9" s="860"/>
      <c r="U9" s="860"/>
    </row>
    <row r="10" spans="1:21" ht="48.75" customHeight="1">
      <c r="A10" s="859" t="s">
        <v>875</v>
      </c>
      <c r="B10" s="859"/>
      <c r="C10" s="859"/>
      <c r="D10" s="859"/>
      <c r="E10" s="859"/>
      <c r="F10" s="859"/>
      <c r="G10" s="859"/>
      <c r="H10" s="859"/>
      <c r="I10" s="859"/>
      <c r="J10" s="859"/>
      <c r="K10" s="859"/>
      <c r="L10" s="859"/>
      <c r="M10" s="859"/>
      <c r="N10" s="859"/>
      <c r="O10" s="859"/>
      <c r="P10" s="859"/>
      <c r="Q10" s="859"/>
      <c r="R10" s="859"/>
      <c r="S10" s="859"/>
      <c r="T10" s="859"/>
      <c r="U10" s="859"/>
    </row>
    <row r="11" spans="1:21" ht="15">
      <c r="A11" s="861" t="s">
        <v>835</v>
      </c>
      <c r="B11" s="861"/>
      <c r="C11" s="861"/>
      <c r="D11" s="861"/>
      <c r="E11" s="861"/>
      <c r="F11" s="861"/>
      <c r="G11" s="861"/>
      <c r="H11" s="861"/>
      <c r="I11" s="861"/>
      <c r="J11" s="861"/>
      <c r="K11" s="861"/>
      <c r="L11" s="861"/>
      <c r="M11" s="861"/>
      <c r="N11" s="861"/>
      <c r="O11" s="861"/>
      <c r="P11" s="861"/>
      <c r="Q11" s="861"/>
      <c r="R11" s="861"/>
      <c r="S11" s="861"/>
      <c r="T11" s="861"/>
      <c r="U11" s="861"/>
    </row>
    <row r="12" spans="1:21" ht="17.25" customHeight="1">
      <c r="A12" s="862" t="s">
        <v>836</v>
      </c>
      <c r="B12" s="862"/>
      <c r="C12" s="862"/>
      <c r="D12" s="862"/>
      <c r="E12" s="862"/>
      <c r="F12" s="862"/>
      <c r="G12" s="862"/>
      <c r="H12" s="862"/>
      <c r="I12" s="862"/>
      <c r="J12" s="862"/>
      <c r="K12" s="862"/>
      <c r="L12" s="862"/>
      <c r="M12" s="862"/>
      <c r="N12" s="862"/>
      <c r="O12" s="862"/>
      <c r="P12" s="862"/>
      <c r="Q12" s="862"/>
      <c r="R12" s="862"/>
      <c r="S12" s="862"/>
      <c r="T12" s="862"/>
      <c r="U12" s="862"/>
    </row>
    <row r="13" spans="1:21" ht="5.25" customHeight="1"/>
    <row r="14" spans="1:21" hidden="1"/>
    <row r="15" spans="1:21" hidden="1"/>
    <row r="16" spans="1:21" hidden="1"/>
    <row r="17" spans="4:4" hidden="1"/>
    <row r="18" spans="4:4" hidden="1"/>
    <row r="19" spans="4:4" hidden="1">
      <c r="D19" s="855"/>
    </row>
  </sheetData>
  <sheetProtection algorithmName="SHA-512" hashValue="S6/ebJIXoQW/rVggu6r3uCBVgtcT8EDdNf0n0GBwh+V/uIiJTNhqZ7MaVNLP8iKdHIDuFVlzetEMgowUIusygQ==" saltValue="KQkU2hilXLVLLq85eFeBZA==" spinCount="100000" sheet="1" objects="1" scenarios="1" selectLockedCells="1" selectUnlockedCells="1"/>
  <mergeCells count="8">
    <mergeCell ref="A12:U12"/>
    <mergeCell ref="A10:U10"/>
    <mergeCell ref="A9:U9"/>
    <mergeCell ref="A5:U5"/>
    <mergeCell ref="A6:U6"/>
    <mergeCell ref="A7:U7"/>
    <mergeCell ref="A8:U8"/>
    <mergeCell ref="A11:U11"/>
  </mergeCells>
  <hyperlinks>
    <hyperlink ref="A11:U11" r:id="rId1" display="Mais informação disponível em: Classificação Portuguesa das Profissões : 2010. Lisboa : INE, 2011" xr:uid="{70A6B013-B02F-4E5C-8956-32A62D5D741A}"/>
    <hyperlink ref="A12:U12" r:id="rId2" display="Estrutura dos Níveis de Qualificação disponível em: Decreto-Lei n.º 121/78, de 2 de junho." xr:uid="{05F4C3E6-85EF-47D2-BE29-229B67705011}"/>
    <hyperlink ref="A9:U9" r:id="rId3" display="Mais informação disponível em : Classificação Portuguesa das Actividades Económicas, Revisão 3. Lisboa : INE, 2007. " xr:uid="{E7379387-6348-4FC9-A8C9-048C22EF7266}"/>
  </hyperlinks>
  <printOptions horizontalCentered="1" verticalCentered="1"/>
  <pageMargins left="0.19685039370078741" right="0.19685039370078741" top="0.19685039370078741" bottom="0.19685039370078741" header="0.19685039370078741" footer="0.19685039370078741"/>
  <pageSetup paperSize="9" scale="60" fitToWidth="2" orientation="landscape" r:id="rId4"/>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8F70B-D91D-4046-B212-C2CE4E75B0ED}">
  <sheetPr>
    <tabColor rgb="FFFFFF00"/>
    <pageSetUpPr fitToPage="1"/>
  </sheetPr>
  <dimension ref="A1:BB45"/>
  <sheetViews>
    <sheetView showGridLines="0" workbookViewId="0">
      <selection activeCell="AH74" sqref="AH74"/>
    </sheetView>
  </sheetViews>
  <sheetFormatPr defaultColWidth="9.140625" defaultRowHeight="17.25" customHeight="1"/>
  <cols>
    <col min="1" max="1" width="14.7109375" style="132" customWidth="1"/>
    <col min="2" max="2" width="2.7109375" style="141" customWidth="1"/>
    <col min="3" max="13" width="6.42578125" style="142" customWidth="1"/>
    <col min="14" max="16384" width="9.140625" style="132"/>
  </cols>
  <sheetData>
    <row r="1" spans="1:54" s="137" customFormat="1" ht="28.5" customHeight="1">
      <c r="A1" s="767" t="str">
        <f>+'q37'!A1:M1</f>
        <v>Quadro 37 - Remuneração média mensal ganho(1) por grupo etário e sexo</v>
      </c>
      <c r="B1" s="767"/>
      <c r="C1" s="767"/>
      <c r="D1" s="767"/>
      <c r="E1" s="767"/>
      <c r="F1" s="767"/>
      <c r="G1" s="767"/>
      <c r="H1" s="767"/>
      <c r="I1" s="767"/>
      <c r="J1" s="767"/>
      <c r="K1" s="767"/>
      <c r="L1" s="767"/>
      <c r="M1" s="767"/>
      <c r="P1" s="484" t="s">
        <v>381</v>
      </c>
    </row>
    <row r="2" spans="1:54" s="138" customFormat="1" ht="15" customHeight="1">
      <c r="A2" s="591"/>
      <c r="B2" s="591"/>
      <c r="C2" s="102"/>
      <c r="D2" s="102"/>
      <c r="E2" s="102"/>
      <c r="F2" s="102"/>
      <c r="G2" s="102"/>
      <c r="H2" s="102"/>
      <c r="I2" s="102"/>
      <c r="J2" s="102"/>
      <c r="K2" s="102"/>
      <c r="L2" s="102"/>
      <c r="M2" s="102"/>
      <c r="P2" s="132" t="s">
        <v>380</v>
      </c>
    </row>
    <row r="3" spans="1:54" s="121" customFormat="1" ht="15" customHeight="1">
      <c r="A3" s="67" t="str">
        <f>+'q37'!A3</f>
        <v>Continente</v>
      </c>
      <c r="B3" s="67"/>
      <c r="C3" s="67"/>
      <c r="D3" s="67"/>
      <c r="E3" s="67"/>
      <c r="F3" s="67"/>
      <c r="G3" s="67"/>
      <c r="H3" s="67"/>
      <c r="I3" s="67"/>
      <c r="J3" s="67"/>
      <c r="K3" s="67"/>
      <c r="L3" s="67"/>
      <c r="M3" s="67" t="str">
        <f>+'q37'!M3</f>
        <v>Euros</v>
      </c>
      <c r="P3" s="274" t="s">
        <v>379</v>
      </c>
      <c r="Q3" s="249"/>
      <c r="R3" s="249"/>
      <c r="S3" s="249"/>
      <c r="T3" s="249"/>
      <c r="U3" s="249"/>
      <c r="V3" s="249"/>
      <c r="W3" s="249"/>
      <c r="X3" s="249"/>
      <c r="Y3" s="249"/>
      <c r="Z3" s="249"/>
      <c r="AA3" s="249"/>
      <c r="AB3" s="249"/>
      <c r="AE3" s="658" t="s">
        <v>543</v>
      </c>
      <c r="AF3" s="274"/>
      <c r="AG3" s="274"/>
      <c r="AH3" s="274"/>
      <c r="AI3" s="274"/>
      <c r="AJ3" s="274"/>
      <c r="AK3" s="274"/>
      <c r="AL3" s="274"/>
      <c r="AM3" s="274"/>
      <c r="AN3" s="274"/>
      <c r="AO3" s="274"/>
      <c r="AP3" s="274"/>
      <c r="AQ3" s="274"/>
      <c r="AR3" s="274"/>
      <c r="AS3" s="274"/>
      <c r="AT3" s="274"/>
      <c r="AU3" s="274"/>
      <c r="AV3" s="274"/>
      <c r="AW3" s="274"/>
      <c r="AX3" s="274"/>
      <c r="AY3" s="274"/>
      <c r="AZ3" s="274"/>
      <c r="BA3" s="274"/>
      <c r="BB3" s="274"/>
    </row>
    <row r="4" spans="1:54" s="122" customFormat="1" ht="28.5" customHeight="1" thickBot="1">
      <c r="A4" s="69"/>
      <c r="B4" s="69"/>
      <c r="C4" s="69">
        <f>+'q37'!C4</f>
        <v>2013</v>
      </c>
      <c r="D4" s="69">
        <f>+'q37'!D4</f>
        <v>2014</v>
      </c>
      <c r="E4" s="69">
        <f>+'q37'!E4</f>
        <v>2015</v>
      </c>
      <c r="F4" s="69">
        <f>+'q37'!F4</f>
        <v>2016</v>
      </c>
      <c r="G4" s="69">
        <f>+'q37'!G4</f>
        <v>2017</v>
      </c>
      <c r="H4" s="69">
        <f>+'q37'!H4</f>
        <v>2018</v>
      </c>
      <c r="I4" s="69">
        <f>+'q37'!I4</f>
        <v>2019</v>
      </c>
      <c r="J4" s="69">
        <f>+'q37'!J4</f>
        <v>2020</v>
      </c>
      <c r="K4" s="69">
        <f>+'q37'!K4</f>
        <v>2021</v>
      </c>
      <c r="L4" s="69">
        <f>+'q37'!L4</f>
        <v>2022</v>
      </c>
      <c r="M4" s="69">
        <f>+'q37'!M4</f>
        <v>2023</v>
      </c>
      <c r="P4" s="258"/>
      <c r="Q4" s="258"/>
      <c r="R4" s="241">
        <v>2011</v>
      </c>
      <c r="S4" s="241">
        <v>2012</v>
      </c>
      <c r="T4" s="241">
        <v>2013</v>
      </c>
      <c r="U4" s="241">
        <v>2014</v>
      </c>
      <c r="V4" s="241">
        <v>2015</v>
      </c>
      <c r="W4" s="241">
        <v>2016</v>
      </c>
      <c r="X4" s="241">
        <v>2017</v>
      </c>
      <c r="Y4" s="241">
        <v>2018</v>
      </c>
      <c r="Z4" s="241">
        <v>2019</v>
      </c>
      <c r="AA4" s="241">
        <v>2020</v>
      </c>
      <c r="AB4" s="241">
        <v>2021</v>
      </c>
      <c r="AE4" s="258"/>
      <c r="AF4" s="258"/>
      <c r="AG4" s="241">
        <f>+$R$4</f>
        <v>2011</v>
      </c>
      <c r="AH4" s="241">
        <f t="shared" ref="AH4:AQ4" si="0">+S4</f>
        <v>2012</v>
      </c>
      <c r="AI4" s="241">
        <f t="shared" si="0"/>
        <v>2013</v>
      </c>
      <c r="AJ4" s="241">
        <f t="shared" si="0"/>
        <v>2014</v>
      </c>
      <c r="AK4" s="241">
        <f t="shared" si="0"/>
        <v>2015</v>
      </c>
      <c r="AL4" s="241">
        <f t="shared" si="0"/>
        <v>2016</v>
      </c>
      <c r="AM4" s="241">
        <f t="shared" si="0"/>
        <v>2017</v>
      </c>
      <c r="AN4" s="241">
        <f t="shared" si="0"/>
        <v>2018</v>
      </c>
      <c r="AO4" s="241">
        <f t="shared" si="0"/>
        <v>2019</v>
      </c>
      <c r="AP4" s="241">
        <f t="shared" si="0"/>
        <v>2020</v>
      </c>
      <c r="AQ4" s="241">
        <f t="shared" si="0"/>
        <v>2021</v>
      </c>
      <c r="AR4" s="241">
        <f>+C4</f>
        <v>2013</v>
      </c>
      <c r="AS4" s="241">
        <f t="shared" ref="AS4:AY4" si="1">+D4</f>
        <v>2014</v>
      </c>
      <c r="AT4" s="241">
        <f t="shared" si="1"/>
        <v>2015</v>
      </c>
      <c r="AU4" s="241">
        <f t="shared" si="1"/>
        <v>2016</v>
      </c>
      <c r="AV4" s="241">
        <f t="shared" si="1"/>
        <v>2017</v>
      </c>
      <c r="AW4" s="241">
        <f t="shared" si="1"/>
        <v>2018</v>
      </c>
      <c r="AX4" s="241">
        <f t="shared" si="1"/>
        <v>2019</v>
      </c>
      <c r="AY4" s="241">
        <f t="shared" si="1"/>
        <v>2020</v>
      </c>
      <c r="AZ4" s="241">
        <f>+K4</f>
        <v>2021</v>
      </c>
      <c r="BA4" s="241">
        <f t="shared" ref="BA4:BB4" si="2">+L4</f>
        <v>2022</v>
      </c>
      <c r="BB4" s="241">
        <f t="shared" si="2"/>
        <v>2023</v>
      </c>
    </row>
    <row r="5" spans="1:54" s="123" customFormat="1" ht="16.5" customHeight="1" thickTop="1">
      <c r="A5" s="54" t="str">
        <f>+'q37'!A5</f>
        <v>Total</v>
      </c>
      <c r="B5" s="54" t="str">
        <f>+'q37'!B5</f>
        <v>T</v>
      </c>
      <c r="C5" s="388">
        <f>+'q37'!C5</f>
        <v>1093.82</v>
      </c>
      <c r="D5" s="388">
        <f>+'q37'!D5</f>
        <v>1093.21</v>
      </c>
      <c r="E5" s="388">
        <f>+'q37'!E5</f>
        <v>1096.6600000000001</v>
      </c>
      <c r="F5" s="388">
        <f>+'q37'!F5</f>
        <v>1107.8599999999999</v>
      </c>
      <c r="G5" s="388">
        <f>+'q37'!G5</f>
        <v>1133.3399999999999</v>
      </c>
      <c r="H5" s="388">
        <f>+'q37'!H5</f>
        <v>1170.25</v>
      </c>
      <c r="I5" s="388">
        <f>+'q37'!I5</f>
        <v>1209.94</v>
      </c>
      <c r="J5" s="388">
        <f>+'q37'!J5</f>
        <v>1250.75</v>
      </c>
      <c r="K5" s="388">
        <f>+'q37'!K5</f>
        <v>1294.1099999999999</v>
      </c>
      <c r="L5" s="388">
        <f>+'q37'!L5</f>
        <v>1368</v>
      </c>
      <c r="M5" s="388">
        <f>+'q37'!M5</f>
        <v>1466.66</v>
      </c>
      <c r="N5" s="122"/>
      <c r="O5" s="122"/>
      <c r="P5" s="248" t="s">
        <v>12</v>
      </c>
      <c r="Q5" s="440" t="s">
        <v>45</v>
      </c>
      <c r="AE5" s="248" t="s">
        <v>12</v>
      </c>
      <c r="AF5" s="440" t="s">
        <v>45</v>
      </c>
      <c r="AG5" s="656">
        <f>+(AG8+AG11+AG14+AG17+AG20+AG23+AG26+AG29+AG32+AG35+AG38+AG41)/q17a!C5</f>
        <v>1093.818296307189</v>
      </c>
      <c r="AH5" s="656">
        <f>+(AH8+AH11+AH14+AH17+AH20+AH23+AH26+AH29+AH32+AH35+AH38+AH41)/q17a!D5</f>
        <v>1093.2085174767296</v>
      </c>
      <c r="AI5" s="656">
        <f>+(AI8+AI11+AI14+AI17+AI20+AI23+AI26+AI29+AI32+AI35+AI38+AI41)/q17a!E5</f>
        <v>1096.6572142666657</v>
      </c>
      <c r="AJ5" s="656">
        <f>+(AJ8+AJ11+AJ14+AJ17+AJ20+AJ23+AJ26+AJ29+AJ32+AJ35+AJ38+AJ41)/q17a!F5</f>
        <v>1107.8548569694747</v>
      </c>
      <c r="AK5" s="656">
        <f>+(AK8+AK11+AK14+AK17+AK20+AK23+AK26+AK29+AK32+AK35+AK38+AK41)/q17a!G5</f>
        <v>1133.3439225392051</v>
      </c>
      <c r="AL5" s="656">
        <f>+(AL8+AL11+AL14+AL17+AL20+AL23+AL26+AL29+AL32+AL35+AL38+AL41)/q17a!H5</f>
        <v>1170.2518068338918</v>
      </c>
      <c r="AM5" s="656">
        <f>+(AM8+AM11+AM14+AM17+AM20+AM23+AM26+AM29+AM32+AM35+AM38+AM41)/q17a!I5</f>
        <v>1209.9405577719047</v>
      </c>
      <c r="AN5" s="656">
        <f>+(AN8+AN11+AN14+AN17+AN20+AN23+AN26+AN29+AN32+AN35+AN38+AN41)/q17a!J5</f>
        <v>1250.7519511181924</v>
      </c>
      <c r="AO5" s="656">
        <f>+(AO8+AO11+AO14+AO17+AO20+AO23+AO26+AO29+AO32+AO35+AO38+AO41)/q17a!K5</f>
        <v>1294.1097785915983</v>
      </c>
      <c r="AP5" s="656">
        <f>+(AP8+AP11+AP14+AP17+AP20+AP23+AP26+AP29+AP32+AP35+AP38+AP41)/q17a!L5</f>
        <v>1367.9954073477086</v>
      </c>
      <c r="AQ5" s="656">
        <f>+(AQ8+AQ11+AQ14+AQ17+AQ20+AQ23+AQ26+AQ29+AQ32+AQ35+AQ38+AQ41)/q17a!M5</f>
        <v>1466.6553196749878</v>
      </c>
      <c r="AR5" s="657">
        <f>+AG5-C5</f>
        <v>-1.703692810906432E-3</v>
      </c>
      <c r="AS5" s="657">
        <f t="shared" ref="AS5:BB7" si="3">+AH5-D5</f>
        <v>-1.4825232703969959E-3</v>
      </c>
      <c r="AT5" s="657">
        <f t="shared" si="3"/>
        <v>-2.7857333343490609E-3</v>
      </c>
      <c r="AU5" s="657">
        <f t="shared" si="3"/>
        <v>-5.1430305252324615E-3</v>
      </c>
      <c r="AV5" s="657">
        <f t="shared" si="3"/>
        <v>3.9225392051775998E-3</v>
      </c>
      <c r="AW5" s="657">
        <f t="shared" si="3"/>
        <v>1.8068338918055815E-3</v>
      </c>
      <c r="AX5" s="657">
        <f t="shared" si="3"/>
        <v>5.5777190459593839E-4</v>
      </c>
      <c r="AY5" s="657">
        <f t="shared" si="3"/>
        <v>1.9511181924372067E-3</v>
      </c>
      <c r="AZ5" s="657">
        <f t="shared" si="3"/>
        <v>-2.2140840155771002E-4</v>
      </c>
      <c r="BA5" s="657">
        <f t="shared" si="3"/>
        <v>-4.5926522914214729E-3</v>
      </c>
      <c r="BB5" s="657">
        <f t="shared" si="3"/>
        <v>-4.6803250122593454E-3</v>
      </c>
    </row>
    <row r="6" spans="1:54" s="123" customFormat="1" ht="12.75" customHeight="1">
      <c r="A6" s="54"/>
      <c r="B6" s="54" t="str">
        <f>+'q37'!B6</f>
        <v>H</v>
      </c>
      <c r="C6" s="388">
        <f>+'q37'!C6</f>
        <v>1209.21</v>
      </c>
      <c r="D6" s="388">
        <f>+'q37'!D6</f>
        <v>1203.32</v>
      </c>
      <c r="E6" s="388">
        <f>+'q37'!E6</f>
        <v>1207.76</v>
      </c>
      <c r="F6" s="388">
        <f>+'q37'!F6</f>
        <v>1215.1099999999999</v>
      </c>
      <c r="G6" s="388">
        <f>+'q37'!G6</f>
        <v>1236.8499999999999</v>
      </c>
      <c r="H6" s="388">
        <f>+'q37'!H6</f>
        <v>1273.99</v>
      </c>
      <c r="I6" s="388">
        <f>+'q37'!I6</f>
        <v>1312.43</v>
      </c>
      <c r="J6" s="388">
        <f>+'q37'!J6</f>
        <v>1349.35</v>
      </c>
      <c r="K6" s="388">
        <f>+'q37'!K6</f>
        <v>1395.7</v>
      </c>
      <c r="L6" s="388">
        <f>+'q37'!L6</f>
        <v>1476.2</v>
      </c>
      <c r="M6" s="388">
        <f>+'q37'!M6</f>
        <v>1577.33</v>
      </c>
      <c r="O6" s="122"/>
      <c r="P6" s="238"/>
      <c r="Q6" s="440" t="s">
        <v>53</v>
      </c>
      <c r="AE6" s="238"/>
      <c r="AF6" s="440" t="s">
        <v>53</v>
      </c>
      <c r="AG6" s="656">
        <f>+(AG9+AG12+AG15+AG18+AG21+AG24+AG27+AG30+AG33+AG36+AG39+AG42)/q17a!C6</f>
        <v>1209.2123046988168</v>
      </c>
      <c r="AH6" s="656">
        <f>+(AH9+AH12+AH15+AH18+AH21+AH24+AH27+AH30+AH33+AH36+AH39+AH42)/q17a!D6</f>
        <v>1203.3168879677585</v>
      </c>
      <c r="AI6" s="656">
        <f>+(AI9+AI12+AI15+AI18+AI21+AI24+AI27+AI30+AI33+AI36+AI39+AI42)/q17a!E6</f>
        <v>1207.7620314732667</v>
      </c>
      <c r="AJ6" s="656">
        <f>+(AJ9+AJ12+AJ15+AJ18+AJ21+AJ24+AJ27+AJ30+AJ33+AJ36+AJ39+AJ42)/q17a!F6</f>
        <v>1215.1089571326022</v>
      </c>
      <c r="AK6" s="656">
        <f>+(AK9+AK12+AK15+AK18+AK21+AK24+AK27+AK30+AK33+AK36+AK39+AK42)/q17a!G6</f>
        <v>1236.8519235252249</v>
      </c>
      <c r="AL6" s="656">
        <f>+(AL9+AL12+AL15+AL18+AL21+AL24+AL27+AL30+AL33+AL36+AL39+AL42)/q17a!H6</f>
        <v>1273.985384526236</v>
      </c>
      <c r="AM6" s="656">
        <f>+(AM9+AM12+AM15+AM18+AM21+AM24+AM27+AM30+AM33+AM36+AM39+AM42)/q17a!I6</f>
        <v>1312.4241408061343</v>
      </c>
      <c r="AN6" s="656">
        <f>+(AN9+AN12+AN15+AN18+AN21+AN24+AN27+AN30+AN33+AN36+AN39+AN42)/q17a!J6</f>
        <v>1349.351618231718</v>
      </c>
      <c r="AO6" s="656">
        <f>+(AO9+AO12+AO15+AO18+AO21+AO24+AO27+AO30+AO33+AO36+AO39+AO42)/q17a!K6</f>
        <v>1395.6944733386347</v>
      </c>
      <c r="AP6" s="656">
        <f>+(AP9+AP12+AP15+AP18+AP21+AP24+AP27+AP30+AP33+AP36+AP39+AP42)/q17a!L6</f>
        <v>1476.2029469402776</v>
      </c>
      <c r="AQ6" s="656">
        <f>+(AQ9+AQ12+AQ15+AQ18+AQ21+AQ24+AQ27+AQ30+AQ33+AQ36+AQ39+AQ42)/q17a!M6</f>
        <v>1577.3252699575585</v>
      </c>
      <c r="AR6" s="657">
        <f t="shared" ref="AR6:AR7" si="4">+AG6-C6</f>
        <v>2.3046988167152449E-3</v>
      </c>
      <c r="AS6" s="657">
        <f t="shared" si="3"/>
        <v>-3.1120322414608381E-3</v>
      </c>
      <c r="AT6" s="657">
        <f t="shared" si="3"/>
        <v>2.0314732666975033E-3</v>
      </c>
      <c r="AU6" s="657">
        <f t="shared" si="3"/>
        <v>-1.04286739770032E-3</v>
      </c>
      <c r="AV6" s="657">
        <f t="shared" si="3"/>
        <v>1.9235252250382473E-3</v>
      </c>
      <c r="AW6" s="657">
        <f t="shared" si="3"/>
        <v>-4.6154737640335952E-3</v>
      </c>
      <c r="AX6" s="657">
        <f t="shared" si="3"/>
        <v>-5.8591938657173159E-3</v>
      </c>
      <c r="AY6" s="657">
        <f t="shared" si="3"/>
        <v>1.6182317181119288E-3</v>
      </c>
      <c r="AZ6" s="657">
        <f t="shared" si="3"/>
        <v>-5.5266613653657259E-3</v>
      </c>
      <c r="BA6" s="657">
        <f t="shared" si="3"/>
        <v>2.9469402775248454E-3</v>
      </c>
      <c r="BB6" s="657">
        <f t="shared" si="3"/>
        <v>-4.7300424414515874E-3</v>
      </c>
    </row>
    <row r="7" spans="1:54" s="123" customFormat="1" ht="12.75" customHeight="1">
      <c r="A7" s="54"/>
      <c r="B7" s="54" t="str">
        <f>+'q37'!B7</f>
        <v>M</v>
      </c>
      <c r="C7" s="388">
        <f>+'q37'!C7</f>
        <v>958.12</v>
      </c>
      <c r="D7" s="388">
        <f>+'q37'!D7</f>
        <v>963.12</v>
      </c>
      <c r="E7" s="388">
        <f>+'q37'!E7</f>
        <v>966.85</v>
      </c>
      <c r="F7" s="388">
        <f>+'q37'!F7</f>
        <v>982.49</v>
      </c>
      <c r="G7" s="388">
        <f>+'q37'!G7</f>
        <v>1011.02</v>
      </c>
      <c r="H7" s="388">
        <f>+'q37'!H7</f>
        <v>1046.5899999999999</v>
      </c>
      <c r="I7" s="388">
        <f>+'q37'!I7</f>
        <v>1086.97</v>
      </c>
      <c r="J7" s="388">
        <f>+'q37'!J7</f>
        <v>1130.8699999999999</v>
      </c>
      <c r="K7" s="388">
        <f>+'q37'!K7</f>
        <v>1172.08</v>
      </c>
      <c r="L7" s="388">
        <f>+'q37'!L7</f>
        <v>1237.52</v>
      </c>
      <c r="M7" s="388">
        <f>+'q37'!M7</f>
        <v>1332.02</v>
      </c>
      <c r="O7" s="122"/>
      <c r="P7" s="238"/>
      <c r="Q7" s="440" t="s">
        <v>54</v>
      </c>
      <c r="AE7" s="238"/>
      <c r="AF7" s="440" t="s">
        <v>54</v>
      </c>
      <c r="AG7" s="656">
        <f>+(AG10+AG13+AG16+AG19+AG22+AG25+AG28+AG31+AG34+AG37+AG40+AG43)/q17a!C7</f>
        <v>958.11413417479389</v>
      </c>
      <c r="AH7" s="656">
        <f>+(AH10+AH13+AH16+AH19+AH22+AH25+AH28+AH31+AH34+AH37+AH40+AH43)/q17a!D7</f>
        <v>963.11682918937754</v>
      </c>
      <c r="AI7" s="656">
        <f>+(AI10+AI13+AI16+AI19+AI22+AI25+AI28+AI31+AI34+AI37+AI40+AI43)/q17a!E7</f>
        <v>966.85044805310793</v>
      </c>
      <c r="AJ7" s="656">
        <f>+(AJ10+AJ13+AJ16+AJ19+AJ22+AJ25+AJ28+AJ31+AJ34+AJ37+AJ40+AJ43)/q17a!F7</f>
        <v>982.48536864092819</v>
      </c>
      <c r="AK7" s="656">
        <f>+(AK10+AK13+AK16+AK19+AK22+AK25+AK28+AK31+AK34+AK37+AK40+AK43)/q17a!G7</f>
        <v>1011.016491822706</v>
      </c>
      <c r="AL7" s="656">
        <f>+(AL10+AL13+AL16+AL19+AL22+AL25+AL28+AL31+AL34+AL37+AL40+AL43)/q17a!H7</f>
        <v>1046.5866679058192</v>
      </c>
      <c r="AM7" s="656">
        <f>+(AM10+AM13+AM16+AM19+AM22+AM25+AM28+AM31+AM34+AM37+AM40+AM43)/q17a!I7</f>
        <v>1086.9727234233762</v>
      </c>
      <c r="AN7" s="656">
        <f>+(AN10+AN13+AN16+AN19+AN22+AN25+AN28+AN31+AN34+AN37+AN40+AN43)/q17a!J7</f>
        <v>1130.868458432866</v>
      </c>
      <c r="AO7" s="656">
        <f>+(AO10+AO13+AO16+AO19+AO22+AO25+AO28+AO31+AO34+AO37+AO40+AO43)/q17a!K7</f>
        <v>1172.0779561447994</v>
      </c>
      <c r="AP7" s="656">
        <f>+(AP10+AP13+AP16+AP19+AP22+AP25+AP28+AP31+AP34+AP37+AP40+AP43)/q17a!L7</f>
        <v>1237.5234759974342</v>
      </c>
      <c r="AQ7" s="656">
        <f>+(AQ10+AQ13+AQ16+AQ19+AQ22+AQ25+AQ28+AQ31+AQ34+AQ37+AQ40+AQ43)/q17a!M7</f>
        <v>1332.0231405509503</v>
      </c>
      <c r="AR7" s="657">
        <f t="shared" si="4"/>
        <v>-5.8658252061150051E-3</v>
      </c>
      <c r="AS7" s="657">
        <f t="shared" si="3"/>
        <v>-3.1708106224641597E-3</v>
      </c>
      <c r="AT7" s="657">
        <f t="shared" si="3"/>
        <v>4.4805310790252406E-4</v>
      </c>
      <c r="AU7" s="657">
        <f t="shared" si="3"/>
        <v>-4.6313590718227715E-3</v>
      </c>
      <c r="AV7" s="657">
        <f t="shared" si="3"/>
        <v>-3.5081772939520306E-3</v>
      </c>
      <c r="AW7" s="657">
        <f t="shared" si="3"/>
        <v>-3.3320941806778137E-3</v>
      </c>
      <c r="AX7" s="657">
        <f t="shared" si="3"/>
        <v>2.7234233762101212E-3</v>
      </c>
      <c r="AY7" s="657">
        <f t="shared" si="3"/>
        <v>-1.5415671339269466E-3</v>
      </c>
      <c r="AZ7" s="657">
        <f t="shared" si="3"/>
        <v>-2.0438552005543897E-3</v>
      </c>
      <c r="BA7" s="657">
        <f t="shared" si="3"/>
        <v>3.4759974341795896E-3</v>
      </c>
      <c r="BB7" s="657">
        <f t="shared" si="3"/>
        <v>3.1405509503201756E-3</v>
      </c>
    </row>
    <row r="8" spans="1:54" s="124" customFormat="1" ht="16.5" customHeight="1">
      <c r="A8" s="56" t="str">
        <f>+'q37'!A8</f>
        <v>&lt; 18 anos</v>
      </c>
      <c r="B8" s="54" t="str">
        <f>+'q37'!B8</f>
        <v>T</v>
      </c>
      <c r="C8" s="388">
        <f>+'q37'!C8</f>
        <v>626.53</v>
      </c>
      <c r="D8" s="388">
        <f>+'q37'!D8</f>
        <v>752.91</v>
      </c>
      <c r="E8" s="388">
        <f>+'q37'!E8</f>
        <v>711.88</v>
      </c>
      <c r="F8" s="388">
        <f>+'q37'!F8</f>
        <v>759.21</v>
      </c>
      <c r="G8" s="388">
        <f>+'q37'!G8</f>
        <v>761.64</v>
      </c>
      <c r="H8" s="388">
        <f>+'q37'!H8</f>
        <v>775.74</v>
      </c>
      <c r="I8" s="388">
        <f>+'q37'!I8</f>
        <v>1016.76</v>
      </c>
      <c r="J8" s="388">
        <f>+'q37'!J8</f>
        <v>1233.5</v>
      </c>
      <c r="K8" s="388">
        <f>+'q37'!K8</f>
        <v>1171.6400000000001</v>
      </c>
      <c r="L8" s="388">
        <f>+'q37'!L8</f>
        <v>1142.0999999999999</v>
      </c>
      <c r="M8" s="388">
        <f>+'q37'!M8</f>
        <v>1193.83</v>
      </c>
      <c r="P8" s="56" t="s">
        <v>55</v>
      </c>
      <c r="Q8" s="54" t="s">
        <v>45</v>
      </c>
      <c r="R8" s="536">
        <f>+$C$8</f>
        <v>626.53</v>
      </c>
      <c r="S8" s="536">
        <f>+$D$8</f>
        <v>752.91</v>
      </c>
      <c r="T8" s="536">
        <f>+$E$8</f>
        <v>711.88</v>
      </c>
      <c r="U8" s="536">
        <f>+$F$8</f>
        <v>759.21</v>
      </c>
      <c r="V8" s="536">
        <f>+$G$8</f>
        <v>761.64</v>
      </c>
      <c r="W8" s="536">
        <f>+$H$8</f>
        <v>775.74</v>
      </c>
      <c r="X8" s="536">
        <f>+$I$8</f>
        <v>1016.76</v>
      </c>
      <c r="Y8" s="536">
        <f>+$J$8</f>
        <v>1233.5</v>
      </c>
      <c r="Z8" s="536">
        <f>+$K$8</f>
        <v>1171.6400000000001</v>
      </c>
      <c r="AA8" s="536">
        <f>+$L$8</f>
        <v>1142.0999999999999</v>
      </c>
      <c r="AB8" s="536">
        <f>+$M$8</f>
        <v>1193.83</v>
      </c>
      <c r="AE8" s="56" t="s">
        <v>55</v>
      </c>
      <c r="AF8" s="54" t="s">
        <v>45</v>
      </c>
      <c r="AG8" s="536">
        <f>+$C$8*q17a!$C$8</f>
        <v>256877.3</v>
      </c>
      <c r="AH8" s="536">
        <f>+$D$8*q17a!$D$8</f>
        <v>198015.33</v>
      </c>
      <c r="AI8" s="536">
        <f>+$E$8*q17a!$E$8</f>
        <v>170851.20000000001</v>
      </c>
      <c r="AJ8" s="536">
        <f>+$F$8*q17a!$F$8</f>
        <v>202709.07</v>
      </c>
      <c r="AK8" s="536">
        <f>+$G$8*q17a!$G$8</f>
        <v>289423.2</v>
      </c>
      <c r="AL8" s="536">
        <f>+$H$8*q17a!$H$8</f>
        <v>288575.28000000003</v>
      </c>
      <c r="AM8" s="536">
        <f>+$I$8*q17a!$I$8</f>
        <v>354849.24</v>
      </c>
      <c r="AN8" s="536">
        <f>+$J$8*q17a!$J$8</f>
        <v>284938.5</v>
      </c>
      <c r="AO8" s="536">
        <f>+$K$8*q17a!$K$8</f>
        <v>330402.48000000004</v>
      </c>
      <c r="AP8" s="536">
        <f>+$L$8*q17a!$L$8</f>
        <v>430571.69999999995</v>
      </c>
      <c r="AQ8" s="536">
        <f>+$M$8*q17a!$M$8</f>
        <v>430972.62999999995</v>
      </c>
    </row>
    <row r="9" spans="1:54" s="124" customFormat="1" ht="12.75" customHeight="1">
      <c r="A9" s="57"/>
      <c r="B9" s="58" t="str">
        <f>+'q37'!B9</f>
        <v>H</v>
      </c>
      <c r="C9" s="390">
        <f>+'q37'!C9</f>
        <v>652.38</v>
      </c>
      <c r="D9" s="390">
        <f>+'q37'!D9</f>
        <v>837.34</v>
      </c>
      <c r="E9" s="390">
        <f>+'q37'!E9</f>
        <v>767.94</v>
      </c>
      <c r="F9" s="390">
        <f>+'q37'!F9</f>
        <v>814.54</v>
      </c>
      <c r="G9" s="390">
        <f>+'q37'!G9</f>
        <v>805.1</v>
      </c>
      <c r="H9" s="390">
        <f>+'q37'!H9</f>
        <v>813.3</v>
      </c>
      <c r="I9" s="390">
        <f>+'q37'!I9</f>
        <v>1105.51</v>
      </c>
      <c r="J9" s="390">
        <f>+'q37'!J9</f>
        <v>1339.07</v>
      </c>
      <c r="K9" s="390">
        <f>+'q37'!K9</f>
        <v>1291.68</v>
      </c>
      <c r="L9" s="390">
        <f>+'q37'!L9</f>
        <v>1255.19</v>
      </c>
      <c r="M9" s="390">
        <f>+'q37'!M9</f>
        <v>1290.02</v>
      </c>
      <c r="P9" s="57"/>
      <c r="Q9" s="58" t="s">
        <v>53</v>
      </c>
      <c r="R9" s="536">
        <f>+$C$9</f>
        <v>652.38</v>
      </c>
      <c r="S9" s="536">
        <f>+$D$9</f>
        <v>837.34</v>
      </c>
      <c r="T9" s="536">
        <f>+$E$9</f>
        <v>767.94</v>
      </c>
      <c r="U9" s="536">
        <f>+$F$9</f>
        <v>814.54</v>
      </c>
      <c r="V9" s="536">
        <f>+$G$9</f>
        <v>805.1</v>
      </c>
      <c r="W9" s="536">
        <f>+$H$9</f>
        <v>813.3</v>
      </c>
      <c r="X9" s="536">
        <f>+$I$9</f>
        <v>1105.51</v>
      </c>
      <c r="Y9" s="536">
        <f>+$J$9</f>
        <v>1339.07</v>
      </c>
      <c r="Z9" s="536">
        <f>+$K$9</f>
        <v>1291.68</v>
      </c>
      <c r="AA9" s="536">
        <f>+$L$9</f>
        <v>1255.19</v>
      </c>
      <c r="AB9" s="536">
        <f>+$M$9</f>
        <v>1290.02</v>
      </c>
      <c r="AE9" s="57"/>
      <c r="AF9" s="58" t="s">
        <v>53</v>
      </c>
      <c r="AG9" s="536">
        <f>+$C$9*q17a!$C$9</f>
        <v>178752.12</v>
      </c>
      <c r="AH9" s="536">
        <f>+$D$9*q17a!$D$9</f>
        <v>144859.82</v>
      </c>
      <c r="AI9" s="536">
        <f>+$E$9*q17a!$E$9</f>
        <v>125942.16</v>
      </c>
      <c r="AJ9" s="536">
        <f>+$F$9*q17a!$F$9</f>
        <v>155577.13999999998</v>
      </c>
      <c r="AK9" s="536">
        <f>+$G$9*q17a!$G$9</f>
        <v>221402.5</v>
      </c>
      <c r="AL9" s="536">
        <f>+$H$9*q17a!$H$9</f>
        <v>204951.59999999998</v>
      </c>
      <c r="AM9" s="536">
        <f>+$I$9*q17a!$I$9</f>
        <v>279694.02999999997</v>
      </c>
      <c r="AN9" s="536">
        <f>+$J$9*q17a!$J$9</f>
        <v>254423.3</v>
      </c>
      <c r="AO9" s="536">
        <f>+$K$9*q17a!$K$9</f>
        <v>281586.24</v>
      </c>
      <c r="AP9" s="536">
        <f>+$L$9*q17a!$L$9</f>
        <v>346432.44</v>
      </c>
      <c r="AQ9" s="536">
        <f>+$M$9*q17a!$M$9</f>
        <v>347015.38</v>
      </c>
    </row>
    <row r="10" spans="1:54" s="124" customFormat="1" ht="12.75" customHeight="1">
      <c r="A10" s="56"/>
      <c r="B10" s="58" t="str">
        <f>+'q37'!B10</f>
        <v>M</v>
      </c>
      <c r="C10" s="390">
        <f>+'q37'!C10</f>
        <v>574.46</v>
      </c>
      <c r="D10" s="390">
        <f>+'q37'!D10</f>
        <v>590.63</v>
      </c>
      <c r="E10" s="390">
        <f>+'q37'!E10</f>
        <v>590.91999999999996</v>
      </c>
      <c r="F10" s="390">
        <f>+'q37'!F10</f>
        <v>620.16</v>
      </c>
      <c r="G10" s="390">
        <f>+'q37'!G10</f>
        <v>647.80999999999995</v>
      </c>
      <c r="H10" s="390">
        <f>+'q37'!H10</f>
        <v>696.86</v>
      </c>
      <c r="I10" s="390">
        <f>+'q37'!I10</f>
        <v>782.86</v>
      </c>
      <c r="J10" s="390">
        <f>+'q37'!J10</f>
        <v>744.24</v>
      </c>
      <c r="K10" s="390">
        <f>+'q37'!K10</f>
        <v>762.78</v>
      </c>
      <c r="L10" s="390">
        <f>+'q37'!L10</f>
        <v>833.07</v>
      </c>
      <c r="M10" s="390">
        <f>+'q37'!M10</f>
        <v>912.59</v>
      </c>
      <c r="P10" s="56"/>
      <c r="Q10" s="58" t="s">
        <v>54</v>
      </c>
      <c r="R10" s="536">
        <f>+$C$10</f>
        <v>574.46</v>
      </c>
      <c r="S10" s="536">
        <f>+$D$10</f>
        <v>590.63</v>
      </c>
      <c r="T10" s="536">
        <f>+$E$10</f>
        <v>590.91999999999996</v>
      </c>
      <c r="U10" s="536">
        <f>+$F$10</f>
        <v>620.16</v>
      </c>
      <c r="V10" s="536">
        <f>+$G$10</f>
        <v>647.80999999999995</v>
      </c>
      <c r="W10" s="536">
        <f>+$H$10</f>
        <v>696.86</v>
      </c>
      <c r="X10" s="536">
        <f>+$I$10</f>
        <v>782.86</v>
      </c>
      <c r="Y10" s="536">
        <f>+$J$10</f>
        <v>744.24</v>
      </c>
      <c r="Z10" s="536">
        <f>+$K$10</f>
        <v>762.78</v>
      </c>
      <c r="AA10" s="536">
        <f>+$L$10</f>
        <v>833.07</v>
      </c>
      <c r="AB10" s="536">
        <f>+$M$10</f>
        <v>912.59</v>
      </c>
      <c r="AE10" s="56"/>
      <c r="AF10" s="58" t="s">
        <v>54</v>
      </c>
      <c r="AG10" s="536">
        <f>+$C$10*q17a!$C$10</f>
        <v>78126.559999999998</v>
      </c>
      <c r="AH10" s="536">
        <f>+$D$10*q17a!$D$10</f>
        <v>53156.7</v>
      </c>
      <c r="AI10" s="536">
        <f>+$E$10*q17a!$E$10</f>
        <v>44909.919999999998</v>
      </c>
      <c r="AJ10" s="536">
        <f>+$F$10*q17a!$F$10</f>
        <v>47132.159999999996</v>
      </c>
      <c r="AK10" s="536">
        <f>+$G$10*q17a!$G$10</f>
        <v>68020.049999999988</v>
      </c>
      <c r="AL10" s="536">
        <f>+$H$10*q17a!$H$10</f>
        <v>83623.199999999997</v>
      </c>
      <c r="AM10" s="536">
        <f>+$I$10*q17a!$I$10</f>
        <v>75154.559999999998</v>
      </c>
      <c r="AN10" s="536">
        <f>+$J$10*q17a!$J$10</f>
        <v>30513.84</v>
      </c>
      <c r="AO10" s="536">
        <f>+$K$10*q17a!$K$10</f>
        <v>48817.919999999998</v>
      </c>
      <c r="AP10" s="536">
        <f>+$L$10*q17a!$L$10</f>
        <v>84140.07</v>
      </c>
      <c r="AQ10" s="536">
        <f>+$M$10*q17a!$M$10</f>
        <v>83958.28</v>
      </c>
    </row>
    <row r="11" spans="1:54" s="124" customFormat="1" ht="16.5" customHeight="1">
      <c r="A11" s="56" t="str">
        <f>+'q37'!A11</f>
        <v>18-24 anos</v>
      </c>
      <c r="B11" s="54" t="str">
        <f>+'q37'!B11</f>
        <v>T</v>
      </c>
      <c r="C11" s="388">
        <f>+'q37'!C11</f>
        <v>715.26</v>
      </c>
      <c r="D11" s="388">
        <f>+'q37'!D11</f>
        <v>719.2</v>
      </c>
      <c r="E11" s="388">
        <f>+'q37'!E11</f>
        <v>733.69</v>
      </c>
      <c r="F11" s="388">
        <f>+'q37'!F11</f>
        <v>753.41</v>
      </c>
      <c r="G11" s="388">
        <f>+'q37'!G11</f>
        <v>788.29</v>
      </c>
      <c r="H11" s="388">
        <f>+'q37'!H11</f>
        <v>827.84</v>
      </c>
      <c r="I11" s="388">
        <f>+'q37'!I11</f>
        <v>871.35</v>
      </c>
      <c r="J11" s="388">
        <f>+'q37'!J11</f>
        <v>910.8</v>
      </c>
      <c r="K11" s="388">
        <f>+'q37'!K11</f>
        <v>948.81</v>
      </c>
      <c r="L11" s="388">
        <f>+'q37'!L11</f>
        <v>1015.84</v>
      </c>
      <c r="M11" s="388">
        <f>+'q37'!M11</f>
        <v>1100.3599999999999</v>
      </c>
      <c r="P11" s="56" t="s">
        <v>56</v>
      </c>
      <c r="Q11" s="54" t="s">
        <v>45</v>
      </c>
      <c r="R11" s="536">
        <f>+$C$11</f>
        <v>715.26</v>
      </c>
      <c r="S11" s="536">
        <f>+$D$11</f>
        <v>719.2</v>
      </c>
      <c r="T11" s="536">
        <f>+$E$11</f>
        <v>733.69</v>
      </c>
      <c r="U11" s="536">
        <f>+$F$11</f>
        <v>753.41</v>
      </c>
      <c r="V11" s="536">
        <f>+$G$11</f>
        <v>788.29</v>
      </c>
      <c r="W11" s="536">
        <f>+$H$11</f>
        <v>827.84</v>
      </c>
      <c r="X11" s="536">
        <f>+$I$11</f>
        <v>871.35</v>
      </c>
      <c r="Y11" s="536">
        <f>+$J$11</f>
        <v>910.8</v>
      </c>
      <c r="Z11" s="536">
        <f>+$K$11</f>
        <v>948.81</v>
      </c>
      <c r="AA11" s="536">
        <f>+$L$11</f>
        <v>1015.84</v>
      </c>
      <c r="AB11" s="536">
        <f>+$M$11</f>
        <v>1100.3599999999999</v>
      </c>
      <c r="AE11" s="56" t="s">
        <v>56</v>
      </c>
      <c r="AF11" s="54" t="s">
        <v>45</v>
      </c>
      <c r="AG11" s="536">
        <f>+$C$11*q17a!$C$11</f>
        <v>77507719.379999995</v>
      </c>
      <c r="AH11" s="536">
        <f>+$D$11*q17a!$D$11</f>
        <v>80333920.800000012</v>
      </c>
      <c r="AI11" s="536">
        <f>+$E$11*q17a!$E$11</f>
        <v>88456601.160000011</v>
      </c>
      <c r="AJ11" s="536">
        <f>+$F$11*q17a!$F$11</f>
        <v>97369201.579999998</v>
      </c>
      <c r="AK11" s="536">
        <f>+$G$11*q17a!$G$11</f>
        <v>111147313.42</v>
      </c>
      <c r="AL11" s="536">
        <f>+$H$11*q17a!$H$11</f>
        <v>125985658.24000001</v>
      </c>
      <c r="AM11" s="536">
        <f>+$I$11*q17a!$I$11</f>
        <v>137523427.80000001</v>
      </c>
      <c r="AN11" s="536">
        <f>+$J$11*q17a!$J$11</f>
        <v>128168686.8</v>
      </c>
      <c r="AO11" s="536">
        <f>+$K$11*q17a!$K$11</f>
        <v>135905646.78</v>
      </c>
      <c r="AP11" s="536">
        <f>+$L$11*q17a!$L$11</f>
        <v>165399068.80000001</v>
      </c>
      <c r="AQ11" s="536">
        <f>+$M$11*q17a!$M$11</f>
        <v>187941487.99999997</v>
      </c>
    </row>
    <row r="12" spans="1:54" s="124" customFormat="1" ht="12.75" customHeight="1">
      <c r="A12" s="57"/>
      <c r="B12" s="58" t="str">
        <f>+'q37'!B12</f>
        <v>H</v>
      </c>
      <c r="C12" s="390">
        <f>+'q37'!C12</f>
        <v>753.12</v>
      </c>
      <c r="D12" s="390">
        <f>+'q37'!D12</f>
        <v>752.86</v>
      </c>
      <c r="E12" s="390">
        <f>+'q37'!E12</f>
        <v>768.96</v>
      </c>
      <c r="F12" s="390">
        <f>+'q37'!F12</f>
        <v>785.59</v>
      </c>
      <c r="G12" s="390">
        <f>+'q37'!G12</f>
        <v>818.25</v>
      </c>
      <c r="H12" s="390">
        <f>+'q37'!H12</f>
        <v>858.87</v>
      </c>
      <c r="I12" s="390">
        <f>+'q37'!I12</f>
        <v>904.02</v>
      </c>
      <c r="J12" s="390">
        <f>+'q37'!J12</f>
        <v>939.89</v>
      </c>
      <c r="K12" s="390">
        <f>+'q37'!K12</f>
        <v>975.75</v>
      </c>
      <c r="L12" s="390">
        <f>+'q37'!L12</f>
        <v>1047.2</v>
      </c>
      <c r="M12" s="390">
        <f>+'q37'!M12</f>
        <v>1135</v>
      </c>
      <c r="P12" s="57"/>
      <c r="Q12" s="58" t="s">
        <v>53</v>
      </c>
      <c r="R12" s="536">
        <f>+$C$12</f>
        <v>753.12</v>
      </c>
      <c r="S12" s="536">
        <f>+$D$12</f>
        <v>752.86</v>
      </c>
      <c r="T12" s="536">
        <f>+$E$12</f>
        <v>768.96</v>
      </c>
      <c r="U12" s="536">
        <f>+$F$12</f>
        <v>785.59</v>
      </c>
      <c r="V12" s="536">
        <f>+$G$12</f>
        <v>818.25</v>
      </c>
      <c r="W12" s="536">
        <f>+$H$12</f>
        <v>858.87</v>
      </c>
      <c r="X12" s="536">
        <f>+$I$12</f>
        <v>904.02</v>
      </c>
      <c r="Y12" s="536">
        <f>+$J$12</f>
        <v>939.89</v>
      </c>
      <c r="Z12" s="536">
        <f>+$K$12</f>
        <v>975.75</v>
      </c>
      <c r="AA12" s="536">
        <f>+$L$12</f>
        <v>1047.2</v>
      </c>
      <c r="AB12" s="536">
        <f>+$M$12</f>
        <v>1135</v>
      </c>
      <c r="AE12" s="57"/>
      <c r="AF12" s="58" t="s">
        <v>53</v>
      </c>
      <c r="AG12" s="536">
        <f>+$C$12*q17a!$C$12</f>
        <v>46078140.960000001</v>
      </c>
      <c r="AH12" s="536">
        <f>+$D$12*q17a!$D$12</f>
        <v>47735841.160000004</v>
      </c>
      <c r="AI12" s="536">
        <f>+$E$12*q17a!$E$12</f>
        <v>52317731.520000003</v>
      </c>
      <c r="AJ12" s="536">
        <f>+$F$12*q17a!$F$12</f>
        <v>57297792.240000002</v>
      </c>
      <c r="AK12" s="536">
        <f>+$G$12*q17a!$G$12</f>
        <v>65190795.75</v>
      </c>
      <c r="AL12" s="536">
        <f>+$H$12*q17a!$H$12</f>
        <v>74683040.849999994</v>
      </c>
      <c r="AM12" s="536">
        <f>+$I$12*q17a!$I$12</f>
        <v>81411521.099999994</v>
      </c>
      <c r="AN12" s="536">
        <f>+$J$12*q17a!$J$12</f>
        <v>76804051.239999995</v>
      </c>
      <c r="AO12" s="536">
        <f>+$K$12*q17a!$K$12</f>
        <v>79862210.25</v>
      </c>
      <c r="AP12" s="536">
        <f>+$L$12*q17a!$L$12</f>
        <v>97048212.799999997</v>
      </c>
      <c r="AQ12" s="536">
        <f>+$M$12*q17a!$M$12</f>
        <v>111230000</v>
      </c>
    </row>
    <row r="13" spans="1:54" s="124" customFormat="1" ht="12.75" customHeight="1">
      <c r="A13" s="56"/>
      <c r="B13" s="58" t="str">
        <f>+'q37'!B13</f>
        <v>M</v>
      </c>
      <c r="C13" s="390">
        <f>+'q37'!C13</f>
        <v>666.16</v>
      </c>
      <c r="D13" s="390">
        <f>+'q37'!D13</f>
        <v>675</v>
      </c>
      <c r="E13" s="390">
        <f>+'q37'!E13</f>
        <v>688.01</v>
      </c>
      <c r="F13" s="390">
        <f>+'q37'!F13</f>
        <v>711.72</v>
      </c>
      <c r="G13" s="390">
        <f>+'q37'!G13</f>
        <v>749.37</v>
      </c>
      <c r="H13" s="390">
        <f>+'q37'!H13</f>
        <v>786.48</v>
      </c>
      <c r="I13" s="390">
        <f>+'q37'!I13</f>
        <v>827.95</v>
      </c>
      <c r="J13" s="390">
        <f>+'q37'!J13</f>
        <v>870.5</v>
      </c>
      <c r="K13" s="390">
        <f>+'q37'!K13</f>
        <v>912.9</v>
      </c>
      <c r="L13" s="390">
        <f>+'q37'!L13</f>
        <v>974.41</v>
      </c>
      <c r="M13" s="390">
        <f>+'q37'!M13</f>
        <v>1053.73</v>
      </c>
      <c r="P13" s="56"/>
      <c r="Q13" s="58" t="s">
        <v>54</v>
      </c>
      <c r="R13" s="536">
        <f>+$C$13</f>
        <v>666.16</v>
      </c>
      <c r="S13" s="536">
        <f>+$D$13</f>
        <v>675</v>
      </c>
      <c r="T13" s="536">
        <f>+$E$13</f>
        <v>688.01</v>
      </c>
      <c r="U13" s="536">
        <f>+$F$13</f>
        <v>711.72</v>
      </c>
      <c r="V13" s="536">
        <f>+$G$13</f>
        <v>749.37</v>
      </c>
      <c r="W13" s="536">
        <f>+$H$13</f>
        <v>786.48</v>
      </c>
      <c r="X13" s="536">
        <f>+$I$13</f>
        <v>827.95</v>
      </c>
      <c r="Y13" s="536">
        <f>+$J$13</f>
        <v>870.5</v>
      </c>
      <c r="Z13" s="536">
        <f>+$K$13</f>
        <v>912.9</v>
      </c>
      <c r="AA13" s="536">
        <f>+$L$13</f>
        <v>974.41</v>
      </c>
      <c r="AB13" s="536">
        <f>+$M$13</f>
        <v>1053.73</v>
      </c>
      <c r="AE13" s="56"/>
      <c r="AF13" s="58" t="s">
        <v>54</v>
      </c>
      <c r="AG13" s="536">
        <f>+$C$13*q17a!$C$13</f>
        <v>31429428.799999997</v>
      </c>
      <c r="AH13" s="536">
        <f>+$D$13*q17a!$D$13</f>
        <v>32597775</v>
      </c>
      <c r="AI13" s="536">
        <f>+$E$13*q17a!$E$13</f>
        <v>36139101.269999996</v>
      </c>
      <c r="AJ13" s="536">
        <f>+$F$13*q17a!$F$13</f>
        <v>40071259.440000005</v>
      </c>
      <c r="AK13" s="536">
        <f>+$G$13*q17a!$G$13</f>
        <v>45956613.990000002</v>
      </c>
      <c r="AL13" s="536">
        <f>+$H$13*q17a!$H$13</f>
        <v>51302876.880000003</v>
      </c>
      <c r="AM13" s="536">
        <f>+$I$13*q17a!$I$13</f>
        <v>56112655.350000001</v>
      </c>
      <c r="AN13" s="536">
        <f>+$J$13*q17a!$J$13</f>
        <v>51363852.5</v>
      </c>
      <c r="AO13" s="536">
        <f>+$K$13*q17a!$K$13</f>
        <v>56043843.899999999</v>
      </c>
      <c r="AP13" s="536">
        <f>+$L$13*q17a!$L$13</f>
        <v>68350963.859999999</v>
      </c>
      <c r="AQ13" s="536">
        <f>+$M$13*q17a!$M$13</f>
        <v>76711544</v>
      </c>
    </row>
    <row r="14" spans="1:54" s="124" customFormat="1" ht="16.5" customHeight="1">
      <c r="A14" s="56" t="str">
        <f>+'q37'!A14</f>
        <v>25-29 anos</v>
      </c>
      <c r="B14" s="54" t="str">
        <f>+'q37'!B14</f>
        <v>T</v>
      </c>
      <c r="C14" s="388">
        <f>+'q37'!C14</f>
        <v>865.89</v>
      </c>
      <c r="D14" s="388">
        <f>+'q37'!D14</f>
        <v>862.51</v>
      </c>
      <c r="E14" s="388">
        <f>+'q37'!E14</f>
        <v>871.58</v>
      </c>
      <c r="F14" s="388">
        <f>+'q37'!F14</f>
        <v>893.31</v>
      </c>
      <c r="G14" s="388">
        <f>+'q37'!G14</f>
        <v>935.65</v>
      </c>
      <c r="H14" s="388">
        <f>+'q37'!H14</f>
        <v>980.03</v>
      </c>
      <c r="I14" s="388">
        <f>+'q37'!I14</f>
        <v>1030.8599999999999</v>
      </c>
      <c r="J14" s="388">
        <f>+'q37'!J14</f>
        <v>1074.49</v>
      </c>
      <c r="K14" s="388">
        <f>+'q37'!K14</f>
        <v>1126.1199999999999</v>
      </c>
      <c r="L14" s="388">
        <f>+'q37'!L14</f>
        <v>1206.3499999999999</v>
      </c>
      <c r="M14" s="388">
        <f>+'q37'!M14</f>
        <v>1287.3499999999999</v>
      </c>
      <c r="P14" s="56" t="s">
        <v>57</v>
      </c>
      <c r="Q14" s="54" t="s">
        <v>45</v>
      </c>
      <c r="R14" s="124">
        <f>+$C$14*q17a!$C$14</f>
        <v>191028322.34999999</v>
      </c>
      <c r="S14" s="124">
        <f>+$D$14*q17a!$D$14</f>
        <v>183723255.09999999</v>
      </c>
      <c r="T14" s="124">
        <f>+$E$14*q17a!$E$14</f>
        <v>189347268.68000001</v>
      </c>
      <c r="U14" s="124">
        <f>+$F$14*q17a!$F$14</f>
        <v>201046561.97999999</v>
      </c>
      <c r="V14" s="124">
        <f>+$G$14*q17a!$G$14</f>
        <v>220163123.25</v>
      </c>
      <c r="W14" s="124">
        <f>+$H$14*q17a!$H$14</f>
        <v>242637787.45999998</v>
      </c>
      <c r="X14" s="124">
        <f>+$I$14*q17a!$I$14</f>
        <v>263655846.17999998</v>
      </c>
      <c r="Y14" s="124">
        <f>+$J$14*q17a!$J$14</f>
        <v>262094973.25</v>
      </c>
      <c r="Z14" s="124">
        <f>+$K$14*q17a!$K$14</f>
        <v>278964698.63999999</v>
      </c>
      <c r="AA14" s="124">
        <f>+$L$14*q17a!$L$14</f>
        <v>329335962.69999999</v>
      </c>
      <c r="AB14" s="124">
        <f>+$M$14*q17a!$M$14</f>
        <v>370890684.39999998</v>
      </c>
      <c r="AE14" s="56" t="s">
        <v>57</v>
      </c>
      <c r="AF14" s="54" t="s">
        <v>45</v>
      </c>
      <c r="AG14" s="124">
        <f>+$C$14*q17a!$C$14</f>
        <v>191028322.34999999</v>
      </c>
      <c r="AH14" s="124">
        <f>+$D$14*q17a!$D$14</f>
        <v>183723255.09999999</v>
      </c>
      <c r="AI14" s="124">
        <f>+$E$14*q17a!$E$14</f>
        <v>189347268.68000001</v>
      </c>
      <c r="AJ14" s="124">
        <f>+$F$14*q17a!$F$14</f>
        <v>201046561.97999999</v>
      </c>
      <c r="AK14" s="124">
        <f>+$G$14*q17a!$G$14</f>
        <v>220163123.25</v>
      </c>
      <c r="AL14" s="124">
        <f>+$H$14*q17a!$H$14</f>
        <v>242637787.45999998</v>
      </c>
      <c r="AM14" s="124">
        <f>+$I$14*q17a!$I$14</f>
        <v>263655846.17999998</v>
      </c>
      <c r="AN14" s="124">
        <f>+$J$14*q17a!$J$14</f>
        <v>262094973.25</v>
      </c>
      <c r="AO14" s="124">
        <f>+$K$14*q17a!$K$14</f>
        <v>278964698.63999999</v>
      </c>
      <c r="AP14" s="124">
        <f>+$L$14*q17a!$L$14</f>
        <v>329335962.69999999</v>
      </c>
      <c r="AQ14" s="124">
        <f>+$M$14*q17a!$M$14</f>
        <v>370890684.39999998</v>
      </c>
    </row>
    <row r="15" spans="1:54" s="124" customFormat="1" ht="12.75" customHeight="1">
      <c r="A15" s="57"/>
      <c r="B15" s="58" t="str">
        <f>+'q37'!B15</f>
        <v>H</v>
      </c>
      <c r="C15" s="390">
        <f>+'q37'!C15</f>
        <v>906.41</v>
      </c>
      <c r="D15" s="390">
        <f>+'q37'!D15</f>
        <v>901.55</v>
      </c>
      <c r="E15" s="390">
        <f>+'q37'!E15</f>
        <v>917.1</v>
      </c>
      <c r="F15" s="390">
        <f>+'q37'!F15</f>
        <v>938.4</v>
      </c>
      <c r="G15" s="390">
        <f>+'q37'!G15</f>
        <v>982.93</v>
      </c>
      <c r="H15" s="390">
        <f>+'q37'!H15</f>
        <v>1028.6199999999999</v>
      </c>
      <c r="I15" s="390">
        <f>+'q37'!I15</f>
        <v>1078.1600000000001</v>
      </c>
      <c r="J15" s="390">
        <f>+'q37'!J15</f>
        <v>1116.2</v>
      </c>
      <c r="K15" s="390">
        <f>+'q37'!K15</f>
        <v>1172.81</v>
      </c>
      <c r="L15" s="390">
        <f>+'q37'!L15</f>
        <v>1256.52</v>
      </c>
      <c r="M15" s="390">
        <f>+'q37'!M15</f>
        <v>1332.6</v>
      </c>
      <c r="P15" s="57"/>
      <c r="Q15" s="58" t="s">
        <v>53</v>
      </c>
      <c r="R15" s="124">
        <f>+$C$15*q17a!$C$15</f>
        <v>103714151.42999999</v>
      </c>
      <c r="S15" s="124">
        <f>+$D$15*q17a!$D$15</f>
        <v>100798699.3</v>
      </c>
      <c r="T15" s="124">
        <f>+$E$15*q17a!$E$15</f>
        <v>104150461.5</v>
      </c>
      <c r="U15" s="124">
        <f>+$F$15*q17a!$F$15</f>
        <v>111126266.39999999</v>
      </c>
      <c r="V15" s="124">
        <f>+$G$15*q17a!$G$15</f>
        <v>122425897.36</v>
      </c>
      <c r="W15" s="124">
        <f>+$H$15*q17a!$H$15</f>
        <v>135541257.39999998</v>
      </c>
      <c r="X15" s="124">
        <f>+$I$15*q17a!$I$15</f>
        <v>147392019.12</v>
      </c>
      <c r="Y15" s="124">
        <f>+$J$15*q17a!$J$15</f>
        <v>147149762.20000002</v>
      </c>
      <c r="Z15" s="124">
        <f>+$K$15*q17a!$K$15</f>
        <v>156499766.40000001</v>
      </c>
      <c r="AA15" s="124">
        <f>+$L$15*q17a!$L$15</f>
        <v>186761593.68000001</v>
      </c>
      <c r="AB15" s="124">
        <f>+$M$15*q17a!$M$15</f>
        <v>211230426</v>
      </c>
      <c r="AE15" s="57"/>
      <c r="AF15" s="58" t="s">
        <v>53</v>
      </c>
      <c r="AG15" s="124">
        <f>+$C$15*q17a!$C$15</f>
        <v>103714151.42999999</v>
      </c>
      <c r="AH15" s="124">
        <f>+$D$15*q17a!$D$15</f>
        <v>100798699.3</v>
      </c>
      <c r="AI15" s="124">
        <f>+$E$15*q17a!$E$15</f>
        <v>104150461.5</v>
      </c>
      <c r="AJ15" s="124">
        <f>+$F$15*q17a!$F$15</f>
        <v>111126266.39999999</v>
      </c>
      <c r="AK15" s="124">
        <f>+$G$15*q17a!$G$15</f>
        <v>122425897.36</v>
      </c>
      <c r="AL15" s="124">
        <f>+$H$15*q17a!$H$15</f>
        <v>135541257.39999998</v>
      </c>
      <c r="AM15" s="124">
        <f>+$I$15*q17a!$I$15</f>
        <v>147392019.12</v>
      </c>
      <c r="AN15" s="124">
        <f>+$J$15*q17a!$J$15</f>
        <v>147149762.20000002</v>
      </c>
      <c r="AO15" s="124">
        <f>+$K$15*q17a!$K$15</f>
        <v>156499766.40000001</v>
      </c>
      <c r="AP15" s="124">
        <f>+$L$15*q17a!$L$15</f>
        <v>186761593.68000001</v>
      </c>
      <c r="AQ15" s="124">
        <f>+$M$15*q17a!$M$15</f>
        <v>211230426</v>
      </c>
    </row>
    <row r="16" spans="1:54" s="124" customFormat="1" ht="12.75" customHeight="1">
      <c r="A16" s="56"/>
      <c r="B16" s="58" t="str">
        <f>+'q37'!B16</f>
        <v>M</v>
      </c>
      <c r="C16" s="390">
        <f>+'q37'!C16</f>
        <v>822.22</v>
      </c>
      <c r="D16" s="390">
        <f>+'q37'!D16</f>
        <v>819.39</v>
      </c>
      <c r="E16" s="390">
        <f>+'q37'!E16</f>
        <v>821.71</v>
      </c>
      <c r="F16" s="390">
        <f>+'q37'!F16</f>
        <v>843.24</v>
      </c>
      <c r="G16" s="390">
        <f>+'q37'!G16</f>
        <v>882.47</v>
      </c>
      <c r="H16" s="390">
        <f>+'q37'!H16</f>
        <v>924.75</v>
      </c>
      <c r="I16" s="390">
        <f>+'q37'!I16</f>
        <v>976.53</v>
      </c>
      <c r="J16" s="390">
        <f>+'q37'!J16</f>
        <v>1025.45</v>
      </c>
      <c r="K16" s="390">
        <f>+'q37'!K16</f>
        <v>1071.5999999999999</v>
      </c>
      <c r="L16" s="390">
        <f>+'q37'!L16</f>
        <v>1146.3900000000001</v>
      </c>
      <c r="M16" s="390">
        <f>+'q37'!M16</f>
        <v>1232.01</v>
      </c>
      <c r="P16" s="56"/>
      <c r="Q16" s="58" t="s">
        <v>54</v>
      </c>
      <c r="R16" s="124">
        <f>+$C$16*q17a!$C$16</f>
        <v>87313186.24000001</v>
      </c>
      <c r="S16" s="124">
        <f>+$D$16*q17a!$D$16</f>
        <v>82925545.560000002</v>
      </c>
      <c r="T16" s="124">
        <f>+$E$16*q17a!$E$16</f>
        <v>85195714.510000005</v>
      </c>
      <c r="U16" s="124">
        <f>+$F$16*q17a!$F$16</f>
        <v>89920583.879999995</v>
      </c>
      <c r="V16" s="124">
        <f>+$G$16*q17a!$G$16</f>
        <v>97736199.909999996</v>
      </c>
      <c r="W16" s="124">
        <f>+$H$16*q17a!$H$16</f>
        <v>107097147</v>
      </c>
      <c r="X16" s="124">
        <f>+$I$16*q17a!$I$16</f>
        <v>116261755.67999999</v>
      </c>
      <c r="Y16" s="124">
        <f>+$J$16*q17a!$J$16</f>
        <v>114946792.30000001</v>
      </c>
      <c r="Z16" s="124">
        <f>+$K$16*q17a!$K$16</f>
        <v>122464591.19999999</v>
      </c>
      <c r="AA16" s="124">
        <f>+$L$16*q17a!$L$16</f>
        <v>142574231.52000001</v>
      </c>
      <c r="AB16" s="124">
        <f>+$M$16*q17a!$M$16</f>
        <v>159661103.94</v>
      </c>
      <c r="AE16" s="56"/>
      <c r="AF16" s="58" t="s">
        <v>54</v>
      </c>
      <c r="AG16" s="124">
        <f>+$C$16*q17a!$C$16</f>
        <v>87313186.24000001</v>
      </c>
      <c r="AH16" s="124">
        <f>+$D$16*q17a!$D$16</f>
        <v>82925545.560000002</v>
      </c>
      <c r="AI16" s="124">
        <f>+$E$16*q17a!$E$16</f>
        <v>85195714.510000005</v>
      </c>
      <c r="AJ16" s="124">
        <f>+$F$16*q17a!$F$16</f>
        <v>89920583.879999995</v>
      </c>
      <c r="AK16" s="124">
        <f>+$G$16*q17a!$G$16</f>
        <v>97736199.909999996</v>
      </c>
      <c r="AL16" s="124">
        <f>+$H$16*q17a!$H$16</f>
        <v>107097147</v>
      </c>
      <c r="AM16" s="124">
        <f>+$I$16*q17a!$I$16</f>
        <v>116261755.67999999</v>
      </c>
      <c r="AN16" s="124">
        <f>+$J$16*q17a!$J$16</f>
        <v>114946792.30000001</v>
      </c>
      <c r="AO16" s="124">
        <f>+$K$16*q17a!$K$16</f>
        <v>122464591.19999999</v>
      </c>
      <c r="AP16" s="124">
        <f>+$L$16*q17a!$L$16</f>
        <v>142574231.52000001</v>
      </c>
      <c r="AQ16" s="124">
        <f>+$M$16*q17a!$M$16</f>
        <v>159661103.94</v>
      </c>
    </row>
    <row r="17" spans="1:43" s="124" customFormat="1" ht="16.5" customHeight="1">
      <c r="A17" s="56" t="str">
        <f>+'q37'!A17</f>
        <v>30-34 anos</v>
      </c>
      <c r="B17" s="54" t="str">
        <f>+'q37'!B17</f>
        <v>T</v>
      </c>
      <c r="C17" s="388">
        <f>+'q37'!C17</f>
        <v>997.83</v>
      </c>
      <c r="D17" s="388">
        <f>+'q37'!D17</f>
        <v>987.53</v>
      </c>
      <c r="E17" s="388">
        <f>+'q37'!E17</f>
        <v>991.06</v>
      </c>
      <c r="F17" s="388">
        <f>+'q37'!F17</f>
        <v>1003.61</v>
      </c>
      <c r="G17" s="388">
        <f>+'q37'!G17</f>
        <v>1034.78</v>
      </c>
      <c r="H17" s="388">
        <f>+'q37'!H17</f>
        <v>1081.3499999999999</v>
      </c>
      <c r="I17" s="388">
        <f>+'q37'!I17</f>
        <v>1135.05</v>
      </c>
      <c r="J17" s="388">
        <f>+'q37'!J17</f>
        <v>1176.05</v>
      </c>
      <c r="K17" s="388">
        <f>+'q37'!K17</f>
        <v>1234.8699999999999</v>
      </c>
      <c r="L17" s="388">
        <f>+'q37'!L17</f>
        <v>1319.28</v>
      </c>
      <c r="M17" s="388">
        <f>+'q37'!M17</f>
        <v>1414.1</v>
      </c>
      <c r="P17" s="56" t="s">
        <v>58</v>
      </c>
      <c r="Q17" s="54" t="s">
        <v>45</v>
      </c>
      <c r="R17" s="124">
        <f>+$C$17*q17a!$C$17</f>
        <v>292533821.10000002</v>
      </c>
      <c r="S17" s="124">
        <f>+$D$17*q17a!$D$17</f>
        <v>283914875</v>
      </c>
      <c r="T17" s="124">
        <f>+$E$17*q17a!$E$17</f>
        <v>280391686.25999999</v>
      </c>
      <c r="U17" s="124">
        <f>+$F$17*q17a!$F$17</f>
        <v>279442157.56999999</v>
      </c>
      <c r="V17" s="124">
        <f>+$G$17*q17a!$G$17</f>
        <v>285619975.59999996</v>
      </c>
      <c r="W17" s="124">
        <f>+$H$17*q17a!$H$17</f>
        <v>297505337.39999998</v>
      </c>
      <c r="X17" s="124">
        <f>+$I$17*q17a!$I$17</f>
        <v>310957162.94999999</v>
      </c>
      <c r="Y17" s="124">
        <f>+$J$17*q17a!$J$17</f>
        <v>309664549.44999999</v>
      </c>
      <c r="Z17" s="124">
        <f>+$K$17*q17a!$K$17</f>
        <v>328735977.56999999</v>
      </c>
      <c r="AA17" s="124">
        <f>+$L$17*q17a!$L$17</f>
        <v>382348452.48000002</v>
      </c>
      <c r="AB17" s="124">
        <f>+$M$17*q17a!$M$17</f>
        <v>429681355.5</v>
      </c>
      <c r="AE17" s="56" t="s">
        <v>58</v>
      </c>
      <c r="AF17" s="54" t="s">
        <v>45</v>
      </c>
      <c r="AG17" s="124">
        <f>+$C$17*q17a!$C$17</f>
        <v>292533821.10000002</v>
      </c>
      <c r="AH17" s="124">
        <f>+$D$17*q17a!$D$17</f>
        <v>283914875</v>
      </c>
      <c r="AI17" s="124">
        <f>+$E$17*q17a!$E$17</f>
        <v>280391686.25999999</v>
      </c>
      <c r="AJ17" s="124">
        <f>+$F$17*q17a!$F$17</f>
        <v>279442157.56999999</v>
      </c>
      <c r="AK17" s="124">
        <f>+$G$17*q17a!$G$17</f>
        <v>285619975.59999996</v>
      </c>
      <c r="AL17" s="124">
        <f>+$H$17*q17a!$H$17</f>
        <v>297505337.39999998</v>
      </c>
      <c r="AM17" s="124">
        <f>+$I$17*q17a!$I$17</f>
        <v>310957162.94999999</v>
      </c>
      <c r="AN17" s="124">
        <f>+$J$17*q17a!$J$17</f>
        <v>309664549.44999999</v>
      </c>
      <c r="AO17" s="124">
        <f>+$K$17*q17a!$K$17</f>
        <v>328735977.56999999</v>
      </c>
      <c r="AP17" s="124">
        <f>+$L$17*q17a!$L$17</f>
        <v>382348452.48000002</v>
      </c>
      <c r="AQ17" s="124">
        <f>+$M$17*q17a!$M$17</f>
        <v>429681355.5</v>
      </c>
    </row>
    <row r="18" spans="1:43" s="124" customFormat="1" ht="12.75" customHeight="1">
      <c r="A18" s="57"/>
      <c r="B18" s="58" t="str">
        <f>+'q37'!B18</f>
        <v>H</v>
      </c>
      <c r="C18" s="390">
        <f>+'q37'!C18</f>
        <v>1053</v>
      </c>
      <c r="D18" s="390">
        <f>+'q37'!D18</f>
        <v>1036.99</v>
      </c>
      <c r="E18" s="390">
        <f>+'q37'!E18</f>
        <v>1043.9100000000001</v>
      </c>
      <c r="F18" s="390">
        <f>+'q37'!F18</f>
        <v>1054.6300000000001</v>
      </c>
      <c r="G18" s="390">
        <f>+'q37'!G18</f>
        <v>1089.0999999999999</v>
      </c>
      <c r="H18" s="390">
        <f>+'q37'!H18</f>
        <v>1145.51</v>
      </c>
      <c r="I18" s="390">
        <f>+'q37'!I18</f>
        <v>1199.1600000000001</v>
      </c>
      <c r="J18" s="390">
        <f>+'q37'!J18</f>
        <v>1236.27</v>
      </c>
      <c r="K18" s="390">
        <f>+'q37'!K18</f>
        <v>1297</v>
      </c>
      <c r="L18" s="390">
        <f>+'q37'!L18</f>
        <v>1382.69</v>
      </c>
      <c r="M18" s="390">
        <f>+'q37'!M18</f>
        <v>1478.18</v>
      </c>
      <c r="P18" s="57"/>
      <c r="Q18" s="58" t="s">
        <v>53</v>
      </c>
      <c r="R18" s="124">
        <f>+$C$18*q17a!$C$18</f>
        <v>161317494</v>
      </c>
      <c r="S18" s="124">
        <f>+$D$18*q17a!$D$18</f>
        <v>156850959.44</v>
      </c>
      <c r="T18" s="124">
        <f>+$E$18*q17a!$E$18</f>
        <v>154972615.14000002</v>
      </c>
      <c r="U18" s="124">
        <f>+$F$18*q17a!$F$18</f>
        <v>154920928.48000002</v>
      </c>
      <c r="V18" s="124">
        <f>+$G$18*q17a!$G$18</f>
        <v>160118392.89999998</v>
      </c>
      <c r="W18" s="124">
        <f>+$H$18*q17a!$H$18</f>
        <v>169841331.16999999</v>
      </c>
      <c r="X18" s="124">
        <f>+$I$18*q17a!$I$18</f>
        <v>178508156.76000002</v>
      </c>
      <c r="Y18" s="124">
        <f>+$J$18*q17a!$J$18</f>
        <v>179045275.28999999</v>
      </c>
      <c r="Z18" s="124">
        <f>+$K$18*q17a!$K$18</f>
        <v>189949541</v>
      </c>
      <c r="AA18" s="124">
        <f>+$L$18*q17a!$L$18</f>
        <v>222964293.26000002</v>
      </c>
      <c r="AB18" s="124">
        <f>+$M$18*q17a!$M$18</f>
        <v>251491632.48000002</v>
      </c>
      <c r="AE18" s="57"/>
      <c r="AF18" s="58" t="s">
        <v>53</v>
      </c>
      <c r="AG18" s="124">
        <f>+$C$18*q17a!$C$18</f>
        <v>161317494</v>
      </c>
      <c r="AH18" s="124">
        <f>+$D$18*q17a!$D$18</f>
        <v>156850959.44</v>
      </c>
      <c r="AI18" s="124">
        <f>+$E$18*q17a!$E$18</f>
        <v>154972615.14000002</v>
      </c>
      <c r="AJ18" s="124">
        <f>+$F$18*q17a!$F$18</f>
        <v>154920928.48000002</v>
      </c>
      <c r="AK18" s="124">
        <f>+$G$18*q17a!$G$18</f>
        <v>160118392.89999998</v>
      </c>
      <c r="AL18" s="124">
        <f>+$H$18*q17a!$H$18</f>
        <v>169841331.16999999</v>
      </c>
      <c r="AM18" s="124">
        <f>+$I$18*q17a!$I$18</f>
        <v>178508156.76000002</v>
      </c>
      <c r="AN18" s="124">
        <f>+$J$18*q17a!$J$18</f>
        <v>179045275.28999999</v>
      </c>
      <c r="AO18" s="124">
        <f>+$K$18*q17a!$K$18</f>
        <v>189949541</v>
      </c>
      <c r="AP18" s="124">
        <f>+$L$18*q17a!$L$18</f>
        <v>222964293.26000002</v>
      </c>
      <c r="AQ18" s="124">
        <f>+$M$18*q17a!$M$18</f>
        <v>251491632.48000002</v>
      </c>
    </row>
    <row r="19" spans="1:43" s="124" customFormat="1" ht="12.75" customHeight="1">
      <c r="A19" s="56"/>
      <c r="B19" s="58" t="str">
        <f>+'q37'!B19</f>
        <v>M</v>
      </c>
      <c r="C19" s="390">
        <f>+'q37'!C19</f>
        <v>937.44</v>
      </c>
      <c r="D19" s="390">
        <f>+'q37'!D19</f>
        <v>932.62</v>
      </c>
      <c r="E19" s="390">
        <f>+'q37'!E19</f>
        <v>932.72</v>
      </c>
      <c r="F19" s="390">
        <f>+'q37'!F19</f>
        <v>946.64</v>
      </c>
      <c r="G19" s="390">
        <f>+'q37'!G19</f>
        <v>972.87</v>
      </c>
      <c r="H19" s="390">
        <f>+'q37'!H19</f>
        <v>1006.36</v>
      </c>
      <c r="I19" s="390">
        <f>+'q37'!I19</f>
        <v>1058.76</v>
      </c>
      <c r="J19" s="390">
        <f>+'q37'!J19</f>
        <v>1102.45</v>
      </c>
      <c r="K19" s="390">
        <f>+'q37'!K19</f>
        <v>1158.8900000000001</v>
      </c>
      <c r="L19" s="390">
        <f>+'q37'!L19</f>
        <v>1239.75</v>
      </c>
      <c r="M19" s="390">
        <f>+'q37'!M19</f>
        <v>1332.57</v>
      </c>
      <c r="P19" s="56"/>
      <c r="Q19" s="58" t="s">
        <v>54</v>
      </c>
      <c r="R19" s="124">
        <f>+$C$19*q17a!$C$19</f>
        <v>131215351.68000001</v>
      </c>
      <c r="S19" s="124">
        <f>+$D$19*q17a!$D$19</f>
        <v>127063879.28</v>
      </c>
      <c r="T19" s="124">
        <f>+$E$19*q17a!$E$19</f>
        <v>125420060.24000001</v>
      </c>
      <c r="U19" s="124">
        <f>+$F$19*q17a!$F$19</f>
        <v>124521972.23999999</v>
      </c>
      <c r="V19" s="124">
        <f>+$G$19*q17a!$G$19</f>
        <v>125501202.87</v>
      </c>
      <c r="W19" s="124">
        <f>+$H$19*q17a!$H$19</f>
        <v>127663810.52</v>
      </c>
      <c r="X19" s="124">
        <f>+$I$19*q17a!$I$19</f>
        <v>132448758.48</v>
      </c>
      <c r="Y19" s="124">
        <f>+$J$19*q17a!$J$19</f>
        <v>130620480.90000001</v>
      </c>
      <c r="Z19" s="124">
        <f>+$K$19*q17a!$K$19</f>
        <v>138786348.62</v>
      </c>
      <c r="AA19" s="124">
        <f>+$L$19*q17a!$L$19</f>
        <v>159384739.5</v>
      </c>
      <c r="AB19" s="124">
        <f>+$M$19*q17a!$M$19</f>
        <v>178189927.82999998</v>
      </c>
      <c r="AE19" s="56"/>
      <c r="AF19" s="58" t="s">
        <v>54</v>
      </c>
      <c r="AG19" s="124">
        <f>+$C$19*q17a!$C$19</f>
        <v>131215351.68000001</v>
      </c>
      <c r="AH19" s="124">
        <f>+$D$19*q17a!$D$19</f>
        <v>127063879.28</v>
      </c>
      <c r="AI19" s="124">
        <f>+$E$19*q17a!$E$19</f>
        <v>125420060.24000001</v>
      </c>
      <c r="AJ19" s="124">
        <f>+$F$19*q17a!$F$19</f>
        <v>124521972.23999999</v>
      </c>
      <c r="AK19" s="124">
        <f>+$G$19*q17a!$G$19</f>
        <v>125501202.87</v>
      </c>
      <c r="AL19" s="124">
        <f>+$H$19*q17a!$H$19</f>
        <v>127663810.52</v>
      </c>
      <c r="AM19" s="124">
        <f>+$I$19*q17a!$I$19</f>
        <v>132448758.48</v>
      </c>
      <c r="AN19" s="124">
        <f>+$J$19*q17a!$J$19</f>
        <v>130620480.90000001</v>
      </c>
      <c r="AO19" s="124">
        <f>+$K$19*q17a!$K$19</f>
        <v>138786348.62</v>
      </c>
      <c r="AP19" s="124">
        <f>+$L$19*q17a!$L$19</f>
        <v>159384739.5</v>
      </c>
      <c r="AQ19" s="124">
        <f>+$M$19*q17a!$M$19</f>
        <v>178189927.82999998</v>
      </c>
    </row>
    <row r="20" spans="1:43" s="124" customFormat="1" ht="16.5" customHeight="1">
      <c r="A20" s="56" t="str">
        <f>+'q37'!A20</f>
        <v>35-39 anos</v>
      </c>
      <c r="B20" s="54" t="str">
        <f>+'q37'!B20</f>
        <v>T</v>
      </c>
      <c r="C20" s="388">
        <f>+'q37'!C20</f>
        <v>1137.8699999999999</v>
      </c>
      <c r="D20" s="388">
        <f>+'q37'!D20</f>
        <v>1125.56</v>
      </c>
      <c r="E20" s="388">
        <f>+'q37'!E20</f>
        <v>1118.1500000000001</v>
      </c>
      <c r="F20" s="388">
        <f>+'q37'!F20</f>
        <v>1123.67</v>
      </c>
      <c r="G20" s="388">
        <f>+'q37'!G20</f>
        <v>1143.2</v>
      </c>
      <c r="H20" s="388">
        <f>+'q37'!H20</f>
        <v>1176.19</v>
      </c>
      <c r="I20" s="388">
        <f>+'q37'!I20</f>
        <v>1219.47</v>
      </c>
      <c r="J20" s="388">
        <f>+'q37'!J20</f>
        <v>1255.8699999999999</v>
      </c>
      <c r="K20" s="388">
        <f>+'q37'!K20</f>
        <v>1302.6099999999999</v>
      </c>
      <c r="L20" s="388">
        <f>+'q37'!L20</f>
        <v>1386.25</v>
      </c>
      <c r="M20" s="388">
        <f>+'q37'!M20</f>
        <v>1486.1</v>
      </c>
      <c r="P20" s="56" t="s">
        <v>59</v>
      </c>
      <c r="Q20" s="54" t="s">
        <v>45</v>
      </c>
      <c r="R20" s="124">
        <f>+$C$20*q17a!$C$20</f>
        <v>373133744.00999999</v>
      </c>
      <c r="S20" s="124">
        <f>+$D$20*q17a!$D$20</f>
        <v>367665299.56</v>
      </c>
      <c r="T20" s="124">
        <f>+$E$20*q17a!$E$20</f>
        <v>365488572.35000002</v>
      </c>
      <c r="U20" s="124">
        <f>+$F$20*q17a!$F$20</f>
        <v>361414971.46000004</v>
      </c>
      <c r="V20" s="124">
        <f>+$G$20*q17a!$G$20</f>
        <v>365248970.40000004</v>
      </c>
      <c r="W20" s="124">
        <f>+$H$20*q17a!$H$20</f>
        <v>374927029.16000003</v>
      </c>
      <c r="X20" s="124">
        <f>+$I$20*q17a!$I$20</f>
        <v>384406211.28000003</v>
      </c>
      <c r="Y20" s="124">
        <f>+$J$20*q17a!$J$20</f>
        <v>373407827.09999996</v>
      </c>
      <c r="Z20" s="124">
        <f>+$K$20*q17a!$K$20</f>
        <v>378063013.34999996</v>
      </c>
      <c r="AA20" s="124">
        <f>+$L$20*q17a!$L$20</f>
        <v>420432990</v>
      </c>
      <c r="AB20" s="124">
        <f>+$M$20*q17a!$M$20</f>
        <v>456312949.39999998</v>
      </c>
      <c r="AE20" s="56" t="s">
        <v>59</v>
      </c>
      <c r="AF20" s="54" t="s">
        <v>45</v>
      </c>
      <c r="AG20" s="124">
        <f>+$C$20*q17a!$C$20</f>
        <v>373133744.00999999</v>
      </c>
      <c r="AH20" s="124">
        <f>+$D$20*q17a!$D$20</f>
        <v>367665299.56</v>
      </c>
      <c r="AI20" s="124">
        <f>+$E$20*q17a!$E$20</f>
        <v>365488572.35000002</v>
      </c>
      <c r="AJ20" s="124">
        <f>+$F$20*q17a!$F$20</f>
        <v>361414971.46000004</v>
      </c>
      <c r="AK20" s="124">
        <f>+$G$20*q17a!$G$20</f>
        <v>365248970.40000004</v>
      </c>
      <c r="AL20" s="124">
        <f>+$H$20*q17a!$H$20</f>
        <v>374927029.16000003</v>
      </c>
      <c r="AM20" s="124">
        <f>+$I$20*q17a!$I$20</f>
        <v>384406211.28000003</v>
      </c>
      <c r="AN20" s="124">
        <f>+$J$20*q17a!$J$20</f>
        <v>373407827.09999996</v>
      </c>
      <c r="AO20" s="124">
        <f>+$K$20*q17a!$K$20</f>
        <v>378063013.34999996</v>
      </c>
      <c r="AP20" s="124">
        <f>+$L$20*q17a!$L$20</f>
        <v>420432990</v>
      </c>
      <c r="AQ20" s="124">
        <f>+$M$20*q17a!$M$20</f>
        <v>456312949.39999998</v>
      </c>
    </row>
    <row r="21" spans="1:43" s="124" customFormat="1" ht="12.75" customHeight="1">
      <c r="A21" s="57"/>
      <c r="B21" s="58" t="str">
        <f>+'q37'!B21</f>
        <v>H</v>
      </c>
      <c r="C21" s="390">
        <f>+'q37'!C21</f>
        <v>1225.8</v>
      </c>
      <c r="D21" s="390">
        <f>+'q37'!D21</f>
        <v>1207.94</v>
      </c>
      <c r="E21" s="390">
        <f>+'q37'!E21</f>
        <v>1199.21</v>
      </c>
      <c r="F21" s="390">
        <f>+'q37'!F21</f>
        <v>1203.05</v>
      </c>
      <c r="G21" s="390">
        <f>+'q37'!G21</f>
        <v>1220.79</v>
      </c>
      <c r="H21" s="390">
        <f>+'q37'!H21</f>
        <v>1256.28</v>
      </c>
      <c r="I21" s="390">
        <f>+'q37'!I21</f>
        <v>1300.3599999999999</v>
      </c>
      <c r="J21" s="390">
        <f>+'q37'!J21</f>
        <v>1332.62</v>
      </c>
      <c r="K21" s="390">
        <f>+'q37'!K21</f>
        <v>1389.05</v>
      </c>
      <c r="L21" s="390">
        <f>+'q37'!L21</f>
        <v>1486.04</v>
      </c>
      <c r="M21" s="390">
        <f>+'q37'!M21</f>
        <v>1588.98</v>
      </c>
      <c r="P21" s="57"/>
      <c r="Q21" s="58" t="s">
        <v>53</v>
      </c>
      <c r="R21" s="124">
        <f>+$C$21*q17a!$C$21</f>
        <v>211537531.79999998</v>
      </c>
      <c r="S21" s="124">
        <f>+$D$21*q17a!$D$21</f>
        <v>208140141.40000001</v>
      </c>
      <c r="T21" s="124">
        <f>+$E$21*q17a!$E$21</f>
        <v>205359915.66</v>
      </c>
      <c r="U21" s="124">
        <f>+$F$21*q17a!$F$21</f>
        <v>203000250.90000001</v>
      </c>
      <c r="V21" s="124">
        <f>+$G$21*q17a!$G$21</f>
        <v>205361293.79999998</v>
      </c>
      <c r="W21" s="124">
        <f>+$H$21*q17a!$H$21</f>
        <v>212345239.56</v>
      </c>
      <c r="X21" s="124">
        <f>+$I$21*q17a!$I$21</f>
        <v>219076850.63999999</v>
      </c>
      <c r="Y21" s="124">
        <f>+$J$21*q17a!$J$21</f>
        <v>214185349.49999997</v>
      </c>
      <c r="Z21" s="124">
        <f>+$K$21*q17a!$K$21</f>
        <v>218892055.19999999</v>
      </c>
      <c r="AA21" s="124">
        <f>+$L$21*q17a!$L$21</f>
        <v>246771802.40000001</v>
      </c>
      <c r="AB21" s="124">
        <f>+$M$21*q17a!$M$21</f>
        <v>269398847.16000003</v>
      </c>
      <c r="AE21" s="57"/>
      <c r="AF21" s="58" t="s">
        <v>53</v>
      </c>
      <c r="AG21" s="124">
        <f>+$C$21*q17a!$C$21</f>
        <v>211537531.79999998</v>
      </c>
      <c r="AH21" s="124">
        <f>+$D$21*q17a!$D$21</f>
        <v>208140141.40000001</v>
      </c>
      <c r="AI21" s="124">
        <f>+$E$21*q17a!$E$21</f>
        <v>205359915.66</v>
      </c>
      <c r="AJ21" s="124">
        <f>+$F$21*q17a!$F$21</f>
        <v>203000250.90000001</v>
      </c>
      <c r="AK21" s="124">
        <f>+$G$21*q17a!$G$21</f>
        <v>205361293.79999998</v>
      </c>
      <c r="AL21" s="124">
        <f>+$H$21*q17a!$H$21</f>
        <v>212345239.56</v>
      </c>
      <c r="AM21" s="124">
        <f>+$I$21*q17a!$I$21</f>
        <v>219076850.63999999</v>
      </c>
      <c r="AN21" s="124">
        <f>+$J$21*q17a!$J$21</f>
        <v>214185349.49999997</v>
      </c>
      <c r="AO21" s="124">
        <f>+$K$21*q17a!$K$21</f>
        <v>218892055.19999999</v>
      </c>
      <c r="AP21" s="124">
        <f>+$L$21*q17a!$L$21</f>
        <v>246771802.40000001</v>
      </c>
      <c r="AQ21" s="124">
        <f>+$M$21*q17a!$M$21</f>
        <v>269398847.16000003</v>
      </c>
    </row>
    <row r="22" spans="1:43" s="124" customFormat="1" ht="12.75" customHeight="1">
      <c r="A22" s="56"/>
      <c r="B22" s="58" t="str">
        <f>+'q37'!B22</f>
        <v>M</v>
      </c>
      <c r="C22" s="390">
        <f>+'q37'!C22</f>
        <v>1040.19</v>
      </c>
      <c r="D22" s="390">
        <f>+'q37'!D22</f>
        <v>1033.5899999999999</v>
      </c>
      <c r="E22" s="390">
        <f>+'q37'!E22</f>
        <v>1028.94</v>
      </c>
      <c r="F22" s="390">
        <f>+'q37'!F22</f>
        <v>1036.08</v>
      </c>
      <c r="G22" s="390">
        <f>+'q37'!G22</f>
        <v>1056.9100000000001</v>
      </c>
      <c r="H22" s="390">
        <f>+'q37'!H22</f>
        <v>1085.78</v>
      </c>
      <c r="I22" s="390">
        <f>+'q37'!I22</f>
        <v>1126.5999999999999</v>
      </c>
      <c r="J22" s="390">
        <f>+'q37'!J22</f>
        <v>1165.56</v>
      </c>
      <c r="K22" s="390">
        <f>+'q37'!K22</f>
        <v>1199.9100000000001</v>
      </c>
      <c r="L22" s="390">
        <f>+'q37'!L22</f>
        <v>1265.49</v>
      </c>
      <c r="M22" s="390">
        <f>+'q37'!M22</f>
        <v>1359.26</v>
      </c>
      <c r="P22" s="56"/>
      <c r="Q22" s="58" t="s">
        <v>54</v>
      </c>
      <c r="R22" s="124">
        <f>+$C$22*q17a!$C$22</f>
        <v>161595596.88</v>
      </c>
      <c r="S22" s="124">
        <f>+$D$22*q17a!$D$22</f>
        <v>159525314.19</v>
      </c>
      <c r="T22" s="124">
        <f>+$E$22*q17a!$E$22</f>
        <v>160126729.62</v>
      </c>
      <c r="U22" s="124">
        <f>+$F$22*q17a!$F$22</f>
        <v>158416632</v>
      </c>
      <c r="V22" s="124">
        <f>+$G$22*q17a!$G$22</f>
        <v>159886174.07000002</v>
      </c>
      <c r="W22" s="124">
        <f>+$H$22*q17a!$H$22</f>
        <v>162581439.85999998</v>
      </c>
      <c r="X22" s="124">
        <f>+$I$22*q17a!$I$22</f>
        <v>165328550</v>
      </c>
      <c r="Y22" s="124">
        <f>+$J$22*q17a!$J$22</f>
        <v>159221323.79999998</v>
      </c>
      <c r="Z22" s="124">
        <f>+$K$22*q17a!$K$22</f>
        <v>159169261.41</v>
      </c>
      <c r="AA22" s="124">
        <f>+$L$22*q17a!$L$22</f>
        <v>173660661.72</v>
      </c>
      <c r="AB22" s="124">
        <f>+$M$22*q17a!$M$22</f>
        <v>186914561.12</v>
      </c>
      <c r="AE22" s="56"/>
      <c r="AF22" s="58" t="s">
        <v>54</v>
      </c>
      <c r="AG22" s="124">
        <f>+$C$22*q17a!$C$22</f>
        <v>161595596.88</v>
      </c>
      <c r="AH22" s="124">
        <f>+$D$22*q17a!$D$22</f>
        <v>159525314.19</v>
      </c>
      <c r="AI22" s="124">
        <f>+$E$22*q17a!$E$22</f>
        <v>160126729.62</v>
      </c>
      <c r="AJ22" s="124">
        <f>+$F$22*q17a!$F$22</f>
        <v>158416632</v>
      </c>
      <c r="AK22" s="124">
        <f>+$G$22*q17a!$G$22</f>
        <v>159886174.07000002</v>
      </c>
      <c r="AL22" s="124">
        <f>+$H$22*q17a!$H$22</f>
        <v>162581439.85999998</v>
      </c>
      <c r="AM22" s="124">
        <f>+$I$22*q17a!$I$22</f>
        <v>165328550</v>
      </c>
      <c r="AN22" s="124">
        <f>+$J$22*q17a!$J$22</f>
        <v>159221323.79999998</v>
      </c>
      <c r="AO22" s="124">
        <f>+$K$22*q17a!$K$22</f>
        <v>159169261.41</v>
      </c>
      <c r="AP22" s="124">
        <f>+$L$22*q17a!$L$22</f>
        <v>173660661.72</v>
      </c>
      <c r="AQ22" s="124">
        <f>+$M$22*q17a!$M$22</f>
        <v>186914561.12</v>
      </c>
    </row>
    <row r="23" spans="1:43" s="124" customFormat="1" ht="16.5" customHeight="1">
      <c r="A23" s="56" t="str">
        <f>+'q37'!A23</f>
        <v>40-44 anos</v>
      </c>
      <c r="B23" s="54" t="str">
        <f>+'q37'!B23</f>
        <v>T</v>
      </c>
      <c r="C23" s="388">
        <f>+'q37'!C23</f>
        <v>1188.8900000000001</v>
      </c>
      <c r="D23" s="388">
        <f>+'q37'!D23</f>
        <v>1199.29</v>
      </c>
      <c r="E23" s="388">
        <f>+'q37'!E23</f>
        <v>1202.77</v>
      </c>
      <c r="F23" s="388">
        <f>+'q37'!F23</f>
        <v>1213.01</v>
      </c>
      <c r="G23" s="388">
        <f>+'q37'!G23</f>
        <v>1237.07</v>
      </c>
      <c r="H23" s="388">
        <f>+'q37'!H23</f>
        <v>1273.52</v>
      </c>
      <c r="I23" s="388">
        <f>+'q37'!I23</f>
        <v>1312.02</v>
      </c>
      <c r="J23" s="388">
        <f>+'q37'!J23</f>
        <v>1336.16</v>
      </c>
      <c r="K23" s="388">
        <f>+'q37'!K23</f>
        <v>1379.16</v>
      </c>
      <c r="L23" s="388">
        <f>+'q37'!L23</f>
        <v>1451.82</v>
      </c>
      <c r="M23" s="388">
        <f>+'q37'!M23</f>
        <v>1553.51</v>
      </c>
      <c r="P23" s="56" t="s">
        <v>60</v>
      </c>
      <c r="Q23" s="54" t="s">
        <v>45</v>
      </c>
      <c r="R23" s="124">
        <f>+$C$23*q17a!$C$23</f>
        <v>344916011.24000001</v>
      </c>
      <c r="S23" s="124">
        <f>+$D$23*q17a!$D$23</f>
        <v>363504799</v>
      </c>
      <c r="T23" s="124">
        <f>+$E$23*q17a!$E$23</f>
        <v>382585500.99000001</v>
      </c>
      <c r="U23" s="124">
        <f>+$F$23*q17a!$F$23</f>
        <v>401678557.42000002</v>
      </c>
      <c r="V23" s="124">
        <f>+$G$23*q17a!$G$23</f>
        <v>423066806.37</v>
      </c>
      <c r="W23" s="124">
        <f>+$H$23*q17a!$H$23</f>
        <v>443240994.88</v>
      </c>
      <c r="X23" s="124">
        <f>+$I$23*q17a!$I$23</f>
        <v>452213933.39999998</v>
      </c>
      <c r="Y23" s="124">
        <f>+$J$23*q17a!$J$23</f>
        <v>441695747.36000001</v>
      </c>
      <c r="Z23" s="124">
        <f>+$K$23*q17a!$K$23</f>
        <v>446807844.36000001</v>
      </c>
      <c r="AA23" s="124">
        <f>+$L$23*q17a!$L$23</f>
        <v>488328367.91999996</v>
      </c>
      <c r="AB23" s="124">
        <f>+$M$23*q17a!$M$23</f>
        <v>528979476.06</v>
      </c>
      <c r="AE23" s="56" t="s">
        <v>60</v>
      </c>
      <c r="AF23" s="54" t="s">
        <v>45</v>
      </c>
      <c r="AG23" s="124">
        <f>+$C$23*q17a!$C$23</f>
        <v>344916011.24000001</v>
      </c>
      <c r="AH23" s="124">
        <f>+$D$23*q17a!$D$23</f>
        <v>363504799</v>
      </c>
      <c r="AI23" s="124">
        <f>+$E$23*q17a!$E$23</f>
        <v>382585500.99000001</v>
      </c>
      <c r="AJ23" s="124">
        <f>+$F$23*q17a!$F$23</f>
        <v>401678557.42000002</v>
      </c>
      <c r="AK23" s="124">
        <f>+$G$23*q17a!$G$23</f>
        <v>423066806.37</v>
      </c>
      <c r="AL23" s="124">
        <f>+$H$23*q17a!$H$23</f>
        <v>443240994.88</v>
      </c>
      <c r="AM23" s="124">
        <f>+$I$23*q17a!$I$23</f>
        <v>452213933.39999998</v>
      </c>
      <c r="AN23" s="124">
        <f>+$J$23*q17a!$J$23</f>
        <v>441695747.36000001</v>
      </c>
      <c r="AO23" s="124">
        <f>+$K$23*q17a!$K$23</f>
        <v>446807844.36000001</v>
      </c>
      <c r="AP23" s="124">
        <f>+$L$23*q17a!$L$23</f>
        <v>488328367.91999996</v>
      </c>
      <c r="AQ23" s="124">
        <f>+$M$23*q17a!$M$23</f>
        <v>528979476.06</v>
      </c>
    </row>
    <row r="24" spans="1:43" s="124" customFormat="1" ht="12.75" customHeight="1">
      <c r="A24" s="57"/>
      <c r="B24" s="58" t="str">
        <f>+'q37'!B24</f>
        <v>H</v>
      </c>
      <c r="C24" s="390">
        <f>+'q37'!C24</f>
        <v>1319.65</v>
      </c>
      <c r="D24" s="390">
        <f>+'q37'!D24</f>
        <v>1322.59</v>
      </c>
      <c r="E24" s="390">
        <f>+'q37'!E24</f>
        <v>1324.11</v>
      </c>
      <c r="F24" s="390">
        <f>+'q37'!F24</f>
        <v>1328.89</v>
      </c>
      <c r="G24" s="390">
        <f>+'q37'!G24</f>
        <v>1345.48</v>
      </c>
      <c r="H24" s="390">
        <f>+'q37'!H24</f>
        <v>1383.56</v>
      </c>
      <c r="I24" s="390">
        <f>+'q37'!I24</f>
        <v>1423.21</v>
      </c>
      <c r="J24" s="390">
        <f>+'q37'!J24</f>
        <v>1438.53</v>
      </c>
      <c r="K24" s="390">
        <f>+'q37'!K24</f>
        <v>1488.14</v>
      </c>
      <c r="L24" s="390">
        <f>+'q37'!L24</f>
        <v>1570.45</v>
      </c>
      <c r="M24" s="390">
        <f>+'q37'!M24</f>
        <v>1675.27</v>
      </c>
      <c r="P24" s="57"/>
      <c r="Q24" s="58" t="s">
        <v>53</v>
      </c>
      <c r="R24" s="124">
        <f>+$C$24*q17a!$C$24</f>
        <v>203651027.30000001</v>
      </c>
      <c r="S24" s="124">
        <f>+$D$24*q17a!$D$24</f>
        <v>212967409.56999999</v>
      </c>
      <c r="T24" s="124">
        <f>+$E$24*q17a!$E$24</f>
        <v>222197574.98999998</v>
      </c>
      <c r="U24" s="124">
        <f>+$F$24*q17a!$F$24</f>
        <v>231201611.09</v>
      </c>
      <c r="V24" s="124">
        <f>+$G$24*q17a!$G$24</f>
        <v>242127198.88</v>
      </c>
      <c r="W24" s="124">
        <f>+$H$24*q17a!$H$24</f>
        <v>253699246.51999998</v>
      </c>
      <c r="X24" s="124">
        <f>+$I$24*q17a!$I$24</f>
        <v>259769982.04000002</v>
      </c>
      <c r="Y24" s="124">
        <f>+$J$24*q17a!$J$24</f>
        <v>252623130.35999998</v>
      </c>
      <c r="Z24" s="124">
        <f>+$K$24*q17a!$K$24</f>
        <v>255099935.08000001</v>
      </c>
      <c r="AA24" s="124">
        <f>+$L$24*q17a!$L$24</f>
        <v>279910726.19999999</v>
      </c>
      <c r="AB24" s="124">
        <f>+$M$24*q17a!$M$24</f>
        <v>304351326.70999998</v>
      </c>
      <c r="AE24" s="57"/>
      <c r="AF24" s="58" t="s">
        <v>53</v>
      </c>
      <c r="AG24" s="124">
        <f>+$C$24*q17a!$C$24</f>
        <v>203651027.30000001</v>
      </c>
      <c r="AH24" s="124">
        <f>+$D$24*q17a!$D$24</f>
        <v>212967409.56999999</v>
      </c>
      <c r="AI24" s="124">
        <f>+$E$24*q17a!$E$24</f>
        <v>222197574.98999998</v>
      </c>
      <c r="AJ24" s="124">
        <f>+$F$24*q17a!$F$24</f>
        <v>231201611.09</v>
      </c>
      <c r="AK24" s="124">
        <f>+$G$24*q17a!$G$24</f>
        <v>242127198.88</v>
      </c>
      <c r="AL24" s="124">
        <f>+$H$24*q17a!$H$24</f>
        <v>253699246.51999998</v>
      </c>
      <c r="AM24" s="124">
        <f>+$I$24*q17a!$I$24</f>
        <v>259769982.04000002</v>
      </c>
      <c r="AN24" s="124">
        <f>+$J$24*q17a!$J$24</f>
        <v>252623130.35999998</v>
      </c>
      <c r="AO24" s="124">
        <f>+$K$24*q17a!$K$24</f>
        <v>255099935.08000001</v>
      </c>
      <c r="AP24" s="124">
        <f>+$L$24*q17a!$L$24</f>
        <v>279910726.19999999</v>
      </c>
      <c r="AQ24" s="124">
        <f>+$M$24*q17a!$M$24</f>
        <v>304351326.70999998</v>
      </c>
    </row>
    <row r="25" spans="1:43" s="124" customFormat="1" ht="12.75" customHeight="1">
      <c r="A25" s="56"/>
      <c r="B25" s="58" t="str">
        <f>+'q37'!B25</f>
        <v>M</v>
      </c>
      <c r="C25" s="390">
        <f>+'q37'!C25</f>
        <v>1040.29</v>
      </c>
      <c r="D25" s="390">
        <f>+'q37'!D25</f>
        <v>1059.56</v>
      </c>
      <c r="E25" s="390">
        <f>+'q37'!E25</f>
        <v>1067.27</v>
      </c>
      <c r="F25" s="390">
        <f>+'q37'!F25</f>
        <v>1084.73</v>
      </c>
      <c r="G25" s="390">
        <f>+'q37'!G25</f>
        <v>1116.67</v>
      </c>
      <c r="H25" s="390">
        <f>+'q37'!H25</f>
        <v>1150.99</v>
      </c>
      <c r="I25" s="390">
        <f>+'q37'!I25</f>
        <v>1186.8499999999999</v>
      </c>
      <c r="J25" s="390">
        <f>+'q37'!J25</f>
        <v>1220.1400000000001</v>
      </c>
      <c r="K25" s="390">
        <f>+'q37'!K25</f>
        <v>1256.71</v>
      </c>
      <c r="L25" s="390">
        <f>+'q37'!L25</f>
        <v>1318.08</v>
      </c>
      <c r="M25" s="390">
        <f>+'q37'!M25</f>
        <v>1414.24</v>
      </c>
      <c r="P25" s="56"/>
      <c r="Q25" s="58" t="s">
        <v>54</v>
      </c>
      <c r="R25" s="124">
        <f>+$C$25*q17a!$C$25</f>
        <v>141265140.25999999</v>
      </c>
      <c r="S25" s="124">
        <f>+$D$25*q17a!$D$25</f>
        <v>150539106.12</v>
      </c>
      <c r="T25" s="124">
        <f>+$E$25*q17a!$E$25</f>
        <v>160387201.06</v>
      </c>
      <c r="U25" s="124">
        <f>+$F$25*q17a!$F$25</f>
        <v>170477251.53</v>
      </c>
      <c r="V25" s="124">
        <f>+$G$25*q17a!$G$25</f>
        <v>180939623.45000002</v>
      </c>
      <c r="W25" s="124">
        <f>+$H$25*q17a!$H$25</f>
        <v>189541580.22999999</v>
      </c>
      <c r="X25" s="124">
        <f>+$I$25*q17a!$I$25</f>
        <v>192442980.09999999</v>
      </c>
      <c r="Y25" s="124">
        <f>+$J$25*q17a!$J$25</f>
        <v>189071674.26000002</v>
      </c>
      <c r="Z25" s="124">
        <f>+$K$25*q17a!$K$25</f>
        <v>191709853.78999999</v>
      </c>
      <c r="AA25" s="124">
        <f>+$L$25*q17a!$L$25</f>
        <v>208414809.59999999</v>
      </c>
      <c r="AB25" s="124">
        <f>+$M$25*q17a!$M$25</f>
        <v>224627981.91999999</v>
      </c>
      <c r="AE25" s="56"/>
      <c r="AF25" s="58" t="s">
        <v>54</v>
      </c>
      <c r="AG25" s="124">
        <f>+$C$25*q17a!$C$25</f>
        <v>141265140.25999999</v>
      </c>
      <c r="AH25" s="124">
        <f>+$D$25*q17a!$D$25</f>
        <v>150539106.12</v>
      </c>
      <c r="AI25" s="124">
        <f>+$E$25*q17a!$E$25</f>
        <v>160387201.06</v>
      </c>
      <c r="AJ25" s="124">
        <f>+$F$25*q17a!$F$25</f>
        <v>170477251.53</v>
      </c>
      <c r="AK25" s="124">
        <f>+$G$25*q17a!$G$25</f>
        <v>180939623.45000002</v>
      </c>
      <c r="AL25" s="124">
        <f>+$H$25*q17a!$H$25</f>
        <v>189541580.22999999</v>
      </c>
      <c r="AM25" s="124">
        <f>+$I$25*q17a!$I$25</f>
        <v>192442980.09999999</v>
      </c>
      <c r="AN25" s="124">
        <f>+$J$25*q17a!$J$25</f>
        <v>189071674.26000002</v>
      </c>
      <c r="AO25" s="124">
        <f>+$K$25*q17a!$K$25</f>
        <v>191709853.78999999</v>
      </c>
      <c r="AP25" s="124">
        <f>+$L$25*q17a!$L$25</f>
        <v>208414809.59999999</v>
      </c>
      <c r="AQ25" s="124">
        <f>+$M$25*q17a!$M$25</f>
        <v>224627981.91999999</v>
      </c>
    </row>
    <row r="26" spans="1:43" s="124" customFormat="1" ht="16.5" customHeight="1">
      <c r="A26" s="56" t="str">
        <f>+'q37'!A26</f>
        <v>45-49 anos</v>
      </c>
      <c r="B26" s="54" t="str">
        <f>+'q37'!B26</f>
        <v>T</v>
      </c>
      <c r="C26" s="388">
        <f>+'q37'!C26</f>
        <v>1183.1500000000001</v>
      </c>
      <c r="D26" s="388">
        <f>+'q37'!D26</f>
        <v>1181.01</v>
      </c>
      <c r="E26" s="388">
        <f>+'q37'!E26</f>
        <v>1187.8800000000001</v>
      </c>
      <c r="F26" s="388">
        <f>+'q37'!F26</f>
        <v>1205.0899999999999</v>
      </c>
      <c r="G26" s="388">
        <f>+'q37'!G26</f>
        <v>1239.57</v>
      </c>
      <c r="H26" s="388">
        <f>+'q37'!H26</f>
        <v>1285.8</v>
      </c>
      <c r="I26" s="388">
        <f>+'q37'!I26</f>
        <v>1339.38</v>
      </c>
      <c r="J26" s="388">
        <f>+'q37'!J26</f>
        <v>1380.51</v>
      </c>
      <c r="K26" s="388">
        <f>+'q37'!K26</f>
        <v>1422.45</v>
      </c>
      <c r="L26" s="388">
        <f>+'q37'!L26</f>
        <v>1499.91</v>
      </c>
      <c r="M26" s="388">
        <f>+'q37'!M26</f>
        <v>1610.09</v>
      </c>
      <c r="P26" s="56" t="s">
        <v>61</v>
      </c>
      <c r="Q26" s="54" t="s">
        <v>45</v>
      </c>
      <c r="R26" s="124">
        <f>+$C$26*q17a!$C$26</f>
        <v>290057504.55000001</v>
      </c>
      <c r="S26" s="124">
        <f>+$D$26*q17a!$D$26</f>
        <v>299592711.75</v>
      </c>
      <c r="T26" s="124">
        <f>+$E$26*q17a!$E$26</f>
        <v>313382937.96000004</v>
      </c>
      <c r="U26" s="124">
        <f>+$F$26*q17a!$F$26</f>
        <v>333829211.44</v>
      </c>
      <c r="V26" s="124">
        <f>+$G$26*q17a!$G$26</f>
        <v>359681068.62</v>
      </c>
      <c r="W26" s="124">
        <f>+$H$26*q17a!$H$26</f>
        <v>391326801</v>
      </c>
      <c r="X26" s="124">
        <f>+$I$26*q17a!$I$26</f>
        <v>416780232.12</v>
      </c>
      <c r="Y26" s="124">
        <f>+$J$26*q17a!$J$26</f>
        <v>432051312.14999998</v>
      </c>
      <c r="Z26" s="124">
        <f>+$K$26*q17a!$K$26</f>
        <v>458890904.69999999</v>
      </c>
      <c r="AA26" s="124">
        <f>+$L$26*q17a!$L$26</f>
        <v>518910363.51000005</v>
      </c>
      <c r="AB26" s="124">
        <f>+$M$26*q17a!$M$26</f>
        <v>567745105.52999997</v>
      </c>
      <c r="AE26" s="56" t="s">
        <v>61</v>
      </c>
      <c r="AF26" s="54" t="s">
        <v>45</v>
      </c>
      <c r="AG26" s="124">
        <f>+$C$26*q17a!$C$26</f>
        <v>290057504.55000001</v>
      </c>
      <c r="AH26" s="124">
        <f>+$D$26*q17a!$D$26</f>
        <v>299592711.75</v>
      </c>
      <c r="AI26" s="124">
        <f>+$E$26*q17a!$E$26</f>
        <v>313382937.96000004</v>
      </c>
      <c r="AJ26" s="124">
        <f>+$F$26*q17a!$F$26</f>
        <v>333829211.44</v>
      </c>
      <c r="AK26" s="124">
        <f>+$G$26*q17a!$G$26</f>
        <v>359681068.62</v>
      </c>
      <c r="AL26" s="124">
        <f>+$H$26*q17a!$H$26</f>
        <v>391326801</v>
      </c>
      <c r="AM26" s="124">
        <f>+$I$26*q17a!$I$26</f>
        <v>416780232.12</v>
      </c>
      <c r="AN26" s="124">
        <f>+$J$26*q17a!$J$26</f>
        <v>432051312.14999998</v>
      </c>
      <c r="AO26" s="124">
        <f>+$K$26*q17a!$K$26</f>
        <v>458890904.69999999</v>
      </c>
      <c r="AP26" s="124">
        <f>+$L$26*q17a!$L$26</f>
        <v>518910363.51000005</v>
      </c>
      <c r="AQ26" s="124">
        <f>+$M$26*q17a!$M$26</f>
        <v>567745105.52999997</v>
      </c>
    </row>
    <row r="27" spans="1:43" s="124" customFormat="1" ht="12.75" customHeight="1">
      <c r="A27" s="57"/>
      <c r="B27" s="58" t="str">
        <f>+'q37'!B27</f>
        <v>H</v>
      </c>
      <c r="C27" s="390">
        <f>+'q37'!C27</f>
        <v>1344.9</v>
      </c>
      <c r="D27" s="390">
        <f>+'q37'!D27</f>
        <v>1332.05</v>
      </c>
      <c r="E27" s="390">
        <f>+'q37'!E27</f>
        <v>1338.47</v>
      </c>
      <c r="F27" s="390">
        <f>+'q37'!F27</f>
        <v>1349.5</v>
      </c>
      <c r="G27" s="390">
        <f>+'q37'!G27</f>
        <v>1378.91</v>
      </c>
      <c r="H27" s="390">
        <f>+'q37'!H27</f>
        <v>1423.62</v>
      </c>
      <c r="I27" s="390">
        <f>+'q37'!I27</f>
        <v>1479.48</v>
      </c>
      <c r="J27" s="390">
        <f>+'q37'!J27</f>
        <v>1515.45</v>
      </c>
      <c r="K27" s="390">
        <f>+'q37'!K27</f>
        <v>1559.28</v>
      </c>
      <c r="L27" s="390">
        <f>+'q37'!L27</f>
        <v>1643.32</v>
      </c>
      <c r="M27" s="390">
        <f>+'q37'!M27</f>
        <v>1758.57</v>
      </c>
      <c r="P27" s="57"/>
      <c r="Q27" s="58" t="s">
        <v>53</v>
      </c>
      <c r="R27" s="124">
        <f>+$C$27*q17a!$C$27</f>
        <v>177799814.70000002</v>
      </c>
      <c r="S27" s="124">
        <f>+$D$27*q17a!$D$27</f>
        <v>181790191.69999999</v>
      </c>
      <c r="T27" s="124">
        <f>+$E$27*q17a!$E$27</f>
        <v>188613176.99000001</v>
      </c>
      <c r="U27" s="124">
        <f>+$F$27*q17a!$F$27</f>
        <v>199253675</v>
      </c>
      <c r="V27" s="124">
        <f>+$G$27*q17a!$G$27</f>
        <v>213932370.86000001</v>
      </c>
      <c r="W27" s="124">
        <f>+$H$27*q17a!$H$27</f>
        <v>231761065.13999999</v>
      </c>
      <c r="X27" s="124">
        <f>+$I$27*q17a!$I$27</f>
        <v>246330461.03999999</v>
      </c>
      <c r="Y27" s="124">
        <f>+$J$27*q17a!$J$27</f>
        <v>253757556.15000001</v>
      </c>
      <c r="Z27" s="124">
        <f>+$K$27*q17a!$K$27</f>
        <v>266448207.12</v>
      </c>
      <c r="AA27" s="124">
        <f>+$L$27*q17a!$L$27</f>
        <v>300030792.31999999</v>
      </c>
      <c r="AB27" s="124">
        <f>+$M$27*q17a!$M$27</f>
        <v>327275152.70999998</v>
      </c>
      <c r="AE27" s="57"/>
      <c r="AF27" s="58" t="s">
        <v>53</v>
      </c>
      <c r="AG27" s="124">
        <f>+$C$27*q17a!$C$27</f>
        <v>177799814.70000002</v>
      </c>
      <c r="AH27" s="124">
        <f>+$D$27*q17a!$D$27</f>
        <v>181790191.69999999</v>
      </c>
      <c r="AI27" s="124">
        <f>+$E$27*q17a!$E$27</f>
        <v>188613176.99000001</v>
      </c>
      <c r="AJ27" s="124">
        <f>+$F$27*q17a!$F$27</f>
        <v>199253675</v>
      </c>
      <c r="AK27" s="124">
        <f>+$G$27*q17a!$G$27</f>
        <v>213932370.86000001</v>
      </c>
      <c r="AL27" s="124">
        <f>+$H$27*q17a!$H$27</f>
        <v>231761065.13999999</v>
      </c>
      <c r="AM27" s="124">
        <f>+$I$27*q17a!$I$27</f>
        <v>246330461.03999999</v>
      </c>
      <c r="AN27" s="124">
        <f>+$J$27*q17a!$J$27</f>
        <v>253757556.15000001</v>
      </c>
      <c r="AO27" s="124">
        <f>+$K$27*q17a!$K$27</f>
        <v>266448207.12</v>
      </c>
      <c r="AP27" s="124">
        <f>+$L$27*q17a!$L$27</f>
        <v>300030792.31999999</v>
      </c>
      <c r="AQ27" s="124">
        <f>+$M$27*q17a!$M$27</f>
        <v>327275152.70999998</v>
      </c>
    </row>
    <row r="28" spans="1:43" s="124" customFormat="1" ht="12.75" customHeight="1">
      <c r="A28" s="56"/>
      <c r="B28" s="58" t="str">
        <f>+'q37'!B28</f>
        <v>M</v>
      </c>
      <c r="C28" s="390">
        <f>+'q37'!C28</f>
        <v>993.84</v>
      </c>
      <c r="D28" s="390">
        <f>+'q37'!D28</f>
        <v>1005.13</v>
      </c>
      <c r="E28" s="390">
        <f>+'q37'!E28</f>
        <v>1015.23</v>
      </c>
      <c r="F28" s="390">
        <f>+'q37'!F28</f>
        <v>1040.28</v>
      </c>
      <c r="G28" s="390">
        <f>+'q37'!G28</f>
        <v>1079.45</v>
      </c>
      <c r="H28" s="390">
        <f>+'q37'!H28</f>
        <v>1127.3</v>
      </c>
      <c r="I28" s="390">
        <f>+'q37'!I28</f>
        <v>1178.1400000000001</v>
      </c>
      <c r="J28" s="390">
        <f>+'q37'!J28</f>
        <v>1225.22</v>
      </c>
      <c r="K28" s="390">
        <f>+'q37'!K28</f>
        <v>1268.3399999999999</v>
      </c>
      <c r="L28" s="390">
        <f>+'q37'!L28</f>
        <v>1339.65</v>
      </c>
      <c r="M28" s="390">
        <f>+'q37'!M28</f>
        <v>1444.15</v>
      </c>
      <c r="P28" s="56"/>
      <c r="Q28" s="58" t="s">
        <v>54</v>
      </c>
      <c r="R28" s="124">
        <f>+$C$28*q17a!$C$28</f>
        <v>112258203.36</v>
      </c>
      <c r="S28" s="124">
        <f>+$D$28*q17a!$D$28</f>
        <v>117802241.13</v>
      </c>
      <c r="T28" s="124">
        <f>+$E$28*q17a!$E$28</f>
        <v>124771767</v>
      </c>
      <c r="U28" s="124">
        <f>+$F$28*q17a!$F$28</f>
        <v>134576862.47999999</v>
      </c>
      <c r="V28" s="124">
        <f>+$G$28*q17a!$G$28</f>
        <v>145747339</v>
      </c>
      <c r="W28" s="124">
        <f>+$H$28*q17a!$H$28</f>
        <v>159567060.40000001</v>
      </c>
      <c r="X28" s="124">
        <f>+$I$28*q17a!$I$28</f>
        <v>170448582.64000002</v>
      </c>
      <c r="Y28" s="124">
        <f>+$J$28*q17a!$J$28</f>
        <v>178291563.96000001</v>
      </c>
      <c r="Z28" s="124">
        <f>+$K$28*q17a!$K$28</f>
        <v>192441423.17999998</v>
      </c>
      <c r="AA28" s="124">
        <f>+$L$28*q17a!$L$28</f>
        <v>218878715.25</v>
      </c>
      <c r="AB28" s="124">
        <f>+$M$28*q17a!$M$28</f>
        <v>240471193.10000002</v>
      </c>
      <c r="AE28" s="56"/>
      <c r="AF28" s="58" t="s">
        <v>54</v>
      </c>
      <c r="AG28" s="124">
        <f>+$C$28*q17a!$C$28</f>
        <v>112258203.36</v>
      </c>
      <c r="AH28" s="124">
        <f>+$D$28*q17a!$D$28</f>
        <v>117802241.13</v>
      </c>
      <c r="AI28" s="124">
        <f>+$E$28*q17a!$E$28</f>
        <v>124771767</v>
      </c>
      <c r="AJ28" s="124">
        <f>+$F$28*q17a!$F$28</f>
        <v>134576862.47999999</v>
      </c>
      <c r="AK28" s="124">
        <f>+$G$28*q17a!$G$28</f>
        <v>145747339</v>
      </c>
      <c r="AL28" s="124">
        <f>+$H$28*q17a!$H$28</f>
        <v>159567060.40000001</v>
      </c>
      <c r="AM28" s="124">
        <f>+$I$28*q17a!$I$28</f>
        <v>170448582.64000002</v>
      </c>
      <c r="AN28" s="124">
        <f>+$J$28*q17a!$J$28</f>
        <v>178291563.96000001</v>
      </c>
      <c r="AO28" s="124">
        <f>+$K$28*q17a!$K$28</f>
        <v>192441423.17999998</v>
      </c>
      <c r="AP28" s="124">
        <f>+$L$28*q17a!$L$28</f>
        <v>218878715.25</v>
      </c>
      <c r="AQ28" s="124">
        <f>+$M$28*q17a!$M$28</f>
        <v>240471193.10000002</v>
      </c>
    </row>
    <row r="29" spans="1:43" s="124" customFormat="1" ht="16.5" customHeight="1">
      <c r="A29" s="56" t="str">
        <f>+'q37'!A29</f>
        <v>50-54 anos</v>
      </c>
      <c r="B29" s="54" t="str">
        <f>+'q37'!B29</f>
        <v>T</v>
      </c>
      <c r="C29" s="388">
        <f>+'q37'!C29</f>
        <v>1196.1300000000001</v>
      </c>
      <c r="D29" s="388">
        <f>+'q37'!D29</f>
        <v>1190.3399999999999</v>
      </c>
      <c r="E29" s="388">
        <f>+'q37'!E29</f>
        <v>1189.6400000000001</v>
      </c>
      <c r="F29" s="388">
        <f>+'q37'!F29</f>
        <v>1198.54</v>
      </c>
      <c r="G29" s="388">
        <f>+'q37'!G29</f>
        <v>1218.03</v>
      </c>
      <c r="H29" s="388">
        <f>+'q37'!H29</f>
        <v>1252.93</v>
      </c>
      <c r="I29" s="388">
        <f>+'q37'!I29</f>
        <v>1283.5999999999999</v>
      </c>
      <c r="J29" s="388">
        <f>+'q37'!J29</f>
        <v>1324.32</v>
      </c>
      <c r="K29" s="388">
        <f>+'q37'!K29</f>
        <v>1369.01</v>
      </c>
      <c r="L29" s="388">
        <f>+'q37'!L29</f>
        <v>1457.11</v>
      </c>
      <c r="M29" s="388">
        <f>+'q37'!M29</f>
        <v>1577.03</v>
      </c>
      <c r="P29" s="56" t="s">
        <v>62</v>
      </c>
      <c r="Q29" s="54" t="s">
        <v>45</v>
      </c>
      <c r="R29" s="124">
        <f>+$C$29*q17a!$C$29</f>
        <v>235482113.10000002</v>
      </c>
      <c r="S29" s="124">
        <f>+$D$29*q17a!$D$29</f>
        <v>243985180.13999999</v>
      </c>
      <c r="T29" s="124">
        <f>+$E$29*q17a!$E$29</f>
        <v>256608916.92000002</v>
      </c>
      <c r="U29" s="124">
        <f>+$F$29*q17a!$F$29</f>
        <v>274380563.65999997</v>
      </c>
      <c r="V29" s="124">
        <f>+$G$29*q17a!$G$29</f>
        <v>292564715.84999996</v>
      </c>
      <c r="W29" s="124">
        <f>+$H$29*q17a!$H$29</f>
        <v>315495291.58000004</v>
      </c>
      <c r="X29" s="124">
        <f>+$I$29*q17a!$I$29</f>
        <v>326238492.39999998</v>
      </c>
      <c r="Y29" s="124">
        <f>+$J$29*q17a!$J$29</f>
        <v>334218638.39999998</v>
      </c>
      <c r="Z29" s="124">
        <f>+$K$29*q17a!$K$29</f>
        <v>359419885.39999998</v>
      </c>
      <c r="AA29" s="124">
        <f>+$L$29*q17a!$L$29</f>
        <v>413897923.94</v>
      </c>
      <c r="AB29" s="124">
        <f>+$M$29*q17a!$M$29</f>
        <v>468207590.75999999</v>
      </c>
      <c r="AE29" s="56" t="s">
        <v>62</v>
      </c>
      <c r="AF29" s="54" t="s">
        <v>45</v>
      </c>
      <c r="AG29" s="124">
        <f>+$C$29*q17a!$C$29</f>
        <v>235482113.10000002</v>
      </c>
      <c r="AH29" s="124">
        <f>+$D$29*q17a!$D$29</f>
        <v>243985180.13999999</v>
      </c>
      <c r="AI29" s="124">
        <f>+$E$29*q17a!$E$29</f>
        <v>256608916.92000002</v>
      </c>
      <c r="AJ29" s="124">
        <f>+$F$29*q17a!$F$29</f>
        <v>274380563.65999997</v>
      </c>
      <c r="AK29" s="124">
        <f>+$G$29*q17a!$G$29</f>
        <v>292564715.84999996</v>
      </c>
      <c r="AL29" s="124">
        <f>+$H$29*q17a!$H$29</f>
        <v>315495291.58000004</v>
      </c>
      <c r="AM29" s="124">
        <f>+$I$29*q17a!$I$29</f>
        <v>326238492.39999998</v>
      </c>
      <c r="AN29" s="124">
        <f>+$J$29*q17a!$J$29</f>
        <v>334218638.39999998</v>
      </c>
      <c r="AO29" s="124">
        <f>+$K$29*q17a!$K$29</f>
        <v>359419885.39999998</v>
      </c>
      <c r="AP29" s="124">
        <f>+$L$29*q17a!$L$29</f>
        <v>413897923.94</v>
      </c>
      <c r="AQ29" s="124">
        <f>+$M$29*q17a!$M$29</f>
        <v>468207590.75999999</v>
      </c>
    </row>
    <row r="30" spans="1:43" s="124" customFormat="1" ht="12.75" customHeight="1">
      <c r="A30" s="57"/>
      <c r="B30" s="58" t="str">
        <f>+'q37'!B30</f>
        <v>H</v>
      </c>
      <c r="C30" s="390">
        <f>+'q37'!C30</f>
        <v>1371.77</v>
      </c>
      <c r="D30" s="390">
        <f>+'q37'!D30</f>
        <v>1362.31</v>
      </c>
      <c r="E30" s="390">
        <f>+'q37'!E30</f>
        <v>1359.58</v>
      </c>
      <c r="F30" s="390">
        <f>+'q37'!F30</f>
        <v>1361.4</v>
      </c>
      <c r="G30" s="390">
        <f>+'q37'!G30</f>
        <v>1373.4</v>
      </c>
      <c r="H30" s="390">
        <f>+'q37'!H30</f>
        <v>1404.54</v>
      </c>
      <c r="I30" s="390">
        <f>+'q37'!I30</f>
        <v>1430.18</v>
      </c>
      <c r="J30" s="390">
        <f>+'q37'!J30</f>
        <v>1468.57</v>
      </c>
      <c r="K30" s="390">
        <f>+'q37'!K30</f>
        <v>1515.09</v>
      </c>
      <c r="L30" s="390">
        <f>+'q37'!L30</f>
        <v>1615.19</v>
      </c>
      <c r="M30" s="390">
        <f>+'q37'!M30</f>
        <v>1743.83</v>
      </c>
      <c r="P30" s="57"/>
      <c r="Q30" s="58" t="s">
        <v>53</v>
      </c>
      <c r="R30" s="124">
        <f>+$C$30*q17a!$C$30</f>
        <v>150540783.34</v>
      </c>
      <c r="S30" s="124">
        <f>+$D$30*q17a!$D$30</f>
        <v>155073109.60999998</v>
      </c>
      <c r="T30" s="124">
        <f>+$E$30*q17a!$E$30</f>
        <v>161927337.57999998</v>
      </c>
      <c r="U30" s="124">
        <f>+$F$30*q17a!$F$30</f>
        <v>171520063.20000002</v>
      </c>
      <c r="V30" s="124">
        <f>+$G$30*q17a!$G$30</f>
        <v>181791464.40000001</v>
      </c>
      <c r="W30" s="124">
        <f>+$H$30*q17a!$H$30</f>
        <v>194757730.01999998</v>
      </c>
      <c r="X30" s="124">
        <f>+$I$30*q17a!$I$30</f>
        <v>199402846.5</v>
      </c>
      <c r="Y30" s="124">
        <f>+$J$30*q17a!$J$30</f>
        <v>203540864.85999998</v>
      </c>
      <c r="Z30" s="124">
        <f>+$K$30*q17a!$K$30</f>
        <v>215613972.98999998</v>
      </c>
      <c r="AA30" s="124">
        <f>+$L$30*q17a!$L$30</f>
        <v>247367963.69</v>
      </c>
      <c r="AB30" s="124">
        <f>+$M$30*q17a!$M$30</f>
        <v>277938600.71999997</v>
      </c>
      <c r="AE30" s="57"/>
      <c r="AF30" s="58" t="s">
        <v>53</v>
      </c>
      <c r="AG30" s="124">
        <f>+$C$30*q17a!$C$30</f>
        <v>150540783.34</v>
      </c>
      <c r="AH30" s="124">
        <f>+$D$30*q17a!$D$30</f>
        <v>155073109.60999998</v>
      </c>
      <c r="AI30" s="124">
        <f>+$E$30*q17a!$E$30</f>
        <v>161927337.57999998</v>
      </c>
      <c r="AJ30" s="124">
        <f>+$F$30*q17a!$F$30</f>
        <v>171520063.20000002</v>
      </c>
      <c r="AK30" s="124">
        <f>+$G$30*q17a!$G$30</f>
        <v>181791464.40000001</v>
      </c>
      <c r="AL30" s="124">
        <f>+$H$30*q17a!$H$30</f>
        <v>194757730.01999998</v>
      </c>
      <c r="AM30" s="124">
        <f>+$I$30*q17a!$I$30</f>
        <v>199402846.5</v>
      </c>
      <c r="AN30" s="124">
        <f>+$J$30*q17a!$J$30</f>
        <v>203540864.85999998</v>
      </c>
      <c r="AO30" s="124">
        <f>+$K$30*q17a!$K$30</f>
        <v>215613972.98999998</v>
      </c>
      <c r="AP30" s="124">
        <f>+$L$30*q17a!$L$30</f>
        <v>247367963.69</v>
      </c>
      <c r="AQ30" s="124">
        <f>+$M$30*q17a!$M$30</f>
        <v>277938600.71999997</v>
      </c>
    </row>
    <row r="31" spans="1:43" s="124" customFormat="1" ht="12.75" customHeight="1">
      <c r="A31" s="56"/>
      <c r="B31" s="58" t="str">
        <f>+'q37'!B31</f>
        <v>M</v>
      </c>
      <c r="C31" s="390">
        <f>+'q37'!C31</f>
        <v>974.9</v>
      </c>
      <c r="D31" s="390">
        <f>+'q37'!D31</f>
        <v>975.55</v>
      </c>
      <c r="E31" s="390">
        <f>+'q37'!E31</f>
        <v>980.12</v>
      </c>
      <c r="F31" s="390">
        <f>+'q37'!F31</f>
        <v>999.21</v>
      </c>
      <c r="G31" s="390">
        <f>+'q37'!G31</f>
        <v>1027.31</v>
      </c>
      <c r="H31" s="390">
        <f>+'q37'!H31</f>
        <v>1067.1300000000001</v>
      </c>
      <c r="I31" s="390">
        <f>+'q37'!I31</f>
        <v>1105.46</v>
      </c>
      <c r="J31" s="390">
        <f>+'q37'!J31</f>
        <v>1148.5999999999999</v>
      </c>
      <c r="K31" s="390">
        <f>+'q37'!K31</f>
        <v>1196.0999999999999</v>
      </c>
      <c r="L31" s="390">
        <f>+'q37'!L31</f>
        <v>1272.17</v>
      </c>
      <c r="M31" s="390">
        <f>+'q37'!M31</f>
        <v>1383.68</v>
      </c>
      <c r="P31" s="56"/>
      <c r="Q31" s="58" t="s">
        <v>54</v>
      </c>
      <c r="R31" s="124">
        <f>+$C$31*q17a!$C$31</f>
        <v>84941087.200000003</v>
      </c>
      <c r="S31" s="124">
        <f>+$D$31*q17a!$D$31</f>
        <v>88911627</v>
      </c>
      <c r="T31" s="124">
        <f>+$E$31*q17a!$E$31</f>
        <v>94681552.239999995</v>
      </c>
      <c r="U31" s="124">
        <f>+$F$31*q17a!$F$31</f>
        <v>102859676.61</v>
      </c>
      <c r="V31" s="124">
        <f>+$G$31*q17a!$G$31</f>
        <v>110773809.98999999</v>
      </c>
      <c r="W31" s="124">
        <f>+$H$31*q17a!$H$31</f>
        <v>120738289.59000002</v>
      </c>
      <c r="X31" s="124">
        <f>+$I$31*q17a!$I$31</f>
        <v>126833847.64</v>
      </c>
      <c r="Y31" s="124">
        <f>+$J$31*q17a!$J$31</f>
        <v>130678519.19999999</v>
      </c>
      <c r="Z31" s="124">
        <f>+$K$31*q17a!$K$31</f>
        <v>143805906.89999998</v>
      </c>
      <c r="AA31" s="124">
        <f>+$L$31*q17a!$L$31</f>
        <v>166530869.51000002</v>
      </c>
      <c r="AB31" s="124">
        <f>+$M$31*q17a!$M$31</f>
        <v>190267069.44</v>
      </c>
      <c r="AE31" s="56"/>
      <c r="AF31" s="58" t="s">
        <v>54</v>
      </c>
      <c r="AG31" s="124">
        <f>+$C$31*q17a!$C$31</f>
        <v>84941087.200000003</v>
      </c>
      <c r="AH31" s="124">
        <f>+$D$31*q17a!$D$31</f>
        <v>88911627</v>
      </c>
      <c r="AI31" s="124">
        <f>+$E$31*q17a!$E$31</f>
        <v>94681552.239999995</v>
      </c>
      <c r="AJ31" s="124">
        <f>+$F$31*q17a!$F$31</f>
        <v>102859676.61</v>
      </c>
      <c r="AK31" s="124">
        <f>+$G$31*q17a!$G$31</f>
        <v>110773809.98999999</v>
      </c>
      <c r="AL31" s="124">
        <f>+$H$31*q17a!$H$31</f>
        <v>120738289.59000002</v>
      </c>
      <c r="AM31" s="124">
        <f>+$I$31*q17a!$I$31</f>
        <v>126833847.64</v>
      </c>
      <c r="AN31" s="124">
        <f>+$J$31*q17a!$J$31</f>
        <v>130678519.19999999</v>
      </c>
      <c r="AO31" s="124">
        <f>+$K$31*q17a!$K$31</f>
        <v>143805906.89999998</v>
      </c>
      <c r="AP31" s="124">
        <f>+$L$31*q17a!$L$31</f>
        <v>166530869.51000002</v>
      </c>
      <c r="AQ31" s="124">
        <f>+$M$31*q17a!$M$31</f>
        <v>190267069.44</v>
      </c>
    </row>
    <row r="32" spans="1:43" s="124" customFormat="1" ht="16.5" customHeight="1">
      <c r="A32" s="56" t="str">
        <f>+'q37'!A32</f>
        <v>55-59 anos</v>
      </c>
      <c r="B32" s="54" t="str">
        <f>+'q37'!B32</f>
        <v>T</v>
      </c>
      <c r="C32" s="388">
        <f>+'q37'!C32</f>
        <v>1260.48</v>
      </c>
      <c r="D32" s="388">
        <f>+'q37'!D32</f>
        <v>1243.7</v>
      </c>
      <c r="E32" s="388">
        <f>+'q37'!E32</f>
        <v>1231.83</v>
      </c>
      <c r="F32" s="388">
        <f>+'q37'!F32</f>
        <v>1222.26</v>
      </c>
      <c r="G32" s="388">
        <f>+'q37'!G32</f>
        <v>1222.04</v>
      </c>
      <c r="H32" s="388">
        <f>+'q37'!H32</f>
        <v>1243.21</v>
      </c>
      <c r="I32" s="388">
        <f>+'q37'!I32</f>
        <v>1254.19</v>
      </c>
      <c r="J32" s="388">
        <f>+'q37'!J32</f>
        <v>1291.3399999999999</v>
      </c>
      <c r="K32" s="388">
        <f>+'q37'!K32</f>
        <v>1322.84</v>
      </c>
      <c r="L32" s="388">
        <f>+'q37'!L32</f>
        <v>1391.44</v>
      </c>
      <c r="M32" s="388">
        <f>+'q37'!M32</f>
        <v>1501.07</v>
      </c>
      <c r="P32" s="56" t="s">
        <v>63</v>
      </c>
      <c r="Q32" s="54" t="s">
        <v>45</v>
      </c>
      <c r="R32" s="124">
        <f>+$C$32*q17a!$C$32</f>
        <v>169501787.52000001</v>
      </c>
      <c r="S32" s="124">
        <f>+$D$32*q17a!$D$32</f>
        <v>180611357.70000002</v>
      </c>
      <c r="T32" s="124">
        <f>+$E$32*q17a!$E$32</f>
        <v>191164002.20999998</v>
      </c>
      <c r="U32" s="124">
        <f>+$F$32*q17a!$F$32</f>
        <v>201917352</v>
      </c>
      <c r="V32" s="124">
        <f>+$G$32*q17a!$G$32</f>
        <v>216752012.75999999</v>
      </c>
      <c r="W32" s="124">
        <f>+$H$32*q17a!$H$32</f>
        <v>234915718.39000002</v>
      </c>
      <c r="X32" s="124">
        <f>+$I$32*q17a!$I$32</f>
        <v>243595052.75</v>
      </c>
      <c r="Y32" s="124">
        <f>+$J$32*q17a!$J$32</f>
        <v>253032907.63999999</v>
      </c>
      <c r="Z32" s="124">
        <f>+$K$32*q17a!$K$32</f>
        <v>270578984.95999998</v>
      </c>
      <c r="AA32" s="124">
        <f>+$L$32*q17a!$L$32</f>
        <v>307374661.75999999</v>
      </c>
      <c r="AB32" s="124">
        <f>+$M$32*q17a!$M$32</f>
        <v>347319077.66999996</v>
      </c>
      <c r="AE32" s="56" t="s">
        <v>63</v>
      </c>
      <c r="AF32" s="54" t="s">
        <v>45</v>
      </c>
      <c r="AG32" s="124">
        <f>+$C$32*q17a!$C$32</f>
        <v>169501787.52000001</v>
      </c>
      <c r="AH32" s="124">
        <f>+$D$32*q17a!$D$32</f>
        <v>180611357.70000002</v>
      </c>
      <c r="AI32" s="124">
        <f>+$E$32*q17a!$E$32</f>
        <v>191164002.20999998</v>
      </c>
      <c r="AJ32" s="124">
        <f>+$F$32*q17a!$F$32</f>
        <v>201917352</v>
      </c>
      <c r="AK32" s="124">
        <f>+$G$32*q17a!$G$32</f>
        <v>216752012.75999999</v>
      </c>
      <c r="AL32" s="124">
        <f>+$H$32*q17a!$H$32</f>
        <v>234915718.39000002</v>
      </c>
      <c r="AM32" s="124">
        <f>+$I$32*q17a!$I$32</f>
        <v>243595052.75</v>
      </c>
      <c r="AN32" s="124">
        <f>+$J$32*q17a!$J$32</f>
        <v>253032907.63999999</v>
      </c>
      <c r="AO32" s="124">
        <f>+$K$32*q17a!$K$32</f>
        <v>270578984.95999998</v>
      </c>
      <c r="AP32" s="124">
        <f>+$L$32*q17a!$L$32</f>
        <v>307374661.75999999</v>
      </c>
      <c r="AQ32" s="124">
        <f>+$M$32*q17a!$M$32</f>
        <v>347319077.66999996</v>
      </c>
    </row>
    <row r="33" spans="1:54" s="124" customFormat="1" ht="12.75" customHeight="1">
      <c r="A33" s="57"/>
      <c r="B33" s="58" t="str">
        <f>+'q37'!B33</f>
        <v>H</v>
      </c>
      <c r="C33" s="390">
        <f>+'q37'!C33</f>
        <v>1449.67</v>
      </c>
      <c r="D33" s="390">
        <f>+'q37'!D33</f>
        <v>1421.03</v>
      </c>
      <c r="E33" s="390">
        <f>+'q37'!E33</f>
        <v>1403.84</v>
      </c>
      <c r="F33" s="390">
        <f>+'q37'!F33</f>
        <v>1388.66</v>
      </c>
      <c r="G33" s="390">
        <f>+'q37'!G33</f>
        <v>1378.05</v>
      </c>
      <c r="H33" s="390">
        <f>+'q37'!H33</f>
        <v>1397.96</v>
      </c>
      <c r="I33" s="390">
        <f>+'q37'!I33</f>
        <v>1408.16</v>
      </c>
      <c r="J33" s="390">
        <f>+'q37'!J33</f>
        <v>1443.49</v>
      </c>
      <c r="K33" s="390">
        <f>+'q37'!K33</f>
        <v>1472.73</v>
      </c>
      <c r="L33" s="390">
        <f>+'q37'!L33</f>
        <v>1554.15</v>
      </c>
      <c r="M33" s="390">
        <f>+'q37'!M33</f>
        <v>1671.26</v>
      </c>
      <c r="P33" s="57"/>
      <c r="Q33" s="58" t="s">
        <v>53</v>
      </c>
      <c r="R33" s="124">
        <f>+$C$33*q17a!$C$33</f>
        <v>114725434.13000001</v>
      </c>
      <c r="S33" s="124">
        <f>+$D$33*q17a!$D$33</f>
        <v>119971878.78</v>
      </c>
      <c r="T33" s="124">
        <f>+$E$33*q17a!$E$33</f>
        <v>125353085.11999999</v>
      </c>
      <c r="U33" s="124">
        <f>+$F$33*q17a!$F$33</f>
        <v>131132552.46000001</v>
      </c>
      <c r="V33" s="124">
        <f>+$G$33*q17a!$G$33</f>
        <v>140310294.90000001</v>
      </c>
      <c r="W33" s="124">
        <f>+$H$33*q17a!$H$33</f>
        <v>151187976.03999999</v>
      </c>
      <c r="X33" s="124">
        <f>+$I$33*q17a!$I$33</f>
        <v>156043842.24000001</v>
      </c>
      <c r="Y33" s="124">
        <f>+$J$33*q17a!$J$33</f>
        <v>161089153.53</v>
      </c>
      <c r="Z33" s="124">
        <f>+$K$33*q17a!$K$33</f>
        <v>169503859.34999999</v>
      </c>
      <c r="AA33" s="124">
        <f>+$L$33*q17a!$L$33</f>
        <v>190806103.80000001</v>
      </c>
      <c r="AB33" s="124">
        <f>+$M$33*q17a!$M$33</f>
        <v>214327396.18000001</v>
      </c>
      <c r="AE33" s="57"/>
      <c r="AF33" s="58" t="s">
        <v>53</v>
      </c>
      <c r="AG33" s="124">
        <f>+$C$33*q17a!$C$33</f>
        <v>114725434.13000001</v>
      </c>
      <c r="AH33" s="124">
        <f>+$D$33*q17a!$D$33</f>
        <v>119971878.78</v>
      </c>
      <c r="AI33" s="124">
        <f>+$E$33*q17a!$E$33</f>
        <v>125353085.11999999</v>
      </c>
      <c r="AJ33" s="124">
        <f>+$F$33*q17a!$F$33</f>
        <v>131132552.46000001</v>
      </c>
      <c r="AK33" s="124">
        <f>+$G$33*q17a!$G$33</f>
        <v>140310294.90000001</v>
      </c>
      <c r="AL33" s="124">
        <f>+$H$33*q17a!$H$33</f>
        <v>151187976.03999999</v>
      </c>
      <c r="AM33" s="124">
        <f>+$I$33*q17a!$I$33</f>
        <v>156043842.24000001</v>
      </c>
      <c r="AN33" s="124">
        <f>+$J$33*q17a!$J$33</f>
        <v>161089153.53</v>
      </c>
      <c r="AO33" s="124">
        <f>+$K$33*q17a!$K$33</f>
        <v>169503859.34999999</v>
      </c>
      <c r="AP33" s="124">
        <f>+$L$33*q17a!$L$33</f>
        <v>190806103.80000001</v>
      </c>
      <c r="AQ33" s="124">
        <f>+$M$33*q17a!$M$33</f>
        <v>214327396.18000001</v>
      </c>
    </row>
    <row r="34" spans="1:54" s="124" customFormat="1" ht="12.75" customHeight="1">
      <c r="A34" s="56"/>
      <c r="B34" s="58" t="str">
        <f>+'q37'!B34</f>
        <v>M</v>
      </c>
      <c r="C34" s="390">
        <f>+'q37'!C34</f>
        <v>989.91</v>
      </c>
      <c r="D34" s="390">
        <f>+'q37'!D34</f>
        <v>997.43</v>
      </c>
      <c r="E34" s="390">
        <f>+'q37'!E34</f>
        <v>998.73</v>
      </c>
      <c r="F34" s="390">
        <f>+'q37'!F34</f>
        <v>1000.23</v>
      </c>
      <c r="G34" s="390">
        <f>+'q37'!G34</f>
        <v>1011.79</v>
      </c>
      <c r="H34" s="390">
        <f>+'q37'!H34</f>
        <v>1036.0999999999999</v>
      </c>
      <c r="I34" s="390">
        <f>+'q37'!I34</f>
        <v>1049.6400000000001</v>
      </c>
      <c r="J34" s="390">
        <f>+'q37'!J34</f>
        <v>1090.05</v>
      </c>
      <c r="K34" s="390">
        <f>+'q37'!K34</f>
        <v>1129.96</v>
      </c>
      <c r="L34" s="390">
        <f>+'q37'!L34</f>
        <v>1187.8900000000001</v>
      </c>
      <c r="M34" s="390">
        <f>+'q37'!M34</f>
        <v>1289.45</v>
      </c>
      <c r="P34" s="56"/>
      <c r="Q34" s="58" t="s">
        <v>54</v>
      </c>
      <c r="R34" s="124">
        <f>+$C$34*q17a!$C$34</f>
        <v>54776669.850000001</v>
      </c>
      <c r="S34" s="124">
        <f>+$D$34*q17a!$D$34</f>
        <v>60638756.849999994</v>
      </c>
      <c r="T34" s="124">
        <f>+$E$34*q17a!$E$34</f>
        <v>65810314.620000005</v>
      </c>
      <c r="U34" s="124">
        <f>+$F$34*q17a!$F$34</f>
        <v>70785276.870000005</v>
      </c>
      <c r="V34" s="124">
        <f>+$G$34*q17a!$G$34</f>
        <v>76441746.289999992</v>
      </c>
      <c r="W34" s="124">
        <f>+$H$34*q17a!$H$34</f>
        <v>83727241</v>
      </c>
      <c r="X34" s="124">
        <f>+$I$34*q17a!$I$34</f>
        <v>87551522.040000007</v>
      </c>
      <c r="Y34" s="124">
        <f>+$J$34*q17a!$J$34</f>
        <v>91944627.450000003</v>
      </c>
      <c r="Z34" s="124">
        <f>+$K$34*q17a!$K$34</f>
        <v>101073792.04000001</v>
      </c>
      <c r="AA34" s="124">
        <f>+$L$34*q17a!$L$34</f>
        <v>116570021.48</v>
      </c>
      <c r="AB34" s="124">
        <f>+$M$34*q17a!$M$34</f>
        <v>132991294.10000001</v>
      </c>
      <c r="AE34" s="56"/>
      <c r="AF34" s="58" t="s">
        <v>54</v>
      </c>
      <c r="AG34" s="124">
        <f>+$C$34*q17a!$C$34</f>
        <v>54776669.850000001</v>
      </c>
      <c r="AH34" s="124">
        <f>+$D$34*q17a!$D$34</f>
        <v>60638756.849999994</v>
      </c>
      <c r="AI34" s="124">
        <f>+$E$34*q17a!$E$34</f>
        <v>65810314.620000005</v>
      </c>
      <c r="AJ34" s="124">
        <f>+$F$34*q17a!$F$34</f>
        <v>70785276.870000005</v>
      </c>
      <c r="AK34" s="124">
        <f>+$G$34*q17a!$G$34</f>
        <v>76441746.289999992</v>
      </c>
      <c r="AL34" s="124">
        <f>+$H$34*q17a!$H$34</f>
        <v>83727241</v>
      </c>
      <c r="AM34" s="124">
        <f>+$I$34*q17a!$I$34</f>
        <v>87551522.040000007</v>
      </c>
      <c r="AN34" s="124">
        <f>+$J$34*q17a!$J$34</f>
        <v>91944627.450000003</v>
      </c>
      <c r="AO34" s="124">
        <f>+$K$34*q17a!$K$34</f>
        <v>101073792.04000001</v>
      </c>
      <c r="AP34" s="124">
        <f>+$L$34*q17a!$L$34</f>
        <v>116570021.48</v>
      </c>
      <c r="AQ34" s="124">
        <f>+$M$34*q17a!$M$34</f>
        <v>132991294.10000001</v>
      </c>
    </row>
    <row r="35" spans="1:54" s="124" customFormat="1" ht="16.5" customHeight="1">
      <c r="A35" s="56" t="str">
        <f>+'q37'!A35</f>
        <v>60-64 anos</v>
      </c>
      <c r="B35" s="54" t="str">
        <f>+'q37'!B35</f>
        <v>T</v>
      </c>
      <c r="C35" s="388">
        <f>+'q37'!C35</f>
        <v>1246.01</v>
      </c>
      <c r="D35" s="388">
        <f>+'q37'!D35</f>
        <v>1252.29</v>
      </c>
      <c r="E35" s="388">
        <f>+'q37'!E35</f>
        <v>1263.1199999999999</v>
      </c>
      <c r="F35" s="388">
        <f>+'q37'!F35</f>
        <v>1258.95</v>
      </c>
      <c r="G35" s="388">
        <f>+'q37'!G35</f>
        <v>1268.01</v>
      </c>
      <c r="H35" s="388">
        <f>+'q37'!H35</f>
        <v>1288.9000000000001</v>
      </c>
      <c r="I35" s="388">
        <f>+'q37'!I35</f>
        <v>1302.31</v>
      </c>
      <c r="J35" s="388">
        <f>+'q37'!J35</f>
        <v>1330.04</v>
      </c>
      <c r="K35" s="388">
        <f>+'q37'!K35</f>
        <v>1336.9</v>
      </c>
      <c r="L35" s="388">
        <f>+'q37'!L35</f>
        <v>1381.21</v>
      </c>
      <c r="M35" s="388">
        <f>+'q37'!M35</f>
        <v>1465.81</v>
      </c>
      <c r="P35" s="56" t="s">
        <v>64</v>
      </c>
      <c r="Q35" s="54" t="s">
        <v>45</v>
      </c>
      <c r="R35" s="124">
        <f>+$C$35*q17a!$C$35</f>
        <v>74603602.739999995</v>
      </c>
      <c r="S35" s="124">
        <f>+$D$35*q17a!$D$35</f>
        <v>83111982.719999999</v>
      </c>
      <c r="T35" s="124">
        <f>+$E$35*q17a!$E$35</f>
        <v>91679775.839999989</v>
      </c>
      <c r="U35" s="124">
        <f>+$F$35*q17a!$F$35</f>
        <v>98201876.850000009</v>
      </c>
      <c r="V35" s="124">
        <f>+$G$35*q17a!$G$35</f>
        <v>111033295.65000001</v>
      </c>
      <c r="W35" s="124">
        <f>+$H$35*q17a!$H$35</f>
        <v>119087915.50000001</v>
      </c>
      <c r="X35" s="124">
        <f>+$I$35*q17a!$I$35</f>
        <v>126630112.84999999</v>
      </c>
      <c r="Y35" s="124">
        <f>+$J$35*q17a!$J$35</f>
        <v>132035730.88</v>
      </c>
      <c r="Z35" s="124">
        <f>+$K$35*q17a!$K$35</f>
        <v>145460067.60000002</v>
      </c>
      <c r="AA35" s="124">
        <f>+$L$35*q17a!$L$35</f>
        <v>172069760.59</v>
      </c>
      <c r="AB35" s="124">
        <f>+$M$35*q17a!$M$35</f>
        <v>201000662.06</v>
      </c>
      <c r="AE35" s="56" t="s">
        <v>64</v>
      </c>
      <c r="AF35" s="54" t="s">
        <v>45</v>
      </c>
      <c r="AG35" s="124">
        <f>+$C$35*q17a!$C$35</f>
        <v>74603602.739999995</v>
      </c>
      <c r="AH35" s="124">
        <f>+$D$35*q17a!$D$35</f>
        <v>83111982.719999999</v>
      </c>
      <c r="AI35" s="124">
        <f>+$E$35*q17a!$E$35</f>
        <v>91679775.839999989</v>
      </c>
      <c r="AJ35" s="124">
        <f>+$F$35*q17a!$F$35</f>
        <v>98201876.850000009</v>
      </c>
      <c r="AK35" s="124">
        <f>+$G$35*q17a!$G$35</f>
        <v>111033295.65000001</v>
      </c>
      <c r="AL35" s="124">
        <f>+$H$35*q17a!$H$35</f>
        <v>119087915.50000001</v>
      </c>
      <c r="AM35" s="124">
        <f>+$I$35*q17a!$I$35</f>
        <v>126630112.84999999</v>
      </c>
      <c r="AN35" s="124">
        <f>+$J$35*q17a!$J$35</f>
        <v>132035730.88</v>
      </c>
      <c r="AO35" s="124">
        <f>+$K$35*q17a!$K$35</f>
        <v>145460067.60000002</v>
      </c>
      <c r="AP35" s="124">
        <f>+$L$35*q17a!$L$35</f>
        <v>172069760.59</v>
      </c>
      <c r="AQ35" s="124">
        <f>+$M$35*q17a!$M$35</f>
        <v>201000662.06</v>
      </c>
    </row>
    <row r="36" spans="1:54" s="124" customFormat="1" ht="12.75" customHeight="1">
      <c r="A36" s="57"/>
      <c r="B36" s="58" t="str">
        <f>+'q37'!B36</f>
        <v>H</v>
      </c>
      <c r="C36" s="390">
        <f>+'q37'!C36</f>
        <v>1452.15</v>
      </c>
      <c r="D36" s="390">
        <f>+'q37'!D36</f>
        <v>1455.06</v>
      </c>
      <c r="E36" s="390">
        <f>+'q37'!E36</f>
        <v>1469.17</v>
      </c>
      <c r="F36" s="390">
        <f>+'q37'!F36</f>
        <v>1457.86</v>
      </c>
      <c r="G36" s="390">
        <f>+'q37'!G36</f>
        <v>1446.99</v>
      </c>
      <c r="H36" s="390">
        <f>+'q37'!H36</f>
        <v>1460.43</v>
      </c>
      <c r="I36" s="390">
        <f>+'q37'!I36</f>
        <v>1461.58</v>
      </c>
      <c r="J36" s="390">
        <f>+'q37'!J36</f>
        <v>1484.54</v>
      </c>
      <c r="K36" s="390">
        <f>+'q37'!K36</f>
        <v>1484.84</v>
      </c>
      <c r="L36" s="390">
        <f>+'q37'!L36</f>
        <v>1536.23</v>
      </c>
      <c r="M36" s="390">
        <f>+'q37'!M36</f>
        <v>1629.73</v>
      </c>
      <c r="P36" s="57"/>
      <c r="Q36" s="58" t="s">
        <v>53</v>
      </c>
      <c r="R36" s="124">
        <f>+$C$36*q17a!$C$36</f>
        <v>51847563.600000001</v>
      </c>
      <c r="S36" s="124">
        <f>+$D$36*q17a!$D$36</f>
        <v>57646567.079999998</v>
      </c>
      <c r="T36" s="124">
        <f>+$E$36*q17a!$E$36</f>
        <v>63387339.650000006</v>
      </c>
      <c r="U36" s="124">
        <f>+$F$36*q17a!$F$36</f>
        <v>67026571.359999992</v>
      </c>
      <c r="V36" s="124">
        <f>+$G$36*q17a!$G$36</f>
        <v>74888967.450000003</v>
      </c>
      <c r="W36" s="124">
        <f>+$H$36*q17a!$H$36</f>
        <v>78860299.140000001</v>
      </c>
      <c r="X36" s="124">
        <f>+$I$36*q17a!$I$36</f>
        <v>82440419.899999991</v>
      </c>
      <c r="Y36" s="124">
        <f>+$J$36*q17a!$J$36</f>
        <v>85356596.379999995</v>
      </c>
      <c r="Z36" s="124">
        <f>+$K$36*q17a!$K$36</f>
        <v>92983650.479999989</v>
      </c>
      <c r="AA36" s="124">
        <f>+$L$36*q17a!$L$36</f>
        <v>109591575.73999999</v>
      </c>
      <c r="AB36" s="124">
        <f>+$M$36*q17a!$M$36</f>
        <v>127146645.41</v>
      </c>
      <c r="AE36" s="57"/>
      <c r="AF36" s="58" t="s">
        <v>53</v>
      </c>
      <c r="AG36" s="124">
        <f>+$C$36*q17a!$C$36</f>
        <v>51847563.600000001</v>
      </c>
      <c r="AH36" s="124">
        <f>+$D$36*q17a!$D$36</f>
        <v>57646567.079999998</v>
      </c>
      <c r="AI36" s="124">
        <f>+$E$36*q17a!$E$36</f>
        <v>63387339.650000006</v>
      </c>
      <c r="AJ36" s="124">
        <f>+$F$36*q17a!$F$36</f>
        <v>67026571.359999992</v>
      </c>
      <c r="AK36" s="124">
        <f>+$G$36*q17a!$G$36</f>
        <v>74888967.450000003</v>
      </c>
      <c r="AL36" s="124">
        <f>+$H$36*q17a!$H$36</f>
        <v>78860299.140000001</v>
      </c>
      <c r="AM36" s="124">
        <f>+$I$36*q17a!$I$36</f>
        <v>82440419.899999991</v>
      </c>
      <c r="AN36" s="124">
        <f>+$J$36*q17a!$J$36</f>
        <v>85356596.379999995</v>
      </c>
      <c r="AO36" s="124">
        <f>+$K$36*q17a!$K$36</f>
        <v>92983650.479999989</v>
      </c>
      <c r="AP36" s="124">
        <f>+$L$36*q17a!$L$36</f>
        <v>109591575.73999999</v>
      </c>
      <c r="AQ36" s="124">
        <f>+$M$36*q17a!$M$36</f>
        <v>127146645.41</v>
      </c>
    </row>
    <row r="37" spans="1:54" s="124" customFormat="1" ht="12.75" customHeight="1">
      <c r="A37" s="56"/>
      <c r="B37" s="58" t="str">
        <f>+'q37'!B37</f>
        <v>M</v>
      </c>
      <c r="C37" s="390">
        <f>+'q37'!C37</f>
        <v>941.49</v>
      </c>
      <c r="D37" s="390">
        <f>+'q37'!D37</f>
        <v>951.97</v>
      </c>
      <c r="E37" s="390">
        <f>+'q37'!E37</f>
        <v>961.12</v>
      </c>
      <c r="F37" s="390">
        <f>+'q37'!F37</f>
        <v>973.4</v>
      </c>
      <c r="G37" s="390">
        <f>+'q37'!G37</f>
        <v>1009.34</v>
      </c>
      <c r="H37" s="390">
        <f>+'q37'!H37</f>
        <v>1047.67</v>
      </c>
      <c r="I37" s="390">
        <f>+'q37'!I37</f>
        <v>1082.28</v>
      </c>
      <c r="J37" s="390">
        <f>+'q37'!J37</f>
        <v>1117.4100000000001</v>
      </c>
      <c r="K37" s="390">
        <f>+'q37'!K37</f>
        <v>1136.29</v>
      </c>
      <c r="L37" s="390">
        <f>+'q37'!L37</f>
        <v>1173.5</v>
      </c>
      <c r="M37" s="390">
        <f>+'q37'!M37</f>
        <v>1249.45</v>
      </c>
      <c r="P37" s="56"/>
      <c r="Q37" s="58" t="s">
        <v>54</v>
      </c>
      <c r="R37" s="124">
        <f>+$C$37*q17a!$C$37</f>
        <v>22755813.300000001</v>
      </c>
      <c r="S37" s="124">
        <f>+$D$37*q17a!$D$37</f>
        <v>25465197.5</v>
      </c>
      <c r="T37" s="124">
        <f>+$E$37*q17a!$E$37</f>
        <v>28292489.440000001</v>
      </c>
      <c r="U37" s="124">
        <f>+$F$37*q17a!$F$37</f>
        <v>31175081.800000001</v>
      </c>
      <c r="V37" s="124">
        <f>+$G$37*q17a!$G$37</f>
        <v>36144465.399999999</v>
      </c>
      <c r="W37" s="124">
        <f>+$H$37*q17a!$H$37</f>
        <v>40227384.990000002</v>
      </c>
      <c r="X37" s="124">
        <f>+$I$37*q17a!$I$37</f>
        <v>44189492.399999999</v>
      </c>
      <c r="Y37" s="124">
        <f>+$J$37*q17a!$J$37</f>
        <v>46679802.75</v>
      </c>
      <c r="Z37" s="124">
        <f>+$K$37*q17a!$K$37</f>
        <v>52476144.780000001</v>
      </c>
      <c r="AA37" s="124">
        <f>+$L$37*q17a!$L$37</f>
        <v>62478313.5</v>
      </c>
      <c r="AB37" s="124">
        <f>+$M$37*q17a!$M$37</f>
        <v>73853740.049999997</v>
      </c>
      <c r="AE37" s="56"/>
      <c r="AF37" s="58" t="s">
        <v>54</v>
      </c>
      <c r="AG37" s="124">
        <f>+$C$37*q17a!$C$37</f>
        <v>22755813.300000001</v>
      </c>
      <c r="AH37" s="124">
        <f>+$D$37*q17a!$D$37</f>
        <v>25465197.5</v>
      </c>
      <c r="AI37" s="124">
        <f>+$E$37*q17a!$E$37</f>
        <v>28292489.440000001</v>
      </c>
      <c r="AJ37" s="124">
        <f>+$F$37*q17a!$F$37</f>
        <v>31175081.800000001</v>
      </c>
      <c r="AK37" s="124">
        <f>+$G$37*q17a!$G$37</f>
        <v>36144465.399999999</v>
      </c>
      <c r="AL37" s="124">
        <f>+$H$37*q17a!$H$37</f>
        <v>40227384.990000002</v>
      </c>
      <c r="AM37" s="124">
        <f>+$I$37*q17a!$I$37</f>
        <v>44189492.399999999</v>
      </c>
      <c r="AN37" s="124">
        <f>+$J$37*q17a!$J$37</f>
        <v>46679802.75</v>
      </c>
      <c r="AO37" s="124">
        <f>+$K$37*q17a!$K$37</f>
        <v>52476144.780000001</v>
      </c>
      <c r="AP37" s="124">
        <f>+$L$37*q17a!$L$37</f>
        <v>62478313.5</v>
      </c>
      <c r="AQ37" s="124">
        <f>+$M$37*q17a!$M$37</f>
        <v>73853740.049999997</v>
      </c>
    </row>
    <row r="38" spans="1:54" s="226" customFormat="1" ht="16.5" customHeight="1">
      <c r="A38" s="159" t="str">
        <f>+'q37'!A38</f>
        <v>65 e mais anos</v>
      </c>
      <c r="B38" s="225" t="str">
        <f>+'q37'!B38</f>
        <v>T</v>
      </c>
      <c r="C38" s="389">
        <f>+'q37'!C38</f>
        <v>1372.67</v>
      </c>
      <c r="D38" s="389">
        <f>+'q37'!D38</f>
        <v>1328.61</v>
      </c>
      <c r="E38" s="389">
        <f>+'q37'!E38</f>
        <v>1341.63</v>
      </c>
      <c r="F38" s="389">
        <f>+'q37'!F38</f>
        <v>1337.56</v>
      </c>
      <c r="G38" s="389">
        <f>+'q37'!G38</f>
        <v>1346.83</v>
      </c>
      <c r="H38" s="389">
        <f>+'q37'!H38</f>
        <v>1353.02</v>
      </c>
      <c r="I38" s="389">
        <f>+'q37'!I38</f>
        <v>1396.55</v>
      </c>
      <c r="J38" s="389">
        <f>+'q37'!J38</f>
        <v>1462.63</v>
      </c>
      <c r="K38" s="389">
        <f>+'q37'!K38</f>
        <v>1470.97</v>
      </c>
      <c r="L38" s="389">
        <f>+'q37'!L38</f>
        <v>1488.54</v>
      </c>
      <c r="M38" s="389">
        <f>+'q37'!M38</f>
        <v>1557.94</v>
      </c>
      <c r="P38" s="56" t="s">
        <v>65</v>
      </c>
      <c r="Q38" s="54" t="s">
        <v>45</v>
      </c>
      <c r="R38" s="536">
        <f>+$C$38</f>
        <v>1372.67</v>
      </c>
      <c r="S38" s="536">
        <f>+$D$38</f>
        <v>1328.61</v>
      </c>
      <c r="T38" s="536">
        <f>+$E$38</f>
        <v>1341.63</v>
      </c>
      <c r="U38" s="536">
        <f>+$F$38</f>
        <v>1337.56</v>
      </c>
      <c r="V38" s="536">
        <f>+$G$38</f>
        <v>1346.83</v>
      </c>
      <c r="W38" s="536">
        <f>+$H$38</f>
        <v>1353.02</v>
      </c>
      <c r="X38" s="536">
        <f>+$I$38</f>
        <v>1396.55</v>
      </c>
      <c r="Y38" s="536">
        <f>+$J$38</f>
        <v>1462.63</v>
      </c>
      <c r="Z38" s="536">
        <f>+$K$38</f>
        <v>1470.97</v>
      </c>
      <c r="AA38" s="536">
        <f>+$L$38</f>
        <v>1488.54</v>
      </c>
      <c r="AB38" s="536">
        <f>+$M$38</f>
        <v>1557.94</v>
      </c>
      <c r="AE38" s="56" t="s">
        <v>65</v>
      </c>
      <c r="AF38" s="54" t="s">
        <v>45</v>
      </c>
      <c r="AG38" s="536">
        <f>+$C$38*q17a!$C$38</f>
        <v>16765791.380000001</v>
      </c>
      <c r="AH38" s="536">
        <f>+$D$38*q17a!$D$38</f>
        <v>19213029.209999997</v>
      </c>
      <c r="AI38" s="536">
        <f>+$E$38*q17a!$E$38</f>
        <v>22119453.810000002</v>
      </c>
      <c r="AJ38" s="536">
        <f>+$F$38*q17a!$F$38</f>
        <v>24732821.959999997</v>
      </c>
      <c r="AK38" s="536">
        <f>+$G$38*q17a!$G$38</f>
        <v>28183764.579999998</v>
      </c>
      <c r="AL38" s="536">
        <f>+$H$38*q17a!$H$38</f>
        <v>32676786.02</v>
      </c>
      <c r="AM38" s="536">
        <f>+$I$38*q17a!$I$38</f>
        <v>38297590.649999999</v>
      </c>
      <c r="AN38" s="536">
        <f>+$J$38*q17a!$J$38</f>
        <v>39820101.75</v>
      </c>
      <c r="AO38" s="536">
        <f>+$K$38*q17a!$K$38</f>
        <v>44215887.230000004</v>
      </c>
      <c r="AP38" s="536">
        <f>+$L$38*q17a!$L$38</f>
        <v>51752070.18</v>
      </c>
      <c r="AQ38" s="536">
        <f>+$M$38*q17a!$M$38</f>
        <v>60608539.82</v>
      </c>
      <c r="AR38" s="124"/>
      <c r="AS38" s="124"/>
      <c r="AT38" s="124"/>
      <c r="AU38" s="124"/>
      <c r="AV38" s="124"/>
      <c r="AW38" s="124"/>
      <c r="AX38" s="124"/>
      <c r="AY38" s="124"/>
      <c r="AZ38" s="124"/>
      <c r="BA38" s="124"/>
      <c r="BB38" s="124"/>
    </row>
    <row r="39" spans="1:54" s="124" customFormat="1" ht="12.75" customHeight="1">
      <c r="A39" s="57"/>
      <c r="B39" s="58" t="str">
        <f>+'q37'!B39</f>
        <v>H</v>
      </c>
      <c r="C39" s="390">
        <f>+'q37'!C39</f>
        <v>1552.87</v>
      </c>
      <c r="D39" s="390">
        <f>+'q37'!D39</f>
        <v>1528.66</v>
      </c>
      <c r="E39" s="390">
        <f>+'q37'!E39</f>
        <v>1547.17</v>
      </c>
      <c r="F39" s="390">
        <f>+'q37'!F39</f>
        <v>1537.86</v>
      </c>
      <c r="G39" s="390">
        <f>+'q37'!G39</f>
        <v>1547.82</v>
      </c>
      <c r="H39" s="390">
        <f>+'q37'!H39</f>
        <v>1534.46</v>
      </c>
      <c r="I39" s="390">
        <f>+'q37'!I39</f>
        <v>1560.37</v>
      </c>
      <c r="J39" s="390">
        <f>+'q37'!J39</f>
        <v>1639.16</v>
      </c>
      <c r="K39" s="390">
        <f>+'q37'!K39</f>
        <v>1631.35</v>
      </c>
      <c r="L39" s="390">
        <f>+'q37'!L39</f>
        <v>1636.3</v>
      </c>
      <c r="M39" s="390">
        <f>+'q37'!M39</f>
        <v>1696.46</v>
      </c>
      <c r="P39" s="57"/>
      <c r="Q39" s="58" t="s">
        <v>53</v>
      </c>
      <c r="R39" s="536">
        <f>+$C$39</f>
        <v>1552.87</v>
      </c>
      <c r="S39" s="536">
        <f>+$D$39</f>
        <v>1528.66</v>
      </c>
      <c r="T39" s="536">
        <f>+$E$39</f>
        <v>1547.17</v>
      </c>
      <c r="U39" s="536">
        <f>+$F$39</f>
        <v>1537.86</v>
      </c>
      <c r="V39" s="536">
        <f>+$G$39</f>
        <v>1547.82</v>
      </c>
      <c r="W39" s="536">
        <f>+$H$39</f>
        <v>1534.46</v>
      </c>
      <c r="X39" s="536">
        <f>+$I$39</f>
        <v>1560.37</v>
      </c>
      <c r="Y39" s="536">
        <f>+$J$39</f>
        <v>1639.16</v>
      </c>
      <c r="Z39" s="536">
        <f>+$K$39</f>
        <v>1631.35</v>
      </c>
      <c r="AA39" s="536">
        <f>+$L$39</f>
        <v>1636.3</v>
      </c>
      <c r="AB39" s="536">
        <f>+$M$39</f>
        <v>1696.46</v>
      </c>
      <c r="AE39" s="57"/>
      <c r="AF39" s="58" t="s">
        <v>53</v>
      </c>
      <c r="AG39" s="536">
        <f>+$C$39*q17a!$C$39</f>
        <v>12457123.139999999</v>
      </c>
      <c r="AH39" s="536">
        <f>+$D$39*q17a!$D$39</f>
        <v>13942907.860000001</v>
      </c>
      <c r="AI39" s="536">
        <f>+$E$39*q17a!$E$39</f>
        <v>15742454.75</v>
      </c>
      <c r="AJ39" s="536">
        <f>+$F$39*q17a!$F$39</f>
        <v>17339371.5</v>
      </c>
      <c r="AK39" s="536">
        <f>+$G$39*q17a!$G$39</f>
        <v>20096894.879999999</v>
      </c>
      <c r="AL39" s="536">
        <f>+$H$39*q17a!$H$39</f>
        <v>22964728.359999999</v>
      </c>
      <c r="AM39" s="536">
        <f>+$I$39*q17a!$I$39</f>
        <v>27139515.409999996</v>
      </c>
      <c r="AN39" s="536">
        <f>+$J$39*q17a!$J$39</f>
        <v>28331241.440000001</v>
      </c>
      <c r="AO39" s="536">
        <f>+$K$39*q17a!$K$39</f>
        <v>30719951.849999998</v>
      </c>
      <c r="AP39" s="536">
        <f>+$L$39*q17a!$L$39</f>
        <v>35666431.100000001</v>
      </c>
      <c r="AQ39" s="536">
        <f>+$M$39*q17a!$M$39</f>
        <v>41471661.160000004</v>
      </c>
    </row>
    <row r="40" spans="1:54" s="124" customFormat="1" ht="12.75" customHeight="1">
      <c r="A40" s="56"/>
      <c r="B40" s="58" t="str">
        <f>+'q37'!B40</f>
        <v>M</v>
      </c>
      <c r="C40" s="390">
        <f>+'q37'!C40</f>
        <v>1027.83</v>
      </c>
      <c r="D40" s="390">
        <f>+'q37'!D40</f>
        <v>986.9</v>
      </c>
      <c r="E40" s="390">
        <f>+'q37'!E40</f>
        <v>1010.31</v>
      </c>
      <c r="F40" s="390">
        <f>+'q37'!F40</f>
        <v>1024.6099999999999</v>
      </c>
      <c r="G40" s="390">
        <f>+'q37'!G40</f>
        <v>1018.23</v>
      </c>
      <c r="H40" s="390">
        <f>+'q37'!H40</f>
        <v>1057.3800000000001</v>
      </c>
      <c r="I40" s="390">
        <f>+'q37'!I40</f>
        <v>1112.47</v>
      </c>
      <c r="J40" s="390">
        <f>+'q37'!J40</f>
        <v>1155.7</v>
      </c>
      <c r="K40" s="390">
        <f>+'q37'!K40</f>
        <v>1202</v>
      </c>
      <c r="L40" s="390">
        <f>+'q37'!L40</f>
        <v>1240.21</v>
      </c>
      <c r="M40" s="390">
        <f>+'q37'!M40</f>
        <v>1323.72</v>
      </c>
      <c r="P40" s="56"/>
      <c r="Q40" s="58" t="s">
        <v>54</v>
      </c>
      <c r="R40" s="536">
        <f>+$C$40</f>
        <v>1027.83</v>
      </c>
      <c r="S40" s="536">
        <f>+$D$40</f>
        <v>986.9</v>
      </c>
      <c r="T40" s="536">
        <f>+$E$40</f>
        <v>1010.31</v>
      </c>
      <c r="U40" s="536">
        <f>+$F$40</f>
        <v>1024.6099999999999</v>
      </c>
      <c r="V40" s="536">
        <f>+$G$40</f>
        <v>1018.23</v>
      </c>
      <c r="W40" s="536">
        <f>+$H$40</f>
        <v>1057.3800000000001</v>
      </c>
      <c r="X40" s="536">
        <f>+$I$40</f>
        <v>1112.47</v>
      </c>
      <c r="Y40" s="536">
        <f>+$J$40</f>
        <v>1155.7</v>
      </c>
      <c r="Z40" s="536">
        <f>+$K$40</f>
        <v>1202</v>
      </c>
      <c r="AA40" s="536">
        <f>+$L$40</f>
        <v>1240.21</v>
      </c>
      <c r="AB40" s="536">
        <f>+$M$40</f>
        <v>1323.72</v>
      </c>
      <c r="AE40" s="56"/>
      <c r="AF40" s="58" t="s">
        <v>54</v>
      </c>
      <c r="AG40" s="536">
        <f>+$C$40*q17a!$C$40</f>
        <v>4308663.3599999994</v>
      </c>
      <c r="AH40" s="536">
        <f>+$D$40*q17a!$D$40</f>
        <v>5270046</v>
      </c>
      <c r="AI40" s="536">
        <f>+$E$40*q17a!$E$40</f>
        <v>6377076.7199999997</v>
      </c>
      <c r="AJ40" s="536">
        <f>+$F$40*q17a!$F$40</f>
        <v>7393585.7599999988</v>
      </c>
      <c r="AK40" s="536">
        <f>+$G$40*q17a!$G$40</f>
        <v>8086782.6600000001</v>
      </c>
      <c r="AL40" s="536">
        <f>+$H$40*q17a!$H$40</f>
        <v>9712035.3000000007</v>
      </c>
      <c r="AM40" s="536">
        <f>+$I$40*q17a!$I$40</f>
        <v>11158074.1</v>
      </c>
      <c r="AN40" s="536">
        <f>+$J$40*q17a!$J$40</f>
        <v>11488813.700000001</v>
      </c>
      <c r="AO40" s="536">
        <f>+$K$40*q17a!$K$40</f>
        <v>13496056</v>
      </c>
      <c r="AP40" s="536">
        <f>+$L$40*q17a!$L$40</f>
        <v>16085523.700000001</v>
      </c>
      <c r="AQ40" s="536">
        <f>+$M$40*q17a!$M$40</f>
        <v>19137020.039999999</v>
      </c>
    </row>
    <row r="41" spans="1:54" s="124" customFormat="1" ht="16.5" customHeight="1">
      <c r="A41" s="56" t="str">
        <f>+'q37'!A41</f>
        <v>Ignorado</v>
      </c>
      <c r="B41" s="54" t="str">
        <f>+'q37'!B41</f>
        <v>T</v>
      </c>
      <c r="C41" s="388">
        <f>+'q37'!C41</f>
        <v>1576.02</v>
      </c>
      <c r="D41" s="388">
        <f>+'q37'!D41</f>
        <v>1575.8</v>
      </c>
      <c r="E41" s="388">
        <f>+'q37'!E41</f>
        <v>1535.44</v>
      </c>
      <c r="F41" s="388">
        <f>+'q37'!F41</f>
        <v>1559.75</v>
      </c>
      <c r="G41" s="388">
        <f>+'q37'!G41</f>
        <v>1616.05</v>
      </c>
      <c r="H41" s="388">
        <f>+'q37'!H41</f>
        <v>1651.82</v>
      </c>
      <c r="I41" s="388">
        <f>+'q37'!I41</f>
        <v>1070.05</v>
      </c>
      <c r="J41" s="388">
        <f>+'q37'!J41</f>
        <v>1183.3900000000001</v>
      </c>
      <c r="K41" s="388">
        <f>+'q37'!K41</f>
        <v>1143.72</v>
      </c>
      <c r="L41" s="388">
        <f>+'q37'!L41</f>
        <v>1226.25</v>
      </c>
      <c r="M41" s="388">
        <f>+'q37'!M41</f>
        <v>765</v>
      </c>
      <c r="P41" s="56" t="s">
        <v>13</v>
      </c>
      <c r="Q41" s="54" t="s">
        <v>45</v>
      </c>
      <c r="R41" s="536">
        <f>+$C$41</f>
        <v>1576.02</v>
      </c>
      <c r="S41" s="536">
        <f>+$D$41</f>
        <v>1575.8</v>
      </c>
      <c r="T41" s="536">
        <f>+$E$41</f>
        <v>1535.44</v>
      </c>
      <c r="U41" s="536">
        <f>+$F$41</f>
        <v>1559.75</v>
      </c>
      <c r="V41" s="536">
        <f>+$G$41</f>
        <v>1616.05</v>
      </c>
      <c r="W41" s="536">
        <f>+$H$41</f>
        <v>1651.82</v>
      </c>
      <c r="X41" s="536">
        <f>+$I$41</f>
        <v>1070.05</v>
      </c>
      <c r="Y41" s="536">
        <f>+$J$41</f>
        <v>1183.3900000000001</v>
      </c>
      <c r="Z41" s="536">
        <f>+$K$41</f>
        <v>1143.72</v>
      </c>
      <c r="AA41" s="536">
        <f>+$L$41</f>
        <v>1226.25</v>
      </c>
      <c r="AB41" s="536">
        <f>+$M$41</f>
        <v>765</v>
      </c>
      <c r="AE41" s="56" t="s">
        <v>13</v>
      </c>
      <c r="AF41" s="54" t="s">
        <v>45</v>
      </c>
      <c r="AG41" s="536">
        <f>+$C$41*q17a!$C$41</f>
        <v>2088226.5</v>
      </c>
      <c r="AH41" s="536">
        <f>+$D$41*q17a!$D$41</f>
        <v>2187210.4</v>
      </c>
      <c r="AI41" s="536">
        <f>+$E$41*q17a!$E$41</f>
        <v>2192608.3200000003</v>
      </c>
      <c r="AJ41" s="536">
        <f>+$F$41*q17a!$F$41</f>
        <v>2327147</v>
      </c>
      <c r="AK41" s="536">
        <f>+$G$41*q17a!$G$41</f>
        <v>2474172.5499999998</v>
      </c>
      <c r="AL41" s="536">
        <f>+$H$41*q17a!$H$41</f>
        <v>2842782.2199999997</v>
      </c>
      <c r="AM41" s="536">
        <f>+$I$41*q17a!$I$41</f>
        <v>418389.55</v>
      </c>
      <c r="AN41" s="536">
        <f>+$J$41*q17a!$J$41</f>
        <v>299397.67000000004</v>
      </c>
      <c r="AO41" s="536">
        <f>+$K$41*q17a!$K$41</f>
        <v>436901.04000000004</v>
      </c>
      <c r="AP41" s="536">
        <f>+$L$41*q17a!$L$41</f>
        <v>234213.75</v>
      </c>
      <c r="AQ41" s="536">
        <f>+$M$41*q17a!$M$41</f>
        <v>765</v>
      </c>
    </row>
    <row r="42" spans="1:54" s="124" customFormat="1" ht="12.75" customHeight="1">
      <c r="A42" s="59"/>
      <c r="B42" s="58" t="str">
        <f>+'q37'!B42</f>
        <v>H</v>
      </c>
      <c r="C42" s="390">
        <f>+'q37'!C42</f>
        <v>1743.48</v>
      </c>
      <c r="D42" s="390">
        <f>+'q37'!D42</f>
        <v>1777.61</v>
      </c>
      <c r="E42" s="390">
        <f>+'q37'!E42</f>
        <v>1696.32</v>
      </c>
      <c r="F42" s="390">
        <f>+'q37'!F42</f>
        <v>1736.81</v>
      </c>
      <c r="G42" s="390">
        <f>+'q37'!G42</f>
        <v>1791.32</v>
      </c>
      <c r="H42" s="390">
        <f>+'q37'!H42</f>
        <v>1833.13</v>
      </c>
      <c r="I42" s="390">
        <f>+'q37'!I42</f>
        <v>1099.3800000000001</v>
      </c>
      <c r="J42" s="390">
        <f>+'q37'!J42</f>
        <v>1212.5</v>
      </c>
      <c r="K42" s="390">
        <f>+'q37'!K42</f>
        <v>1180.2</v>
      </c>
      <c r="L42" s="390">
        <f>+'q37'!L42</f>
        <v>1283.81</v>
      </c>
      <c r="M42" s="390">
        <f>+'q37'!M42</f>
        <v>765</v>
      </c>
      <c r="P42" s="57"/>
      <c r="Q42" s="58" t="s">
        <v>53</v>
      </c>
      <c r="R42" s="536">
        <f>+$C$42</f>
        <v>1743.48</v>
      </c>
      <c r="S42" s="536">
        <f>+$D$42</f>
        <v>1777.61</v>
      </c>
      <c r="T42" s="536">
        <f>+$E$42</f>
        <v>1696.32</v>
      </c>
      <c r="U42" s="536">
        <f>+$F$42</f>
        <v>1736.81</v>
      </c>
      <c r="V42" s="536">
        <f>+$G$42</f>
        <v>1791.32</v>
      </c>
      <c r="W42" s="536">
        <f>+$H$42</f>
        <v>1833.13</v>
      </c>
      <c r="X42" s="536">
        <f>+$I$42</f>
        <v>1099.3800000000001</v>
      </c>
      <c r="Y42" s="536">
        <f>+$J$42</f>
        <v>1212.5</v>
      </c>
      <c r="Z42" s="536">
        <f>+$K$42</f>
        <v>1180.2</v>
      </c>
      <c r="AA42" s="536">
        <f>+$L$42</f>
        <v>1283.81</v>
      </c>
      <c r="AB42" s="536">
        <f>+$M$42</f>
        <v>765</v>
      </c>
      <c r="AE42" s="57"/>
      <c r="AF42" s="58" t="s">
        <v>53</v>
      </c>
      <c r="AG42" s="536">
        <f>+$C$42*q17a!$C$42</f>
        <v>1609232.04</v>
      </c>
      <c r="AH42" s="536">
        <f>+$D$42*q17a!$D$42</f>
        <v>1644289.25</v>
      </c>
      <c r="AI42" s="536">
        <f>+$E$42*q17a!$E$42</f>
        <v>1596237.1199999999</v>
      </c>
      <c r="AJ42" s="536">
        <f>+$F$42*q17a!$F$42</f>
        <v>1740283.6199999999</v>
      </c>
      <c r="AK42" s="536">
        <f>+$G$42*q17a!$G$42</f>
        <v>1834311.6799999999</v>
      </c>
      <c r="AL42" s="536">
        <f>+$H$42*q17a!$H$42</f>
        <v>2152094.62</v>
      </c>
      <c r="AM42" s="536">
        <f>+$I$42*q17a!$I$42</f>
        <v>197888.40000000002</v>
      </c>
      <c r="AN42" s="536">
        <f>+$J$42*q17a!$J$42</f>
        <v>175812.5</v>
      </c>
      <c r="AO42" s="536">
        <f>+$K$42*q17a!$K$42</f>
        <v>227778.6</v>
      </c>
      <c r="AP42" s="536">
        <f>+$L$42*q17a!$L$42</f>
        <v>138651.47999999998</v>
      </c>
      <c r="AQ42" s="536">
        <f>+$M$42*q17a!$M$42</f>
        <v>765</v>
      </c>
    </row>
    <row r="43" spans="1:54" s="124" customFormat="1" ht="12.75" customHeight="1">
      <c r="A43" s="9"/>
      <c r="B43" s="60" t="str">
        <f>+'q37'!B43</f>
        <v>M</v>
      </c>
      <c r="C43" s="405">
        <f>+'q37'!C43</f>
        <v>1191.54</v>
      </c>
      <c r="D43" s="405">
        <f>+'q37'!D43</f>
        <v>1172.6099999999999</v>
      </c>
      <c r="E43" s="405">
        <f>+'q37'!E43</f>
        <v>1224.5999999999999</v>
      </c>
      <c r="F43" s="405">
        <f>+'q37'!F43</f>
        <v>1197.69</v>
      </c>
      <c r="G43" s="405">
        <f>+'q37'!G43</f>
        <v>1262.06</v>
      </c>
      <c r="H43" s="405">
        <f>+'q37'!H43</f>
        <v>1262.67</v>
      </c>
      <c r="I43" s="405">
        <f>+'q37'!I43</f>
        <v>1045.04</v>
      </c>
      <c r="J43" s="405">
        <f>+'q37'!J43</f>
        <v>1144.3</v>
      </c>
      <c r="K43" s="405">
        <f>+'q37'!K43</f>
        <v>1106.46</v>
      </c>
      <c r="L43" s="405">
        <f>+'q37'!L43</f>
        <v>1151.3499999999999</v>
      </c>
      <c r="M43" s="405">
        <f>+'q37'!M43</f>
        <v>0</v>
      </c>
      <c r="P43" s="19"/>
      <c r="Q43" s="60" t="s">
        <v>54</v>
      </c>
      <c r="R43" s="536">
        <f>+$C$43</f>
        <v>1191.54</v>
      </c>
      <c r="S43" s="536">
        <f>+$D$43</f>
        <v>1172.6099999999999</v>
      </c>
      <c r="T43" s="536">
        <f>+$E$43</f>
        <v>1224.5999999999999</v>
      </c>
      <c r="U43" s="536">
        <f>+$F$43</f>
        <v>1197.69</v>
      </c>
      <c r="V43" s="536">
        <f>+$G$43</f>
        <v>1262.06</v>
      </c>
      <c r="W43" s="536">
        <f>+$H$43</f>
        <v>1262.67</v>
      </c>
      <c r="X43" s="536">
        <f>+$I$43</f>
        <v>1045.04</v>
      </c>
      <c r="Y43" s="536">
        <f>+$J$43</f>
        <v>1144.3</v>
      </c>
      <c r="Z43" s="536">
        <f>+$K$43</f>
        <v>1106.46</v>
      </c>
      <c r="AA43" s="536">
        <f>+$L$43</f>
        <v>1151.3499999999999</v>
      </c>
      <c r="AB43" s="536">
        <f>+$M$43</f>
        <v>0</v>
      </c>
      <c r="AE43" s="19"/>
      <c r="AF43" s="60" t="s">
        <v>54</v>
      </c>
      <c r="AG43" s="536">
        <f>+$C$43*q17a!$C$43</f>
        <v>478999.07999999996</v>
      </c>
      <c r="AH43" s="536">
        <f>+$D$43*q17a!$D$43</f>
        <v>542918.42999999993</v>
      </c>
      <c r="AI43" s="536">
        <f>+$E$43*q17a!$E$43</f>
        <v>596380.19999999995</v>
      </c>
      <c r="AJ43" s="536">
        <f>+$F$43*q17a!$F$43</f>
        <v>586868.1</v>
      </c>
      <c r="AK43" s="536">
        <f>+$G$43*q17a!$G$43</f>
        <v>639864.41999999993</v>
      </c>
      <c r="AL43" s="536">
        <f>+$H$43*q17a!$H$43</f>
        <v>690680.49</v>
      </c>
      <c r="AM43" s="536">
        <f>+$I$43*q17a!$I$43</f>
        <v>220503.44</v>
      </c>
      <c r="AN43" s="536">
        <f>+$J$43*q17a!$J$43</f>
        <v>123584.4</v>
      </c>
      <c r="AO43" s="536">
        <f>+$K$43*q17a!$K$43</f>
        <v>209120.94</v>
      </c>
      <c r="AP43" s="536">
        <f>+$L$43*q17a!$L$43</f>
        <v>95562.049999999988</v>
      </c>
      <c r="AQ43" s="536">
        <f>+$M$43*q17a!$M$43</f>
        <v>0</v>
      </c>
    </row>
    <row r="44" spans="1:54" s="121" customFormat="1" ht="15" customHeight="1">
      <c r="A44" s="21" t="str">
        <f>+'q37'!A44</f>
        <v>Fonte: GEP/MTSSS, Quadros de Pessoal.</v>
      </c>
      <c r="B44" s="68"/>
      <c r="C44" s="53"/>
      <c r="D44" s="53"/>
      <c r="E44" s="53"/>
      <c r="F44" s="53"/>
      <c r="G44" s="87"/>
      <c r="H44" s="87"/>
      <c r="I44" s="87"/>
      <c r="J44" s="87"/>
      <c r="K44" s="87"/>
      <c r="L44" s="87"/>
      <c r="M44" s="87"/>
    </row>
    <row r="45" spans="1:54" s="121" customFormat="1" ht="23.25" customHeight="1">
      <c r="A45" s="780" t="s">
        <v>6</v>
      </c>
      <c r="B45" s="780"/>
      <c r="C45" s="780"/>
      <c r="D45" s="780"/>
      <c r="E45" s="780"/>
      <c r="F45" s="780"/>
      <c r="G45" s="780"/>
      <c r="H45" s="780"/>
      <c r="I45" s="780"/>
      <c r="J45" s="780"/>
      <c r="K45" s="780"/>
      <c r="L45" s="780"/>
      <c r="M45" s="780"/>
    </row>
  </sheetData>
  <mergeCells count="2">
    <mergeCell ref="A1:M1"/>
    <mergeCell ref="A45:M45"/>
  </mergeCells>
  <conditionalFormatting sqref="A45 A1 G44 N44:XFD1048576 A46:D1048576 A2:D2 A4:D4 B44:D44 A5:I43 AC1:XFD2 N1:O43 R5:AD7 AC8:AD43 A3:M3 AC3:AD4 BC3:XFD43">
    <cfRule type="cellIs" dxfId="1013" priority="65" operator="equal">
      <formula>0</formula>
    </cfRule>
  </conditionalFormatting>
  <conditionalFormatting sqref="E2 E46:E1048576 E4">
    <cfRule type="cellIs" dxfId="1012" priority="64" operator="equal">
      <formula>0</formula>
    </cfRule>
  </conditionalFormatting>
  <conditionalFormatting sqref="E44">
    <cfRule type="cellIs" dxfId="1011" priority="63" operator="equal">
      <formula>0</formula>
    </cfRule>
  </conditionalFormatting>
  <conditionalFormatting sqref="A44">
    <cfRule type="cellIs" dxfId="1010" priority="62" operator="equal">
      <formula>0</formula>
    </cfRule>
  </conditionalFormatting>
  <conditionalFormatting sqref="G2 G46:G1048576 G4:I4">
    <cfRule type="cellIs" dxfId="1009" priority="60" operator="equal">
      <formula>0</formula>
    </cfRule>
  </conditionalFormatting>
  <conditionalFormatting sqref="F2 F46:F1048576 F4">
    <cfRule type="cellIs" dxfId="1008" priority="58" operator="equal">
      <formula>0</formula>
    </cfRule>
  </conditionalFormatting>
  <conditionalFormatting sqref="F44">
    <cfRule type="cellIs" dxfId="1007" priority="57" operator="equal">
      <formula>0</formula>
    </cfRule>
  </conditionalFormatting>
  <conditionalFormatting sqref="I44">
    <cfRule type="cellIs" dxfId="1006" priority="56" operator="equal">
      <formula>0</formula>
    </cfRule>
  </conditionalFormatting>
  <conditionalFormatting sqref="I2 I46:I1048576">
    <cfRule type="cellIs" dxfId="1005" priority="54" operator="equal">
      <formula>0</formula>
    </cfRule>
  </conditionalFormatting>
  <conditionalFormatting sqref="H44">
    <cfRule type="cellIs" dxfId="1004" priority="53" operator="equal">
      <formula>0</formula>
    </cfRule>
  </conditionalFormatting>
  <conditionalFormatting sqref="H2 H46:H1048576">
    <cfRule type="cellIs" dxfId="1003" priority="51" operator="equal">
      <formula>0</formula>
    </cfRule>
  </conditionalFormatting>
  <conditionalFormatting sqref="J11:J43">
    <cfRule type="cellIs" dxfId="1002" priority="50" operator="equal">
      <formula>0</formula>
    </cfRule>
  </conditionalFormatting>
  <conditionalFormatting sqref="J4">
    <cfRule type="cellIs" dxfId="1001" priority="49" operator="equal">
      <formula>0</formula>
    </cfRule>
  </conditionalFormatting>
  <conditionalFormatting sqref="J5:J7">
    <cfRule type="cellIs" dxfId="1000" priority="48" operator="equal">
      <formula>0</formula>
    </cfRule>
  </conditionalFormatting>
  <conditionalFormatting sqref="J8:J10">
    <cfRule type="cellIs" dxfId="999" priority="47" operator="equal">
      <formula>0</formula>
    </cfRule>
  </conditionalFormatting>
  <conditionalFormatting sqref="J44">
    <cfRule type="cellIs" dxfId="998" priority="46" operator="equal">
      <formula>0</formula>
    </cfRule>
  </conditionalFormatting>
  <conditionalFormatting sqref="J2 J46:J1048576">
    <cfRule type="cellIs" dxfId="997" priority="44" operator="equal">
      <formula>0</formula>
    </cfRule>
  </conditionalFormatting>
  <conditionalFormatting sqref="K11:K43">
    <cfRule type="cellIs" dxfId="996" priority="43" operator="equal">
      <formula>0</formula>
    </cfRule>
  </conditionalFormatting>
  <conditionalFormatting sqref="K4">
    <cfRule type="cellIs" dxfId="995" priority="42" operator="equal">
      <formula>0</formula>
    </cfRule>
  </conditionalFormatting>
  <conditionalFormatting sqref="K5:K7">
    <cfRule type="cellIs" dxfId="994" priority="41" operator="equal">
      <formula>0</formula>
    </cfRule>
  </conditionalFormatting>
  <conditionalFormatting sqref="K8:K10">
    <cfRule type="cellIs" dxfId="993" priority="40" operator="equal">
      <formula>0</formula>
    </cfRule>
  </conditionalFormatting>
  <conditionalFormatting sqref="K44">
    <cfRule type="cellIs" dxfId="992" priority="39" operator="equal">
      <formula>0</formula>
    </cfRule>
  </conditionalFormatting>
  <conditionalFormatting sqref="K2 K46:K1048576">
    <cfRule type="cellIs" dxfId="991" priority="37" operator="equal">
      <formula>0</formula>
    </cfRule>
  </conditionalFormatting>
  <conditionalFormatting sqref="L11:L43">
    <cfRule type="cellIs" dxfId="990" priority="36" operator="equal">
      <formula>0</formula>
    </cfRule>
  </conditionalFormatting>
  <conditionalFormatting sqref="L4">
    <cfRule type="cellIs" dxfId="989" priority="35" operator="equal">
      <formula>0</formula>
    </cfRule>
  </conditionalFormatting>
  <conditionalFormatting sqref="L5:L7">
    <cfRule type="cellIs" dxfId="988" priority="34" operator="equal">
      <formula>0</formula>
    </cfRule>
  </conditionalFormatting>
  <conditionalFormatting sqref="L8:L10">
    <cfRule type="cellIs" dxfId="987" priority="33" operator="equal">
      <formula>0</formula>
    </cfRule>
  </conditionalFormatting>
  <conditionalFormatting sqref="L44">
    <cfRule type="cellIs" dxfId="986" priority="32" operator="equal">
      <formula>0</formula>
    </cfRule>
  </conditionalFormatting>
  <conditionalFormatting sqref="L2 L46:L1048576">
    <cfRule type="cellIs" dxfId="985" priority="30" operator="equal">
      <formula>0</formula>
    </cfRule>
  </conditionalFormatting>
  <conditionalFormatting sqref="M11:M43">
    <cfRule type="cellIs" dxfId="984" priority="29" operator="equal">
      <formula>0</formula>
    </cfRule>
  </conditionalFormatting>
  <conditionalFormatting sqref="M4">
    <cfRule type="cellIs" dxfId="983" priority="28" operator="equal">
      <formula>0</formula>
    </cfRule>
  </conditionalFormatting>
  <conditionalFormatting sqref="M5:M7">
    <cfRule type="cellIs" dxfId="982" priority="27" operator="equal">
      <formula>0</formula>
    </cfRule>
  </conditionalFormatting>
  <conditionalFormatting sqref="M8:M10">
    <cfRule type="cellIs" dxfId="981" priority="26" operator="equal">
      <formula>0</formula>
    </cfRule>
  </conditionalFormatting>
  <conditionalFormatting sqref="M44">
    <cfRule type="cellIs" dxfId="980" priority="25" operator="equal">
      <formula>0</formula>
    </cfRule>
  </conditionalFormatting>
  <conditionalFormatting sqref="M2 M46:M1048576">
    <cfRule type="cellIs" dxfId="979" priority="23" operator="equal">
      <formula>0</formula>
    </cfRule>
  </conditionalFormatting>
  <conditionalFormatting sqref="P3:AB3 Q1:AB2">
    <cfRule type="cellIs" dxfId="978" priority="22" operator="equal">
      <formula>0</formula>
    </cfRule>
  </conditionalFormatting>
  <conditionalFormatting sqref="P4:S4">
    <cfRule type="cellIs" dxfId="977" priority="21" operator="equal">
      <formula>0</formula>
    </cfRule>
  </conditionalFormatting>
  <conditionalFormatting sqref="T4:U4">
    <cfRule type="cellIs" dxfId="976" priority="20" operator="equal">
      <formula>0</formula>
    </cfRule>
  </conditionalFormatting>
  <conditionalFormatting sqref="V4:X4">
    <cfRule type="cellIs" dxfId="975" priority="19" operator="equal">
      <formula>0</formula>
    </cfRule>
  </conditionalFormatting>
  <conditionalFormatting sqref="Y4">
    <cfRule type="cellIs" dxfId="974" priority="18" operator="equal">
      <formula>0</formula>
    </cfRule>
  </conditionalFormatting>
  <conditionalFormatting sqref="Z4">
    <cfRule type="cellIs" dxfId="973" priority="17" operator="equal">
      <formula>0</formula>
    </cfRule>
  </conditionalFormatting>
  <conditionalFormatting sqref="AA4">
    <cfRule type="cellIs" dxfId="972" priority="16" operator="equal">
      <formula>0</formula>
    </cfRule>
  </conditionalFormatting>
  <conditionalFormatting sqref="AB4">
    <cfRule type="cellIs" dxfId="971" priority="15" operator="equal">
      <formula>0</formula>
    </cfRule>
  </conditionalFormatting>
  <conditionalFormatting sqref="P1">
    <cfRule type="cellIs" dxfId="970" priority="14" operator="equal">
      <formula>0</formula>
    </cfRule>
  </conditionalFormatting>
  <conditionalFormatting sqref="P5:P42">
    <cfRule type="cellIs" dxfId="969" priority="13" operator="equal">
      <formula>0</formula>
    </cfRule>
  </conditionalFormatting>
  <conditionalFormatting sqref="P43">
    <cfRule type="cellIs" dxfId="968" priority="12" operator="equal">
      <formula>0</formula>
    </cfRule>
  </conditionalFormatting>
  <conditionalFormatting sqref="Q5:Q42">
    <cfRule type="cellIs" dxfId="967" priority="11" operator="equal">
      <formula>0</formula>
    </cfRule>
  </conditionalFormatting>
  <conditionalFormatting sqref="Q43">
    <cfRule type="cellIs" dxfId="966" priority="10" operator="equal">
      <formula>0</formula>
    </cfRule>
  </conditionalFormatting>
  <conditionalFormatting sqref="R8:AB43">
    <cfRule type="cellIs" dxfId="965" priority="9" operator="equal">
      <formula>0</formula>
    </cfRule>
  </conditionalFormatting>
  <conditionalFormatting sqref="AE3:BB3 AG5:AQ7 AR5:BB43">
    <cfRule type="cellIs" dxfId="964" priority="8" operator="equal">
      <formula>0</formula>
    </cfRule>
  </conditionalFormatting>
  <conditionalFormatting sqref="AG5:AQ43">
    <cfRule type="cellIs" dxfId="963" priority="7" operator="equal">
      <formula>0</formula>
    </cfRule>
  </conditionalFormatting>
  <conditionalFormatting sqref="AE4:AQ4">
    <cfRule type="cellIs" dxfId="962" priority="6" operator="equal">
      <formula>0</formula>
    </cfRule>
  </conditionalFormatting>
  <conditionalFormatting sqref="AE5:AE42">
    <cfRule type="cellIs" dxfId="961" priority="5" operator="equal">
      <formula>0</formula>
    </cfRule>
  </conditionalFormatting>
  <conditionalFormatting sqref="AE43">
    <cfRule type="cellIs" dxfId="960" priority="4" operator="equal">
      <formula>0</formula>
    </cfRule>
  </conditionalFormatting>
  <conditionalFormatting sqref="AF5:AF42">
    <cfRule type="cellIs" dxfId="959" priority="3" operator="equal">
      <formula>0</formula>
    </cfRule>
  </conditionalFormatting>
  <conditionalFormatting sqref="AF43">
    <cfRule type="cellIs" dxfId="958" priority="2" operator="equal">
      <formula>0</formula>
    </cfRule>
  </conditionalFormatting>
  <conditionalFormatting sqref="AR4:BB4">
    <cfRule type="cellIs" dxfId="95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5814-13B2-4F6E-AC73-177FDEC28026}">
  <dimension ref="A3:AG55"/>
  <sheetViews>
    <sheetView showGridLines="0" topLeftCell="A31" zoomScale="120" zoomScaleNormal="120" workbookViewId="0">
      <selection sqref="A1:L1"/>
    </sheetView>
  </sheetViews>
  <sheetFormatPr defaultColWidth="8.7109375" defaultRowHeight="12"/>
  <cols>
    <col min="1" max="1" width="17.7109375" style="532" bestFit="1" customWidth="1"/>
    <col min="2" max="16384" width="8.7109375" style="532"/>
  </cols>
  <sheetData>
    <row r="3" spans="1:16">
      <c r="A3" s="501" t="s">
        <v>407</v>
      </c>
      <c r="N3" s="566"/>
    </row>
    <row r="4" spans="1:16">
      <c r="A4" s="501" t="s">
        <v>405</v>
      </c>
      <c r="N4" s="566"/>
    </row>
    <row r="5" spans="1:16">
      <c r="B5" s="501">
        <f>+'q21'!$B$4</f>
        <v>2013</v>
      </c>
      <c r="C5" s="501">
        <f>+'q21'!$C$4</f>
        <v>2014</v>
      </c>
      <c r="D5" s="501">
        <f>+'q21'!$D$4</f>
        <v>2015</v>
      </c>
      <c r="E5" s="501">
        <f>+'q21'!$E$4</f>
        <v>2016</v>
      </c>
      <c r="F5" s="501">
        <f>+'q21'!$F$4</f>
        <v>2017</v>
      </c>
      <c r="G5" s="501">
        <f>+'q21'!$G$4</f>
        <v>2018</v>
      </c>
      <c r="H5" s="501">
        <f>+'q21'!$H$4</f>
        <v>2019</v>
      </c>
      <c r="I5" s="501">
        <f>+'q21'!$I$4</f>
        <v>2020</v>
      </c>
      <c r="J5" s="501">
        <f>+'q21'!$J$4</f>
        <v>2021</v>
      </c>
      <c r="K5" s="501">
        <f>+'q21'!$K$4</f>
        <v>2022</v>
      </c>
      <c r="L5" s="501">
        <f>+'q21'!$L$4</f>
        <v>2023</v>
      </c>
      <c r="N5" s="566"/>
    </row>
    <row r="6" spans="1:16">
      <c r="A6" s="501" t="s">
        <v>410</v>
      </c>
      <c r="B6" s="554">
        <f>((+'q21'!$B$6)/(+'q21'!$B$5))</f>
        <v>5.1753203234469409E-3</v>
      </c>
      <c r="C6" s="554">
        <f>((+'q21'!C6)/(+'q21'!C$5))</f>
        <v>7.5470347823245985E-3</v>
      </c>
      <c r="D6" s="554">
        <f>((+'q21'!D6)/(+'q21'!D$5))</f>
        <v>5.8283457994476508E-3</v>
      </c>
      <c r="E6" s="554">
        <f>((+'q21'!E6)/(+'q21'!E$5))</f>
        <v>5.3890411798856496E-3</v>
      </c>
      <c r="F6" s="554">
        <f>((+'q21'!F6)/(+'q21'!F$5))</f>
        <v>5.3899189612480261E-3</v>
      </c>
      <c r="G6" s="554">
        <f>((+'q21'!G6)/(+'q21'!G$5))</f>
        <v>4.6670768628066213E-3</v>
      </c>
      <c r="H6" s="554">
        <f>((+'q21'!H6)/(+'q21'!H$5))</f>
        <v>4.9964164128292422E-3</v>
      </c>
      <c r="I6" s="554">
        <f>((+'q21'!I6)/(+'q21'!I$5))</f>
        <v>4.6522416984656105E-3</v>
      </c>
      <c r="J6" s="554">
        <f>((+'q21'!J6)/(+'q21'!J$5))</f>
        <v>5.0086476651304149E-3</v>
      </c>
      <c r="K6" s="554">
        <f>((+'q21'!K6)/(+'q21'!K$5))</f>
        <v>4.7863844973833336E-3</v>
      </c>
      <c r="L6" s="554">
        <f>((+'q21'!L6)/(+'q21'!L$5))</f>
        <v>4.5003242016534283E-3</v>
      </c>
      <c r="M6" s="565">
        <f>+L6-B6</f>
        <v>-6.7499612179351253E-4</v>
      </c>
      <c r="N6" s="552"/>
      <c r="O6" s="552"/>
    </row>
    <row r="7" spans="1:16">
      <c r="A7" s="501" t="s">
        <v>119</v>
      </c>
      <c r="B7" s="554">
        <f>((+'q21'!$B$7)/(+'q21'!$B$5))</f>
        <v>0.14163154829567243</v>
      </c>
      <c r="C7" s="554">
        <f>((+'q21'!C7)/(+'q21'!C$5))</f>
        <v>0.20369215067932647</v>
      </c>
      <c r="D7" s="554">
        <f>((+'q21'!D7)/(+'q21'!D$5))</f>
        <v>0.18384224845075486</v>
      </c>
      <c r="E7" s="554">
        <f>((+'q21'!E7)/(+'q21'!E$5))</f>
        <v>0.22109181370872022</v>
      </c>
      <c r="F7" s="554">
        <f>((+'q21'!F7)/(+'q21'!F$5))</f>
        <v>0.22888510621531627</v>
      </c>
      <c r="G7" s="554">
        <f>((+'q21'!G7)/(+'q21'!G$5))</f>
        <v>0.22317088266380225</v>
      </c>
      <c r="H7" s="554">
        <f>((+'q21'!H7)/(+'q21'!H$5))</f>
        <v>0.20974556531087618</v>
      </c>
      <c r="I7" s="554">
        <f>((+'q21'!I7)/(+'q21'!I$5))</f>
        <v>0.23879843890213009</v>
      </c>
      <c r="J7" s="554">
        <f>((+'q21'!J7)/(+'q21'!J$5))</f>
        <v>0.23485068122516012</v>
      </c>
      <c r="K7" s="554">
        <f>((+'q21'!K7)/(+'q21'!K$5))</f>
        <v>0.23346050170130656</v>
      </c>
      <c r="L7" s="554">
        <f>((+'q21'!L7)/(+'q21'!L$5))</f>
        <v>0.20624493434916519</v>
      </c>
      <c r="M7" s="565">
        <f>+L7-B7</f>
        <v>6.4613386053492761E-2</v>
      </c>
      <c r="N7" s="563">
        <f>+(L7-B7)*100</f>
        <v>6.4613386053492761</v>
      </c>
      <c r="O7" s="563">
        <f>+(L8-B8)*100</f>
        <v>-21.484776703563519</v>
      </c>
    </row>
    <row r="8" spans="1:16">
      <c r="A8" s="501" t="s">
        <v>707</v>
      </c>
      <c r="B8" s="554">
        <f>((+'q21'!$B$8)/(+'q21'!$B$5))</f>
        <v>0.60319352809901661</v>
      </c>
      <c r="C8" s="554">
        <f>((+'q21'!C8)/(+'q21'!C$5))</f>
        <v>0.54175553996329417</v>
      </c>
      <c r="D8" s="554">
        <f>((+'q21'!D8)/(+'q21'!D$5))</f>
        <v>0.5613940017005411</v>
      </c>
      <c r="E8" s="554">
        <f>((+'q21'!E8)/(+'q21'!E$5))</f>
        <v>0.52377937535980879</v>
      </c>
      <c r="F8" s="554">
        <f>((+'q21'!F8)/(+'q21'!F$5))</f>
        <v>0.50997986343912571</v>
      </c>
      <c r="G8" s="554">
        <f>((+'q21'!G8)/(+'q21'!G$5))</f>
        <v>0.50294203130519</v>
      </c>
      <c r="H8" s="554">
        <f>((+'q21'!H8)/(+'q21'!H$5))</f>
        <v>0.49900779430209641</v>
      </c>
      <c r="I8" s="554">
        <f>((+'q21'!I8)/(+'q21'!I$5))</f>
        <v>0.44975874698144924</v>
      </c>
      <c r="J8" s="554">
        <f>((+'q21'!J8)/(+'q21'!J$5))</f>
        <v>0.43323348150544805</v>
      </c>
      <c r="K8" s="554">
        <f>((+'q21'!K8)/(+'q21'!K$5))</f>
        <v>0.40428893382685605</v>
      </c>
      <c r="L8" s="554">
        <f>((+'q21'!L8)/(+'q21'!L$5))</f>
        <v>0.38834576106338142</v>
      </c>
      <c r="M8" s="565">
        <f t="shared" ref="M8:M13" si="0">+L8-B8</f>
        <v>-0.21484776703563518</v>
      </c>
      <c r="N8" s="625">
        <f>+(L7+L8)</f>
        <v>0.59459069541254661</v>
      </c>
      <c r="O8" s="624">
        <f>+B7+B8</f>
        <v>0.74482507639468909</v>
      </c>
      <c r="P8" s="552">
        <f>+(N8-O8)*100</f>
        <v>-15.023438098214248</v>
      </c>
    </row>
    <row r="9" spans="1:16">
      <c r="A9" s="501" t="s">
        <v>176</v>
      </c>
      <c r="B9" s="554">
        <f>((+'q21'!$B$9)/(+'q21'!$B$5))</f>
        <v>0.13618645963974821</v>
      </c>
      <c r="C9" s="554">
        <f>((+'q21'!C9)/(+'q21'!C$5))</f>
        <v>0.13515638329373902</v>
      </c>
      <c r="D9" s="554">
        <f>((+'q21'!D9)/(+'q21'!D$5))</f>
        <v>0.13673033065127307</v>
      </c>
      <c r="E9" s="554">
        <f>((+'q21'!E9)/(+'q21'!E$5))</f>
        <v>0.13732516882726309</v>
      </c>
      <c r="F9" s="554">
        <f>((+'q21'!F9)/(+'q21'!F$5))</f>
        <v>0.1414573466551404</v>
      </c>
      <c r="G9" s="554">
        <f>((+'q21'!G9)/(+'q21'!G$5))</f>
        <v>0.14863141246975106</v>
      </c>
      <c r="H9" s="554">
        <f>((+'q21'!H9)/(+'q21'!H$5))</f>
        <v>0.15694678373051424</v>
      </c>
      <c r="I9" s="554">
        <f>((+'q21'!I9)/(+'q21'!I$5))</f>
        <v>0.16926526187573876</v>
      </c>
      <c r="J9" s="554">
        <f>((+'q21'!J9)/(+'q21'!J$5))</f>
        <v>0.17971693097409155</v>
      </c>
      <c r="K9" s="554">
        <f>((+'q21'!K9)/(+'q21'!K$5))</f>
        <v>0.19453183031966045</v>
      </c>
      <c r="L9" s="554">
        <f>((+'q21'!L9)/(+'q21'!L$5))</f>
        <v>0.21866266817960772</v>
      </c>
      <c r="M9" s="565">
        <f t="shared" si="0"/>
        <v>8.2476208539859514E-2</v>
      </c>
      <c r="N9" s="552"/>
      <c r="O9" s="552"/>
    </row>
    <row r="10" spans="1:16">
      <c r="A10" s="501" t="s">
        <v>177</v>
      </c>
      <c r="B10" s="554">
        <f>((+'q21'!$B$10)/(+'q21'!$B$5))</f>
        <v>7.7581669717869936E-2</v>
      </c>
      <c r="C10" s="554">
        <f>((+'q21'!C10)/(+'q21'!C$5))</f>
        <v>7.6610207814419587E-2</v>
      </c>
      <c r="D10" s="554">
        <f>((+'q21'!D10)/(+'q21'!D$5))</f>
        <v>7.6416368385605976E-2</v>
      </c>
      <c r="E10" s="554">
        <f>((+'q21'!E10)/(+'q21'!E$5))</f>
        <v>7.5857299902526196E-2</v>
      </c>
      <c r="F10" s="554">
        <f>((+'q21'!F10)/(+'q21'!F$5))</f>
        <v>7.7197654909160335E-2</v>
      </c>
      <c r="G10" s="554">
        <f>((+'q21'!G10)/(+'q21'!G$5))</f>
        <v>8.1324936554869331E-2</v>
      </c>
      <c r="H10" s="554">
        <f>((+'q21'!H10)/(+'q21'!H$5))</f>
        <v>8.6777011288299594E-2</v>
      </c>
      <c r="I10" s="554">
        <f>((+'q21'!I10)/(+'q21'!I$5))</f>
        <v>9.2550406216296899E-2</v>
      </c>
      <c r="J10" s="554">
        <f>((+'q21'!J10)/(+'q21'!J$5))</f>
        <v>9.8043982670133603E-2</v>
      </c>
      <c r="K10" s="554">
        <f>((+'q21'!K10)/(+'q21'!K$5))</f>
        <v>0.10679828206968098</v>
      </c>
      <c r="L10" s="554">
        <f>((+'q21'!L10)/(+'q21'!L$5))</f>
        <v>0.11902577403144755</v>
      </c>
      <c r="M10" s="565">
        <f t="shared" si="0"/>
        <v>4.1444104313577618E-2</v>
      </c>
      <c r="N10" s="552"/>
      <c r="O10" s="552"/>
    </row>
    <row r="11" spans="1:16">
      <c r="A11" s="501" t="s">
        <v>178</v>
      </c>
      <c r="B11" s="554">
        <f>((+'q21'!$B$11)/(+'q21'!$B$5))</f>
        <v>2.3744902833149343E-2</v>
      </c>
      <c r="C11" s="554">
        <f>((+'q21'!C11)/(+'q21'!C$5))</f>
        <v>2.339357788982771E-2</v>
      </c>
      <c r="D11" s="554">
        <f>((+'q21'!D11)/(+'q21'!D$5))</f>
        <v>2.3905006752443711E-2</v>
      </c>
      <c r="E11" s="554">
        <f>((+'q21'!E11)/(+'q21'!E$5))</f>
        <v>2.4396190394620498E-2</v>
      </c>
      <c r="F11" s="554">
        <f>((+'q21'!F11)/(+'q21'!F$5))</f>
        <v>2.4870739977569757E-2</v>
      </c>
      <c r="G11" s="554">
        <f>((+'q21'!G11)/(+'q21'!G$5))</f>
        <v>2.6643100792627713E-2</v>
      </c>
      <c r="H11" s="554">
        <f>((+'q21'!H11)/(+'q21'!H$5))</f>
        <v>2.8876545421967388E-2</v>
      </c>
      <c r="I11" s="554">
        <f>((+'q21'!I11)/(+'q21'!I$5))</f>
        <v>3.0903582891505917E-2</v>
      </c>
      <c r="J11" s="554">
        <f>((+'q21'!J11)/(+'q21'!J$5))</f>
        <v>3.3638190415860442E-2</v>
      </c>
      <c r="K11" s="554">
        <f>((+'q21'!K11)/(+'q21'!K$5))</f>
        <v>3.7576464102116271E-2</v>
      </c>
      <c r="L11" s="554">
        <f>((+'q21'!L11)/(+'q21'!L$5))</f>
        <v>4.157278327119468E-2</v>
      </c>
      <c r="M11" s="565">
        <f t="shared" si="0"/>
        <v>1.7827880438045337E-2</v>
      </c>
      <c r="N11" s="552"/>
      <c r="O11" s="552"/>
    </row>
    <row r="12" spans="1:16">
      <c r="A12" s="501" t="s">
        <v>179</v>
      </c>
      <c r="B12" s="554">
        <f>((+'q21'!$B$12)/(+'q21'!$B$5))</f>
        <v>6.7965751058840706E-3</v>
      </c>
      <c r="C12" s="554">
        <f>((+'q21'!C12)/(+'q21'!C$5))</f>
        <v>6.3013825080757372E-3</v>
      </c>
      <c r="D12" s="554">
        <f>((+'q21'!D12)/(+'q21'!D$5))</f>
        <v>6.294412572552986E-3</v>
      </c>
      <c r="E12" s="554">
        <f>((+'q21'!E12)/(+'q21'!E$5))</f>
        <v>6.5929862655852252E-3</v>
      </c>
      <c r="F12" s="554">
        <f>((+'q21'!F12)/(+'q21'!F$5))</f>
        <v>6.6052422602292842E-3</v>
      </c>
      <c r="G12" s="554">
        <f>((+'q21'!G12)/(+'q21'!G$5))</f>
        <v>6.8258209552794014E-3</v>
      </c>
      <c r="H12" s="554">
        <f>((+'q21'!H12)/(+'q21'!H$5))</f>
        <v>7.3396344741085825E-3</v>
      </c>
      <c r="I12" s="554">
        <f>((+'q21'!I12)/(+'q21'!I$5))</f>
        <v>7.7306320635011586E-3</v>
      </c>
      <c r="J12" s="554">
        <f>((+'q21'!J12)/(+'q21'!J$5))</f>
        <v>8.580410561875567E-3</v>
      </c>
      <c r="K12" s="554">
        <f>((+'q21'!K12)/(+'q21'!K$5))</f>
        <v>1.0213310382704541E-2</v>
      </c>
      <c r="L12" s="554">
        <f>((+'q21'!L12)/(+'q21'!L$5))</f>
        <v>1.179202463932566E-2</v>
      </c>
      <c r="M12" s="565">
        <f t="shared" si="0"/>
        <v>4.9954495334415894E-3</v>
      </c>
      <c r="N12" s="552"/>
      <c r="O12" s="552"/>
    </row>
    <row r="13" spans="1:16">
      <c r="A13" s="501" t="s">
        <v>180</v>
      </c>
      <c r="B13" s="554">
        <f>((+'q21'!$B$13)/(+'q21'!$B$5))</f>
        <v>5.6899959852124635E-3</v>
      </c>
      <c r="C13" s="554">
        <f>((+'q21'!C13)/(+'q21'!C$5))</f>
        <v>5.5437230689926445E-3</v>
      </c>
      <c r="D13" s="554">
        <f>((+'q21'!D13)/(+'q21'!D$5))</f>
        <v>5.58928568738069E-3</v>
      </c>
      <c r="E13" s="554">
        <f>((+'q21'!E13)/(+'q21'!E$5))</f>
        <v>5.5681243615903556E-3</v>
      </c>
      <c r="F13" s="554">
        <f>((+'q21'!F13)/(+'q21'!F$5))</f>
        <v>5.6141275822102184E-3</v>
      </c>
      <c r="G13" s="554">
        <f>((+'q21'!G13)/(+'q21'!G$5))</f>
        <v>5.7947383956736247E-3</v>
      </c>
      <c r="H13" s="554">
        <f>((+'q21'!H13)/(+'q21'!H$5))</f>
        <v>6.3102490593083677E-3</v>
      </c>
      <c r="I13" s="554">
        <f>((+'q21'!I13)/(+'q21'!I$5))</f>
        <v>6.340689370912307E-3</v>
      </c>
      <c r="J13" s="554">
        <f>((+'q21'!J13)/(+'q21'!J$5))</f>
        <v>6.9276749823002333E-3</v>
      </c>
      <c r="K13" s="554">
        <f>((+'q21'!K13)/(+'q21'!K$5))</f>
        <v>8.3442931002918625E-3</v>
      </c>
      <c r="L13" s="554">
        <f>((+'q21'!L13)/(+'q21'!L$5))</f>
        <v>9.8557302642243473E-3</v>
      </c>
      <c r="M13" s="565">
        <f t="shared" si="0"/>
        <v>4.1657342790118838E-3</v>
      </c>
      <c r="N13" s="552"/>
      <c r="O13" s="552"/>
    </row>
    <row r="14" spans="1:16">
      <c r="A14" s="501" t="s">
        <v>12</v>
      </c>
      <c r="B14" s="553">
        <f>+'q21'!$B$5</f>
        <v>1890511</v>
      </c>
      <c r="C14" s="553">
        <f>+'q21'!$C$5</f>
        <v>1928307</v>
      </c>
      <c r="D14" s="553">
        <f>+'q21'!$D$5</f>
        <v>1991131</v>
      </c>
      <c r="E14" s="553">
        <f>+'q21'!$E$5</f>
        <v>2054911</v>
      </c>
      <c r="F14" s="553">
        <f>+'q21'!$F$5</f>
        <v>2131943</v>
      </c>
      <c r="G14" s="553">
        <f>+'q21'!$G$5</f>
        <v>2205449</v>
      </c>
      <c r="H14" s="553">
        <f>+'q21'!$H$5</f>
        <v>2232400</v>
      </c>
      <c r="I14" s="553">
        <f>+'q21'!$I$5</f>
        <v>2164118</v>
      </c>
      <c r="J14" s="553">
        <f>+'q21'!$J$5</f>
        <v>2200594</v>
      </c>
      <c r="K14" s="553">
        <f>+'q21'!$K$5</f>
        <v>2376115</v>
      </c>
      <c r="L14" s="553">
        <f>+'q21'!$L$5</f>
        <v>2467600</v>
      </c>
      <c r="M14" s="567"/>
      <c r="N14" s="552"/>
      <c r="O14" s="552"/>
    </row>
    <row r="16" spans="1:16">
      <c r="B16" s="532">
        <v>100</v>
      </c>
      <c r="C16" s="532">
        <v>100</v>
      </c>
      <c r="D16" s="532">
        <v>100</v>
      </c>
      <c r="E16" s="532">
        <v>100</v>
      </c>
      <c r="F16" s="532">
        <v>100</v>
      </c>
      <c r="G16" s="532">
        <v>100</v>
      </c>
      <c r="H16" s="532">
        <v>100</v>
      </c>
      <c r="I16" s="532">
        <v>100</v>
      </c>
      <c r="J16" s="532">
        <v>100</v>
      </c>
      <c r="K16" s="532">
        <v>100</v>
      </c>
      <c r="L16" s="532">
        <v>100</v>
      </c>
    </row>
    <row r="18" spans="1:33">
      <c r="A18" s="501" t="s">
        <v>406</v>
      </c>
    </row>
    <row r="19" spans="1:33">
      <c r="A19" s="501" t="s">
        <v>405</v>
      </c>
    </row>
    <row r="20" spans="1:33">
      <c r="B20" s="501">
        <f>+'q21'!$B$4</f>
        <v>2013</v>
      </c>
      <c r="C20" s="501">
        <f>+'q21'!$C$4</f>
        <v>2014</v>
      </c>
      <c r="D20" s="501">
        <f>+'q21'!$D$4</f>
        <v>2015</v>
      </c>
      <c r="E20" s="501">
        <f>+'q21'!$E$4</f>
        <v>2016</v>
      </c>
      <c r="F20" s="501">
        <f>+'q21'!$F$4</f>
        <v>2017</v>
      </c>
      <c r="G20" s="501">
        <f>+'q21'!$G$4</f>
        <v>2018</v>
      </c>
      <c r="H20" s="501">
        <f>+'q21'!$H$4</f>
        <v>2019</v>
      </c>
      <c r="I20" s="501">
        <f>+'q21'!$I$4</f>
        <v>2020</v>
      </c>
      <c r="J20" s="501">
        <f>+'q21'!$J$4</f>
        <v>2021</v>
      </c>
      <c r="K20" s="501">
        <f>+'q21'!$K$4</f>
        <v>2022</v>
      </c>
      <c r="L20" s="501">
        <f>+'q21'!$L$4</f>
        <v>2023</v>
      </c>
    </row>
    <row r="21" spans="1:33">
      <c r="A21" s="501" t="s">
        <v>410</v>
      </c>
      <c r="B21" s="554">
        <f>((+'q31'!$B$6)/(+'q31'!$B$5))</f>
        <v>2.4342624824716702E-3</v>
      </c>
      <c r="C21" s="554">
        <f>((+'q31'!C6)/(+'q31'!C$5))</f>
        <v>2.7480064118420976E-3</v>
      </c>
      <c r="D21" s="554">
        <f>((+'q31'!D6)/(+'q31'!D$5))</f>
        <v>2.4257570195029862E-3</v>
      </c>
      <c r="E21" s="554">
        <f>((+'q31'!E6)/(+'q31'!E$5))</f>
        <v>2.4886722587985563E-3</v>
      </c>
      <c r="F21" s="554">
        <f>((+'q31'!F6)/(+'q31'!F$5))</f>
        <v>2.1126268385224184E-3</v>
      </c>
      <c r="G21" s="554">
        <f>((+'q31'!G6)/(+'q31'!G$5))</f>
        <v>1.7647200184633606E-3</v>
      </c>
      <c r="H21" s="554">
        <f>((+'q31'!H6)/(+'q31'!H$5))</f>
        <v>1.8872065938003943E-3</v>
      </c>
      <c r="I21" s="554">
        <f>((+'q31'!I6)/(+'q31'!I$5))</f>
        <v>1.6981513947021373E-3</v>
      </c>
      <c r="J21" s="554">
        <f>((+'q31'!J6)/(+'q31'!J$5))</f>
        <v>1.7358949447285597E-3</v>
      </c>
      <c r="K21" s="554">
        <f>((+'q31'!K6)/(+'q31'!K$5))</f>
        <v>1.761278389303548E-3</v>
      </c>
      <c r="L21" s="554">
        <f>((+'q31'!L6)/(+'q31'!L$5))</f>
        <v>1.5618414653914734E-3</v>
      </c>
      <c r="M21" s="537">
        <f>+(L21-B21)*100</f>
        <v>-8.7242101708019687E-2</v>
      </c>
    </row>
    <row r="22" spans="1:33">
      <c r="A22" s="501" t="s">
        <v>119</v>
      </c>
      <c r="B22" s="554">
        <f>((+'q31'!$B$7)/(+'q31'!$B$5))</f>
        <v>4.0476886936918116E-2</v>
      </c>
      <c r="C22" s="554">
        <f>((+'q31'!C7)/(+'q31'!C$5))</f>
        <v>4.9883135828475443E-2</v>
      </c>
      <c r="D22" s="554">
        <f>((+'q31'!D7)/(+'q31'!D$5))</f>
        <v>4.7405720668303591E-2</v>
      </c>
      <c r="E22" s="554">
        <f>((+'q31'!E7)/(+'q31'!E$5))</f>
        <v>5.4094800212758608E-2</v>
      </c>
      <c r="F22" s="554">
        <f>((+'q31'!F7)/(+'q31'!F$5))</f>
        <v>5.3383697406544174E-2</v>
      </c>
      <c r="G22" s="554">
        <f>((+'q31'!G7)/(+'q31'!G$5))</f>
        <v>5.2246503999865787E-2</v>
      </c>
      <c r="H22" s="554">
        <f>((+'q31'!H7)/(+'q31'!H$5))</f>
        <v>4.8300483784268052E-2</v>
      </c>
      <c r="I22" s="554">
        <f>((+'q31'!I7)/(+'q31'!I$5))</f>
        <v>4.9281970761298595E-2</v>
      </c>
      <c r="J22" s="554">
        <f>((+'q31'!J7)/(+'q31'!J$5))</f>
        <v>4.6096644814990859E-2</v>
      </c>
      <c r="K22" s="554">
        <f>((+'q31'!K7)/(+'q31'!K$5))</f>
        <v>4.5002451480673285E-2</v>
      </c>
      <c r="L22" s="554">
        <f>((+'q31'!L7)/(+'q31'!L$5))</f>
        <v>4.1181715026746633E-2</v>
      </c>
      <c r="M22" s="537">
        <f t="shared" ref="M22:M28" si="1">+(L22-B22)*100</f>
        <v>7.0482808982851725E-2</v>
      </c>
      <c r="N22" s="552">
        <f>+(L22-B22)*100</f>
        <v>7.0482808982851725E-2</v>
      </c>
      <c r="O22" s="552">
        <f>+(L23-B23)*100</f>
        <v>-27.380207876044331</v>
      </c>
    </row>
    <row r="23" spans="1:33">
      <c r="A23" s="501" t="s">
        <v>707</v>
      </c>
      <c r="B23" s="554">
        <f>((+'q31'!$B$8)/(+'q31'!$B$5))</f>
        <v>0.62176892914138027</v>
      </c>
      <c r="C23" s="554">
        <f>((+'q31'!C8)/(+'q31'!C$5))</f>
        <v>0.6144576563794043</v>
      </c>
      <c r="D23" s="554">
        <f>((+'q31'!D8)/(+'q31'!D$5))</f>
        <v>0.61444575972148496</v>
      </c>
      <c r="E23" s="554">
        <f>((+'q31'!E8)/(+'q31'!E$5))</f>
        <v>0.60386167576114003</v>
      </c>
      <c r="F23" s="554">
        <f>((+'q31'!F8)/(+'q31'!F$5))</f>
        <v>0.59158476563397799</v>
      </c>
      <c r="G23" s="554">
        <f>((+'q31'!G8)/(+'q31'!G$5))</f>
        <v>0.56911857857515635</v>
      </c>
      <c r="H23" s="554">
        <f>((+'q31'!H8)/(+'q31'!H$5))</f>
        <v>0.54308860419279703</v>
      </c>
      <c r="I23" s="554">
        <f>((+'q31'!I8)/(+'q31'!I$5))</f>
        <v>0.5133172035905621</v>
      </c>
      <c r="J23" s="554">
        <f>((+'q31'!J8)/(+'q31'!J$5))</f>
        <v>0.48613783369399355</v>
      </c>
      <c r="K23" s="554">
        <f>((+'q31'!K8)/(+'q31'!K$5))</f>
        <v>0.43309814550221687</v>
      </c>
      <c r="L23" s="554">
        <f>((+'q31'!L8)/(+'q31'!L$5))</f>
        <v>0.34796685038093694</v>
      </c>
      <c r="M23" s="537">
        <f t="shared" si="1"/>
        <v>-27.380207876044331</v>
      </c>
      <c r="N23" s="621">
        <f>+L22+L23</f>
        <v>0.38914856540768356</v>
      </c>
      <c r="O23" s="554">
        <f>+B22+B23</f>
        <v>0.66224581607829835</v>
      </c>
      <c r="P23" s="552">
        <f>+(N23-O23)*100</f>
        <v>-27.309725067061478</v>
      </c>
      <c r="R23" s="532" t="s">
        <v>408</v>
      </c>
    </row>
    <row r="24" spans="1:33">
      <c r="A24" s="501" t="s">
        <v>176</v>
      </c>
      <c r="B24" s="554">
        <f>((+'q31'!$B$9)/(+'q31'!$B$5))</f>
        <v>0.16860362092577086</v>
      </c>
      <c r="C24" s="554">
        <f>((+'q31'!C9)/(+'q31'!C$5))</f>
        <v>0.16805000448580024</v>
      </c>
      <c r="D24" s="554">
        <f>((+'q31'!D9)/(+'q31'!D$5))</f>
        <v>0.17108266608274392</v>
      </c>
      <c r="E24" s="554">
        <f>((+'q31'!E9)/(+'q31'!E$5))</f>
        <v>0.17426058841477807</v>
      </c>
      <c r="F24" s="554">
        <f>((+'q31'!F9)/(+'q31'!F$5))</f>
        <v>0.18309823480271284</v>
      </c>
      <c r="G24" s="554">
        <f>((+'q31'!G9)/(+'q31'!G$5))</f>
        <v>0.19677308339480987</v>
      </c>
      <c r="H24" s="554">
        <f>((+'q31'!H9)/(+'q31'!H$5))</f>
        <v>0.21366197814011825</v>
      </c>
      <c r="I24" s="554">
        <f>((+'q31'!I9)/(+'q31'!I$5))</f>
        <v>0.22926383866314129</v>
      </c>
      <c r="J24" s="554">
        <f>((+'q31'!J9)/(+'q31'!J$5))</f>
        <v>0.24640756086765664</v>
      </c>
      <c r="K24" s="554">
        <f>((+'q31'!K9)/(+'q31'!K$5))</f>
        <v>0.27650387291860873</v>
      </c>
      <c r="L24" s="554">
        <f>((+'q31'!L9)/(+'q31'!L$5))</f>
        <v>0.33085021883611604</v>
      </c>
      <c r="M24" s="537">
        <f t="shared" si="1"/>
        <v>16.224659791034519</v>
      </c>
      <c r="R24" s="532" t="s">
        <v>409</v>
      </c>
    </row>
    <row r="25" spans="1:33">
      <c r="A25" s="501" t="s">
        <v>177</v>
      </c>
      <c r="B25" s="554">
        <f>((+'q31'!$B$10)/(+'q31'!$B$5))</f>
        <v>0.10744449516559279</v>
      </c>
      <c r="C25" s="554">
        <f>((+'q31'!C10)/(+'q31'!C$5))</f>
        <v>0.10662150788230297</v>
      </c>
      <c r="D25" s="554">
        <f>((+'q31'!D10)/(+'q31'!D$5))</f>
        <v>0.10646562179987153</v>
      </c>
      <c r="E25" s="554">
        <f>((+'q31'!E10)/(+'q31'!E$5))</f>
        <v>0.10664549462239484</v>
      </c>
      <c r="F25" s="554">
        <f>((+'q31'!F10)/(+'q31'!F$5))</f>
        <v>0.11032658940694005</v>
      </c>
      <c r="G25" s="554">
        <f>((+'q31'!G10)/(+'q31'!G$5))</f>
        <v>0.11769757541434873</v>
      </c>
      <c r="H25" s="554">
        <f>((+'q31'!H10)/(+'q31'!H$5))</f>
        <v>0.12736964701666367</v>
      </c>
      <c r="I25" s="554">
        <f>((+'q31'!I10)/(+'q31'!I$5))</f>
        <v>0.13675455774592699</v>
      </c>
      <c r="J25" s="554">
        <f>((+'q31'!J10)/(+'q31'!J$5))</f>
        <v>0.14504629204660197</v>
      </c>
      <c r="K25" s="554">
        <f>((+'q31'!K10)/(+'q31'!K$5))</f>
        <v>0.15884584710756844</v>
      </c>
      <c r="L25" s="554">
        <f>((+'q31'!L10)/(+'q31'!L$5))</f>
        <v>0.18160196142000323</v>
      </c>
      <c r="M25" s="537">
        <f t="shared" si="1"/>
        <v>7.4157466254410442</v>
      </c>
      <c r="AA25" s="533" t="s">
        <v>546</v>
      </c>
      <c r="AB25" s="533"/>
      <c r="AC25" s="533"/>
      <c r="AD25" s="533"/>
      <c r="AE25" s="533"/>
      <c r="AF25" s="533"/>
      <c r="AG25" s="533"/>
    </row>
    <row r="26" spans="1:33">
      <c r="A26" s="501" t="s">
        <v>178</v>
      </c>
      <c r="B26" s="554">
        <f>((+'q31'!$B$11)/(+'q31'!$B$5))</f>
        <v>3.8930744121562902E-2</v>
      </c>
      <c r="C26" s="554">
        <f>((+'q31'!C11)/(+'q31'!C$5))</f>
        <v>3.8366297482714112E-2</v>
      </c>
      <c r="D26" s="554">
        <f>((+'q31'!D11)/(+'q31'!D$5))</f>
        <v>3.8309885185856679E-2</v>
      </c>
      <c r="E26" s="554">
        <f>((+'q31'!E11)/(+'q31'!E$5))</f>
        <v>3.8479525390637356E-2</v>
      </c>
      <c r="F26" s="554">
        <f>((+'q31'!F11)/(+'q31'!F$5))</f>
        <v>3.9048886391427916E-2</v>
      </c>
      <c r="G26" s="554">
        <f>((+'q31'!G11)/(+'q31'!G$5))</f>
        <v>4.0913210869986109E-2</v>
      </c>
      <c r="H26" s="554">
        <f>((+'q31'!H11)/(+'q31'!H$5))</f>
        <v>4.3067998566565131E-2</v>
      </c>
      <c r="I26" s="554">
        <f>((+'q31'!I11)/(+'q31'!I$5))</f>
        <v>4.6109315665781622E-2</v>
      </c>
      <c r="J26" s="554">
        <f>((+'q31'!J11)/(+'q31'!J$5))</f>
        <v>4.8960871473792987E-2</v>
      </c>
      <c r="K26" s="554">
        <f>((+'q31'!K11)/(+'q31'!K$5))</f>
        <v>5.5147583345082206E-2</v>
      </c>
      <c r="L26" s="554">
        <f>((+'q31'!L11)/(+'q31'!L$5))</f>
        <v>6.1939131139568809E-2</v>
      </c>
      <c r="M26" s="537">
        <f t="shared" si="1"/>
        <v>2.3008387018005907</v>
      </c>
    </row>
    <row r="27" spans="1:33">
      <c r="A27" s="501" t="s">
        <v>179</v>
      </c>
      <c r="B27" s="554">
        <f>((+'q31'!$B$12)/(+'q31'!$B$5))</f>
        <v>1.1290069192932493E-2</v>
      </c>
      <c r="C27" s="554">
        <f>((+'q31'!C12)/(+'q31'!C$5))</f>
        <v>1.1010694873793437E-2</v>
      </c>
      <c r="D27" s="554">
        <f>((+'q31'!D12)/(+'q31'!D$5))</f>
        <v>1.1017356467254038E-2</v>
      </c>
      <c r="E27" s="554">
        <f>((+'q31'!E12)/(+'q31'!E$5))</f>
        <v>1.1287106838203699E-2</v>
      </c>
      <c r="F27" s="554">
        <f>((+'q31'!F12)/(+'q31'!F$5))</f>
        <v>1.1404151049066509E-2</v>
      </c>
      <c r="G27" s="554">
        <f>((+'q31'!G12)/(+'q31'!G$5))</f>
        <v>1.1988941934272794E-2</v>
      </c>
      <c r="H27" s="554">
        <f>((+'q31'!H12)/(+'q31'!H$5))</f>
        <v>1.2757122379501881E-2</v>
      </c>
      <c r="I27" s="554">
        <f>((+'q31'!I12)/(+'q31'!I$5))</f>
        <v>1.3377274252143367E-2</v>
      </c>
      <c r="J27" s="554">
        <f>((+'q31'!J12)/(+'q31'!J$5))</f>
        <v>1.4589697145407103E-2</v>
      </c>
      <c r="K27" s="554">
        <f>((+'q31'!K12)/(+'q31'!K$5))</f>
        <v>1.6623774522697764E-2</v>
      </c>
      <c r="L27" s="554">
        <f>((+'q31'!L12)/(+'q31'!L$5))</f>
        <v>1.9549359701734478E-2</v>
      </c>
      <c r="M27" s="537">
        <f t="shared" si="1"/>
        <v>0.82592905088019852</v>
      </c>
    </row>
    <row r="28" spans="1:33">
      <c r="A28" s="501" t="s">
        <v>180</v>
      </c>
      <c r="B28" s="554">
        <f>((+'q31'!$B$13)/(+'q31'!$B$5))</f>
        <v>9.0509920333708711E-3</v>
      </c>
      <c r="C28" s="554">
        <f>((+'q31'!C13)/(+'q31'!C$5))</f>
        <v>8.8626966556673813E-3</v>
      </c>
      <c r="D28" s="554">
        <f>((+'q31'!D13)/(+'q31'!D$5))</f>
        <v>8.8472330549823185E-3</v>
      </c>
      <c r="E28" s="554">
        <f>((+'q31'!E13)/(+'q31'!E$5))</f>
        <v>8.8821365012888634E-3</v>
      </c>
      <c r="F28" s="554">
        <f>((+'q31'!F13)/(+'q31'!F$5))</f>
        <v>9.0410484708080847E-3</v>
      </c>
      <c r="G28" s="554">
        <f>((+'q31'!G13)/(+'q31'!G$5))</f>
        <v>9.497385793097007E-3</v>
      </c>
      <c r="H28" s="554">
        <f>((+'q31'!H13)/(+'q31'!H$5))</f>
        <v>9.8669593262856112E-3</v>
      </c>
      <c r="I28" s="554">
        <f>((+'q31'!I13)/(+'q31'!I$5))</f>
        <v>1.0197687926443938E-2</v>
      </c>
      <c r="J28" s="554">
        <f>((+'q31'!J13)/(+'q31'!J$5))</f>
        <v>1.1025205012828354E-2</v>
      </c>
      <c r="K28" s="554">
        <f>((+'q31'!K13)/(+'q31'!K$5))</f>
        <v>1.3017046733849161E-2</v>
      </c>
      <c r="L28" s="554">
        <f>((+'q31'!L13)/(+'q31'!L$5))</f>
        <v>1.5348922029502351E-2</v>
      </c>
      <c r="M28" s="537">
        <f t="shared" si="1"/>
        <v>0.62979299961314805</v>
      </c>
    </row>
    <row r="29" spans="1:33">
      <c r="A29" s="501" t="s">
        <v>12</v>
      </c>
      <c r="B29" s="553">
        <f>+'q31'!$B$5</f>
        <v>1890511</v>
      </c>
      <c r="C29" s="553">
        <f>+'q31'!$C$5</f>
        <v>1928307</v>
      </c>
      <c r="D29" s="553">
        <f>+'q31'!$D$5</f>
        <v>1991131</v>
      </c>
      <c r="E29" s="553">
        <f>+'q31'!$E$5</f>
        <v>2054911</v>
      </c>
      <c r="F29" s="553">
        <f>+'q31'!$F$5</f>
        <v>2131943</v>
      </c>
      <c r="G29" s="553">
        <f>+'q31'!$G$5</f>
        <v>2205449</v>
      </c>
      <c r="H29" s="553">
        <f>+'q31'!$H$5</f>
        <v>2232400</v>
      </c>
      <c r="I29" s="553">
        <f>+'q31'!$I$5</f>
        <v>2164118</v>
      </c>
      <c r="J29" s="553">
        <f>+'q31'!$J$5</f>
        <v>2200594</v>
      </c>
      <c r="K29" s="553">
        <f>+'q31'!$K$5</f>
        <v>2376115</v>
      </c>
      <c r="L29" s="553">
        <f>+'q31'!$L$5</f>
        <v>2467600</v>
      </c>
      <c r="R29" s="501" t="s">
        <v>523</v>
      </c>
      <c r="W29" s="501" t="s">
        <v>523</v>
      </c>
    </row>
    <row r="30" spans="1:33">
      <c r="Q30" s="501" t="s">
        <v>296</v>
      </c>
      <c r="R30" s="532">
        <f>+$L$5</f>
        <v>2023</v>
      </c>
      <c r="V30" s="501" t="s">
        <v>297</v>
      </c>
      <c r="W30" s="532">
        <f>+$L$20</f>
        <v>2023</v>
      </c>
    </row>
    <row r="31" spans="1:33">
      <c r="R31" s="532" t="s">
        <v>524</v>
      </c>
      <c r="W31" s="532" t="s">
        <v>528</v>
      </c>
    </row>
    <row r="32" spans="1:33" ht="12.75">
      <c r="H32" s="533" t="s">
        <v>526</v>
      </c>
      <c r="I32" s="533"/>
      <c r="J32" s="533"/>
      <c r="K32" s="533"/>
      <c r="L32" s="626"/>
      <c r="M32" s="533"/>
      <c r="N32" s="533"/>
      <c r="R32" s="532" t="s">
        <v>761</v>
      </c>
      <c r="W32" s="532" t="s">
        <v>759</v>
      </c>
      <c r="AA32" s="603" t="s">
        <v>529</v>
      </c>
    </row>
    <row r="33" spans="2:33">
      <c r="R33" s="532" t="str">
        <f>+TEXT(N8,"##.###,0%")</f>
        <v>59,5%</v>
      </c>
      <c r="W33" s="532" t="str">
        <f>+TEXT(N23,"##.###,0%")</f>
        <v>38,9%</v>
      </c>
      <c r="AA33" s="775" t="str">
        <f>W30&amp;" - "&amp;W31&amp;" "&amp;W32&amp;W33&amp;" ("&amp;W34&amp;" "&amp;W35&amp;" "&amp;W36&amp;"):"&amp;CHAR(10)&amp;W37&amp;W38&amp;" ("&amp;Y38&amp;" "&amp;W35&amp;" "&amp;W36&amp;")"&amp;CHAR(10)&amp;W39&amp;W40&amp;" ("&amp;Y40&amp;" "&amp;W35&amp;" "&amp;W36&amp;")."</f>
        <v>2023 - Proporção de TCO com remuneração Ganho: Igual à RMMG e &lt; 1.000 €:  38,9% (-27,3 p.p. face a 2013):
Igual à RMMG: 4,1% (+0,1 p.p. face a 2013)
Entre RMMG e &lt; 1.000 €: 34,8% (-27,4 p.p. face a 2013).</v>
      </c>
      <c r="AB33" s="775"/>
      <c r="AC33" s="775"/>
      <c r="AD33" s="775"/>
      <c r="AE33" s="775"/>
      <c r="AF33" s="775"/>
      <c r="AG33" s="775"/>
    </row>
    <row r="34" spans="2:33">
      <c r="R34" s="532" t="str">
        <f>IF(P8&gt;0,"+"&amp;TEXT(P8,"##.###,0 p.p."),TEXT(P8,"##.###,0 p.p."))</f>
        <v>-15,0 p.p.</v>
      </c>
      <c r="W34" s="532" t="str">
        <f>IF(P23&gt;0,"+"&amp;TEXT(P23,"##.###,0 p.p."),TEXT(P23,"##.###,0 p.p."))</f>
        <v>-27,3 p.p.</v>
      </c>
      <c r="AA34" s="775"/>
      <c r="AB34" s="775"/>
      <c r="AC34" s="775"/>
      <c r="AD34" s="775"/>
      <c r="AE34" s="775"/>
      <c r="AF34" s="775"/>
      <c r="AG34" s="775"/>
    </row>
    <row r="35" spans="2:33">
      <c r="R35" s="532" t="s">
        <v>525</v>
      </c>
      <c r="W35" s="532" t="s">
        <v>525</v>
      </c>
      <c r="AA35" s="775"/>
      <c r="AB35" s="775"/>
      <c r="AC35" s="775"/>
      <c r="AD35" s="775"/>
      <c r="AE35" s="775"/>
      <c r="AF35" s="775"/>
      <c r="AG35" s="775"/>
    </row>
    <row r="36" spans="2:33">
      <c r="R36" s="532">
        <f>+$B$5</f>
        <v>2013</v>
      </c>
      <c r="W36" s="532">
        <f>+$B$20</f>
        <v>2013</v>
      </c>
      <c r="AA36" s="775"/>
      <c r="AB36" s="775"/>
      <c r="AC36" s="775"/>
      <c r="AD36" s="775"/>
      <c r="AE36" s="775"/>
      <c r="AF36" s="775"/>
      <c r="AG36" s="775"/>
    </row>
    <row r="37" spans="2:33" ht="12.75">
      <c r="H37" s="603" t="s">
        <v>527</v>
      </c>
      <c r="J37" s="537"/>
      <c r="R37" s="532" t="s">
        <v>545</v>
      </c>
      <c r="W37" s="532" t="s">
        <v>545</v>
      </c>
    </row>
    <row r="38" spans="2:33">
      <c r="H38" s="775" t="str">
        <f>R30&amp;" - "&amp;R31&amp;" "&amp;R32&amp;R33&amp;" ("&amp;R34&amp;" "&amp;R35&amp;" "&amp;R36&amp;"):"&amp;CHAR(10)&amp;R37&amp;R38&amp;" ("&amp;T38&amp;" "&amp;R35&amp;" "&amp;R36&amp;")"&amp;CHAR(10)&amp;R39&amp;R40&amp;" ("&amp;T40&amp;" "&amp;R35&amp;" "&amp;R36&amp;")."</f>
        <v>2023 - Proporção de TCO com remuneração Base: Igual à RMMG e &lt; 1.000 €: 59,5% (-15,0 p.p. face a 2013):
Igual à RMMG: 20,6% (+6,5 p.p. face a 2013)
Entre RMMG e &lt; 1.000 €: 38,8% (-21,5 p.p. face a 2013).</v>
      </c>
      <c r="I38" s="775"/>
      <c r="J38" s="775"/>
      <c r="K38" s="775"/>
      <c r="L38" s="775"/>
      <c r="M38" s="775"/>
      <c r="N38" s="775"/>
      <c r="R38" s="621" t="str">
        <f>TEXT(L7,"##.###,0%")</f>
        <v>20,6%</v>
      </c>
      <c r="T38" s="532" t="str">
        <f>+IF(N7&gt;0,"+"&amp;TEXT(N7,"##.###,0 p.p."),TEXT(N7,"##.###,0 p.p."))</f>
        <v>+6,5 p.p.</v>
      </c>
      <c r="W38" s="621" t="str">
        <f>TEXT(L22,"##.###,0%")</f>
        <v>4,1%</v>
      </c>
      <c r="Y38" s="532" t="str">
        <f>+IF(M22&gt;0,"+"&amp;TEXT(M22,"##.##0,0 p.p."),TEXT(M22,"##.###,0 p.p."))</f>
        <v>+0,1 p.p.</v>
      </c>
    </row>
    <row r="39" spans="2:33">
      <c r="H39" s="775"/>
      <c r="I39" s="775"/>
      <c r="J39" s="775"/>
      <c r="K39" s="775"/>
      <c r="L39" s="775"/>
      <c r="M39" s="775"/>
      <c r="N39" s="775"/>
      <c r="R39" s="532" t="s">
        <v>760</v>
      </c>
      <c r="W39" s="532" t="s">
        <v>760</v>
      </c>
    </row>
    <row r="40" spans="2:33">
      <c r="H40" s="775"/>
      <c r="I40" s="775"/>
      <c r="J40" s="775"/>
      <c r="K40" s="775"/>
      <c r="L40" s="775"/>
      <c r="M40" s="775"/>
      <c r="N40" s="775"/>
      <c r="R40" s="621" t="str">
        <f>TEXT(L8,"##.###,0%")</f>
        <v>38,8%</v>
      </c>
      <c r="T40" s="532" t="str">
        <f>+IF(O7&gt;0,"+"&amp;TEXT(O7,"##.###,0 p.p."),TEXT(O7,"##.###,0 p.p."))</f>
        <v>-21,5 p.p.</v>
      </c>
      <c r="W40" s="621" t="str">
        <f>TEXT(L23,"##.###,0%")</f>
        <v>34,8%</v>
      </c>
      <c r="Y40" s="532" t="str">
        <f>+IF(M23&gt;0,"+"&amp;TEXT(M23,"##.###,0 p.p."),TEXT(M23,"##.###,0 p.p."))</f>
        <v>-27,4 p.p.</v>
      </c>
    </row>
    <row r="41" spans="2:33">
      <c r="H41" s="775"/>
      <c r="I41" s="775"/>
      <c r="J41" s="775"/>
      <c r="K41" s="775"/>
      <c r="L41" s="775"/>
      <c r="M41" s="775"/>
      <c r="N41" s="775"/>
    </row>
    <row r="43" spans="2:33">
      <c r="H43" s="533" t="s">
        <v>546</v>
      </c>
      <c r="I43" s="533"/>
      <c r="J43" s="533"/>
      <c r="K43" s="533"/>
      <c r="L43" s="533"/>
      <c r="M43" s="533"/>
      <c r="N43" s="533"/>
    </row>
    <row r="45" spans="2:33">
      <c r="B45" s="781"/>
      <c r="C45" s="781"/>
      <c r="D45" s="781"/>
      <c r="E45" s="781"/>
      <c r="F45" s="781"/>
      <c r="G45" s="781"/>
      <c r="H45" s="781"/>
      <c r="I45" s="781"/>
      <c r="J45" s="781"/>
      <c r="K45" s="781"/>
      <c r="L45" s="781"/>
      <c r="M45" s="781"/>
      <c r="N45" s="781"/>
      <c r="O45" s="781"/>
      <c r="P45" s="781"/>
      <c r="Q45" s="781"/>
      <c r="R45" s="781"/>
      <c r="S45" s="781"/>
      <c r="T45" s="781"/>
      <c r="U45" s="781"/>
      <c r="V45" s="781"/>
      <c r="W45" s="781"/>
    </row>
    <row r="47" spans="2:33">
      <c r="B47" s="554"/>
      <c r="C47" s="554"/>
      <c r="D47" s="554"/>
      <c r="E47" s="554"/>
      <c r="F47" s="554"/>
      <c r="G47" s="554"/>
      <c r="H47" s="554"/>
      <c r="I47" s="554"/>
      <c r="J47" s="554"/>
      <c r="K47" s="554"/>
      <c r="L47" s="554"/>
      <c r="M47" s="554"/>
      <c r="N47" s="554"/>
      <c r="O47" s="554"/>
      <c r="P47" s="554"/>
      <c r="Q47" s="554"/>
      <c r="R47" s="554"/>
      <c r="S47" s="554"/>
      <c r="T47" s="554"/>
      <c r="U47" s="554"/>
      <c r="V47" s="554"/>
      <c r="W47" s="554"/>
    </row>
    <row r="48" spans="2:33">
      <c r="B48" s="554"/>
      <c r="C48" s="554"/>
      <c r="D48" s="554"/>
      <c r="E48" s="554"/>
      <c r="F48" s="554"/>
      <c r="G48" s="554"/>
      <c r="H48" s="554"/>
      <c r="I48" s="554"/>
      <c r="J48" s="554"/>
      <c r="K48" s="554"/>
      <c r="L48" s="554"/>
      <c r="M48" s="554"/>
      <c r="N48" s="554"/>
      <c r="O48" s="554"/>
      <c r="P48" s="554"/>
      <c r="Q48" s="554"/>
      <c r="R48" s="554"/>
      <c r="S48" s="554"/>
      <c r="T48" s="554"/>
      <c r="U48" s="554"/>
      <c r="V48" s="554"/>
      <c r="W48" s="554"/>
    </row>
    <row r="49" spans="2:23">
      <c r="B49" s="554"/>
      <c r="C49" s="554"/>
      <c r="D49" s="554"/>
      <c r="E49" s="554"/>
      <c r="F49" s="554"/>
      <c r="G49" s="554"/>
      <c r="H49" s="554"/>
      <c r="I49" s="554"/>
      <c r="J49" s="554"/>
      <c r="K49" s="554"/>
      <c r="L49" s="554"/>
      <c r="M49" s="554"/>
      <c r="N49" s="554"/>
      <c r="O49" s="554"/>
      <c r="P49" s="554"/>
      <c r="Q49" s="554"/>
      <c r="R49" s="554"/>
      <c r="S49" s="554"/>
      <c r="T49" s="554"/>
      <c r="U49" s="554"/>
      <c r="V49" s="554"/>
      <c r="W49" s="554"/>
    </row>
    <row r="50" spans="2:23">
      <c r="B50" s="554"/>
      <c r="C50" s="554"/>
      <c r="D50" s="554"/>
      <c r="E50" s="554"/>
      <c r="F50" s="554"/>
      <c r="G50" s="554"/>
      <c r="H50" s="554"/>
      <c r="I50" s="554"/>
      <c r="J50" s="554"/>
      <c r="K50" s="554"/>
      <c r="L50" s="554"/>
      <c r="M50" s="554"/>
      <c r="N50" s="554"/>
      <c r="O50" s="554"/>
      <c r="P50" s="554"/>
      <c r="Q50" s="554"/>
      <c r="R50" s="554"/>
      <c r="S50" s="554"/>
      <c r="T50" s="554"/>
      <c r="U50" s="554"/>
      <c r="V50" s="554"/>
      <c r="W50" s="554"/>
    </row>
    <row r="51" spans="2:23">
      <c r="B51" s="554"/>
      <c r="C51" s="554"/>
      <c r="D51" s="554"/>
      <c r="E51" s="554"/>
      <c r="F51" s="554"/>
      <c r="G51" s="554"/>
      <c r="H51" s="554"/>
      <c r="I51" s="554"/>
      <c r="J51" s="554"/>
      <c r="K51" s="554"/>
      <c r="L51" s="554"/>
      <c r="M51" s="554"/>
      <c r="N51" s="554"/>
      <c r="O51" s="554"/>
      <c r="P51" s="554"/>
      <c r="Q51" s="554"/>
      <c r="R51" s="554"/>
      <c r="S51" s="554"/>
      <c r="T51" s="554"/>
      <c r="U51" s="554"/>
      <c r="V51" s="554"/>
      <c r="W51" s="554"/>
    </row>
    <row r="52" spans="2:23">
      <c r="B52" s="554"/>
      <c r="C52" s="554"/>
      <c r="D52" s="554"/>
      <c r="E52" s="554"/>
      <c r="F52" s="554"/>
      <c r="G52" s="554"/>
      <c r="H52" s="554"/>
      <c r="I52" s="554"/>
      <c r="J52" s="554"/>
      <c r="K52" s="554"/>
      <c r="L52" s="554"/>
      <c r="M52" s="554"/>
      <c r="N52" s="554"/>
      <c r="O52" s="554"/>
      <c r="P52" s="554"/>
      <c r="Q52" s="554"/>
      <c r="R52" s="554"/>
      <c r="S52" s="554"/>
      <c r="T52" s="554"/>
      <c r="U52" s="554"/>
      <c r="V52" s="554"/>
      <c r="W52" s="554"/>
    </row>
    <row r="53" spans="2:23">
      <c r="B53" s="554"/>
      <c r="C53" s="554"/>
      <c r="D53" s="554"/>
      <c r="E53" s="554"/>
      <c r="F53" s="554"/>
      <c r="G53" s="554"/>
      <c r="H53" s="554"/>
      <c r="I53" s="554"/>
      <c r="J53" s="554"/>
      <c r="K53" s="554"/>
      <c r="L53" s="554"/>
      <c r="M53" s="554"/>
      <c r="N53" s="554"/>
      <c r="O53" s="554"/>
      <c r="P53" s="554"/>
      <c r="Q53" s="554"/>
      <c r="R53" s="554"/>
      <c r="S53" s="554"/>
      <c r="T53" s="554"/>
      <c r="U53" s="554"/>
      <c r="V53" s="554"/>
      <c r="W53" s="554"/>
    </row>
    <row r="54" spans="2:23">
      <c r="B54" s="554"/>
      <c r="C54" s="554"/>
      <c r="D54" s="554"/>
      <c r="E54" s="554"/>
      <c r="F54" s="554"/>
      <c r="G54" s="554"/>
      <c r="H54" s="554"/>
      <c r="I54" s="554"/>
      <c r="J54" s="554"/>
      <c r="K54" s="554"/>
      <c r="L54" s="554"/>
      <c r="M54" s="554"/>
      <c r="N54" s="554"/>
      <c r="O54" s="554"/>
      <c r="P54" s="554"/>
      <c r="Q54" s="554"/>
      <c r="R54" s="554"/>
      <c r="S54" s="554"/>
      <c r="T54" s="554"/>
      <c r="U54" s="554"/>
      <c r="V54" s="554"/>
      <c r="W54" s="554"/>
    </row>
    <row r="55" spans="2:23">
      <c r="B55" s="554"/>
      <c r="C55" s="554"/>
      <c r="D55" s="554"/>
      <c r="E55" s="554"/>
      <c r="F55" s="554"/>
      <c r="G55" s="554"/>
      <c r="H55" s="554"/>
      <c r="I55" s="554"/>
      <c r="J55" s="554"/>
      <c r="K55" s="554"/>
      <c r="L55" s="554"/>
      <c r="M55" s="554"/>
      <c r="N55" s="554"/>
      <c r="O55" s="554"/>
      <c r="P55" s="554"/>
      <c r="Q55" s="554"/>
      <c r="R55" s="554"/>
      <c r="S55" s="554"/>
      <c r="T55" s="554"/>
      <c r="U55" s="554"/>
      <c r="V55" s="554"/>
      <c r="W55" s="554"/>
    </row>
  </sheetData>
  <mergeCells count="13">
    <mergeCell ref="H38:N41"/>
    <mergeCell ref="AA33:AG36"/>
    <mergeCell ref="D45:E45"/>
    <mergeCell ref="B45:C45"/>
    <mergeCell ref="V45:W45"/>
    <mergeCell ref="T45:U45"/>
    <mergeCell ref="R45:S45"/>
    <mergeCell ref="P45:Q45"/>
    <mergeCell ref="N45:O45"/>
    <mergeCell ref="L45:M45"/>
    <mergeCell ref="J45:K45"/>
    <mergeCell ref="H45:I45"/>
    <mergeCell ref="F45:G45"/>
  </mergeCells>
  <pageMargins left="0.7" right="0.7" top="0.75" bottom="0.75" header="0.3" footer="0.3"/>
  <pageSetup paperSize="9"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65479-BC5B-4E0A-87F1-5B9C49C3649E}">
  <dimension ref="A2:AH84"/>
  <sheetViews>
    <sheetView showGridLines="0" zoomScale="120" zoomScaleNormal="120" workbookViewId="0">
      <selection sqref="A1:L1"/>
    </sheetView>
  </sheetViews>
  <sheetFormatPr defaultRowHeight="12.75"/>
  <cols>
    <col min="1" max="1" width="31.5703125" bestFit="1" customWidth="1"/>
    <col min="2" max="2" width="11.42578125" bestFit="1" customWidth="1"/>
    <col min="3" max="12" width="9.42578125" bestFit="1" customWidth="1"/>
  </cols>
  <sheetData>
    <row r="2" spans="1:34">
      <c r="AA2" s="456"/>
    </row>
    <row r="3" spans="1:34">
      <c r="A3" s="456" t="s">
        <v>412</v>
      </c>
    </row>
    <row r="4" spans="1:34">
      <c r="B4" s="532">
        <f>+'q20'!$B$4</f>
        <v>2013</v>
      </c>
      <c r="C4" s="532">
        <f>+'q20'!$C$4</f>
        <v>2014</v>
      </c>
      <c r="D4" s="532">
        <f>+'q20'!$D$4</f>
        <v>2015</v>
      </c>
      <c r="E4" s="532">
        <f>+'q20'!$E$4</f>
        <v>2016</v>
      </c>
      <c r="F4" s="532">
        <f>+'q20'!$F$4</f>
        <v>2017</v>
      </c>
      <c r="G4" s="532">
        <f>+'q20'!$G$4</f>
        <v>2018</v>
      </c>
      <c r="H4" s="532">
        <f>+'q20'!$H$4</f>
        <v>2019</v>
      </c>
      <c r="I4" s="532">
        <f>+'q20'!$I$4</f>
        <v>2020</v>
      </c>
      <c r="J4" s="532">
        <f>+'q20'!$J$4</f>
        <v>2021</v>
      </c>
      <c r="K4" s="532">
        <f>+'q20'!$K$4</f>
        <v>2022</v>
      </c>
      <c r="L4" s="532">
        <f>+'q20'!$L$4</f>
        <v>2023</v>
      </c>
    </row>
    <row r="5" spans="1:34">
      <c r="A5" t="s">
        <v>12</v>
      </c>
      <c r="B5" s="541">
        <f>+'q20'!$B$5</f>
        <v>2384121</v>
      </c>
      <c r="C5" s="541">
        <f>+'q20'!$C$5</f>
        <v>2458163</v>
      </c>
      <c r="D5" s="541">
        <f>+'q20'!$D$5</f>
        <v>2537653</v>
      </c>
      <c r="E5" s="541">
        <f>+'q20'!$E$5</f>
        <v>2641919</v>
      </c>
      <c r="F5" s="541">
        <f>+'q20'!$F$5</f>
        <v>2767521</v>
      </c>
      <c r="G5" s="541">
        <f>+'q20'!$G$5</f>
        <v>2877918</v>
      </c>
      <c r="H5" s="541">
        <f>+'q20'!$H$5</f>
        <v>2930482</v>
      </c>
      <c r="I5" s="541">
        <f>+'q20'!$I$5</f>
        <v>2902825</v>
      </c>
      <c r="J5" s="541">
        <f>+'q20'!$J$5</f>
        <v>2922343</v>
      </c>
      <c r="K5" s="541">
        <f>+'q20'!$K$5</f>
        <v>3148147</v>
      </c>
      <c r="L5" s="541">
        <f>+'q20'!$L$5</f>
        <v>3296134</v>
      </c>
      <c r="M5" s="638" t="str">
        <f>+"%"&amp;L4</f>
        <v>%2023</v>
      </c>
      <c r="N5" s="638" t="str">
        <f>+"%"&amp;B4</f>
        <v>%2013</v>
      </c>
      <c r="O5" s="457" t="str">
        <f>+L4&amp;" - "&amp;B4</f>
        <v>2023 - 2013</v>
      </c>
    </row>
    <row r="6" spans="1:34">
      <c r="A6" t="s">
        <v>203</v>
      </c>
      <c r="B6" s="541">
        <f>+'q20'!$B$6</f>
        <v>1752648</v>
      </c>
      <c r="C6" s="541">
        <f>+'q20'!$C$6</f>
        <v>1802130</v>
      </c>
      <c r="D6" s="541">
        <f>+'q20'!$D$6</f>
        <v>1855203</v>
      </c>
      <c r="E6" s="541">
        <f>+'q20'!$E$6</f>
        <v>1911498</v>
      </c>
      <c r="F6" s="541">
        <f>+'q20'!$F$6</f>
        <v>1975887</v>
      </c>
      <c r="G6" s="541">
        <f>+'q20'!$G$6</f>
        <v>2073822</v>
      </c>
      <c r="H6" s="541">
        <f>+'q20'!$H$6</f>
        <v>2078465</v>
      </c>
      <c r="I6" s="541">
        <f>+'q20'!$I$6</f>
        <v>2014412</v>
      </c>
      <c r="J6" s="541">
        <f>+'q20'!$J$6</f>
        <v>2031422</v>
      </c>
      <c r="K6" s="541">
        <f>+'q20'!$K$6</f>
        <v>2174986</v>
      </c>
      <c r="L6" s="541">
        <f>+'q20'!$L$6</f>
        <v>2283826</v>
      </c>
      <c r="M6" s="614">
        <f>+L6/$L$5</f>
        <v>0.69288020450624888</v>
      </c>
      <c r="N6" s="615">
        <f>+B6/$B$5</f>
        <v>0.73513382919742742</v>
      </c>
      <c r="O6" s="614">
        <f>+M6-N6</f>
        <v>-4.2253624691178548E-2</v>
      </c>
      <c r="P6" s="532" t="str">
        <f>+A6</f>
        <v>Contrato Coletivo de Trabalho (CCT)</v>
      </c>
      <c r="S6" s="493">
        <f>+O6*100</f>
        <v>-4.2253624691178544</v>
      </c>
      <c r="T6" t="s">
        <v>846</v>
      </c>
    </row>
    <row r="7" spans="1:34">
      <c r="A7" t="s">
        <v>204</v>
      </c>
      <c r="B7" s="541">
        <f>+'q20'!$B$7</f>
        <v>97694</v>
      </c>
      <c r="C7" s="541">
        <f>+'q20'!$C$7</f>
        <v>97038</v>
      </c>
      <c r="D7" s="541">
        <f>+'q20'!$D$7</f>
        <v>99532</v>
      </c>
      <c r="E7" s="541">
        <f>+'q20'!$E$7</f>
        <v>101183</v>
      </c>
      <c r="F7" s="541">
        <f>+'q20'!$F$7</f>
        <v>106693</v>
      </c>
      <c r="G7" s="541">
        <f>+'q20'!$G$7</f>
        <v>109690</v>
      </c>
      <c r="H7" s="541">
        <f>+'q20'!$H$7</f>
        <v>104297</v>
      </c>
      <c r="I7" s="541">
        <f>+'q20'!$I$7</f>
        <v>118636</v>
      </c>
      <c r="J7" s="541">
        <f>+'q20'!$J$7</f>
        <v>118983</v>
      </c>
      <c r="K7" s="541">
        <f>+'q20'!$K$7</f>
        <v>122759</v>
      </c>
      <c r="L7" s="541">
        <f>+'q20'!$L$7</f>
        <v>125278</v>
      </c>
      <c r="M7" s="637">
        <f t="shared" ref="M7:M10" si="0">+L7/$L$5</f>
        <v>3.8007556731613462E-2</v>
      </c>
      <c r="N7" s="615">
        <f t="shared" ref="N7:N9" si="1">+B7/$B$5</f>
        <v>4.0976947059314525E-2</v>
      </c>
      <c r="O7" s="637">
        <f t="shared" ref="O7:O10" si="2">+M7-N7</f>
        <v>-2.969390327701063E-3</v>
      </c>
      <c r="P7" s="532" t="str">
        <f t="shared" ref="P7:P10" si="3">+A7</f>
        <v>Acordo Coletivo de Trabalho (ACT)</v>
      </c>
    </row>
    <row r="8" spans="1:34">
      <c r="A8" s="456" t="s">
        <v>411</v>
      </c>
      <c r="B8" s="541">
        <f>+'q20'!$B$8</f>
        <v>194848</v>
      </c>
      <c r="C8" s="541">
        <f>+'q20'!$C$8</f>
        <v>205896</v>
      </c>
      <c r="D8" s="541">
        <f>+'q20'!$D$8</f>
        <v>212238</v>
      </c>
      <c r="E8" s="541">
        <f>+'q20'!$E$8</f>
        <v>219677</v>
      </c>
      <c r="F8" s="541">
        <f>+'q20'!$F$8</f>
        <v>226793</v>
      </c>
      <c r="G8" s="541">
        <f>+'q20'!$G$8</f>
        <v>211503</v>
      </c>
      <c r="H8" s="541">
        <f>+'q20'!$H$8</f>
        <v>219272</v>
      </c>
      <c r="I8" s="541">
        <f>+'q20'!$I$8</f>
        <v>221568</v>
      </c>
      <c r="J8" s="541">
        <f>+'q20'!$J$8</f>
        <v>214401</v>
      </c>
      <c r="K8" s="541">
        <f>+'q20'!$K$8</f>
        <v>232081</v>
      </c>
      <c r="L8" s="541">
        <f>+'q20'!$L$8</f>
        <v>241230</v>
      </c>
      <c r="M8" s="637">
        <f t="shared" si="0"/>
        <v>7.3185738201177505E-2</v>
      </c>
      <c r="N8" s="615">
        <f t="shared" si="1"/>
        <v>8.1727395547457532E-2</v>
      </c>
      <c r="O8" s="637">
        <f t="shared" si="2"/>
        <v>-8.5416573462800266E-3</v>
      </c>
      <c r="P8" s="532" t="str">
        <f t="shared" si="3"/>
        <v>Portaria de Cond. de Trabalho (PCT)</v>
      </c>
      <c r="AA8" s="456"/>
      <c r="AE8" s="640"/>
      <c r="AF8" s="640"/>
      <c r="AG8" s="640"/>
      <c r="AH8" s="640"/>
    </row>
    <row r="9" spans="1:34">
      <c r="A9" t="s">
        <v>44</v>
      </c>
      <c r="B9" s="541">
        <f>+'q20'!$B$9</f>
        <v>80074</v>
      </c>
      <c r="C9" s="541">
        <f>+'q20'!$C$9</f>
        <v>80029</v>
      </c>
      <c r="D9" s="541">
        <f>+'q20'!$D$9</f>
        <v>78163</v>
      </c>
      <c r="E9" s="541">
        <f>+'q20'!$E$9</f>
        <v>79933</v>
      </c>
      <c r="F9" s="541">
        <f>+'q20'!$F$9</f>
        <v>85752</v>
      </c>
      <c r="G9" s="541">
        <f>+'q20'!$G$9</f>
        <v>86043</v>
      </c>
      <c r="H9" s="541">
        <f>+'q20'!$H$9</f>
        <v>91984</v>
      </c>
      <c r="I9" s="541">
        <f>+'q20'!$I$9</f>
        <v>90179</v>
      </c>
      <c r="J9" s="541">
        <f>+'q20'!$J$9</f>
        <v>89882</v>
      </c>
      <c r="K9" s="541">
        <f>+'q20'!$K$9</f>
        <v>92151</v>
      </c>
      <c r="L9" s="541">
        <f>+'q20'!$L$9</f>
        <v>93763</v>
      </c>
      <c r="M9" s="637">
        <f t="shared" si="0"/>
        <v>2.8446355639667562E-2</v>
      </c>
      <c r="N9" s="615">
        <f t="shared" si="1"/>
        <v>3.3586382570347732E-2</v>
      </c>
      <c r="O9" s="637">
        <f t="shared" si="2"/>
        <v>-5.1400269306801707E-3</v>
      </c>
      <c r="P9" s="532" t="str">
        <f t="shared" si="3"/>
        <v>Acordo de Empresa (AE)</v>
      </c>
      <c r="AE9" s="640"/>
      <c r="AF9" s="640"/>
      <c r="AG9" s="640"/>
      <c r="AH9" s="640"/>
    </row>
    <row r="10" spans="1:34">
      <c r="A10" s="532" t="s">
        <v>413</v>
      </c>
      <c r="B10" s="541">
        <f>+'q20'!$B$10</f>
        <v>258857</v>
      </c>
      <c r="C10" s="541">
        <f>+'q20'!$C$10</f>
        <v>273070</v>
      </c>
      <c r="D10" s="541">
        <f>+'q20'!$D$10</f>
        <v>292517</v>
      </c>
      <c r="E10" s="541">
        <f>+'q20'!$E$10</f>
        <v>329628</v>
      </c>
      <c r="F10" s="541">
        <f>+'q20'!$F$10</f>
        <v>372396</v>
      </c>
      <c r="G10" s="541">
        <f>+'q20'!$G$10</f>
        <v>396860</v>
      </c>
      <c r="H10" s="541">
        <f>+'q20'!$H$10</f>
        <v>436464</v>
      </c>
      <c r="I10" s="541">
        <f>+'q20'!$I$10</f>
        <v>458030</v>
      </c>
      <c r="J10" s="541">
        <f>+'q20'!$J$10</f>
        <v>467655</v>
      </c>
      <c r="K10" s="541">
        <f>+'q20'!$K$10</f>
        <v>526170</v>
      </c>
      <c r="L10" s="541">
        <f>+'q20'!$L$10</f>
        <v>552037</v>
      </c>
      <c r="M10" s="614">
        <f t="shared" si="0"/>
        <v>0.16748014492129265</v>
      </c>
      <c r="N10" s="615">
        <f>+B10/$B$5</f>
        <v>0.10857544562545274</v>
      </c>
      <c r="O10" s="614">
        <f t="shared" si="2"/>
        <v>5.8904699295839913E-2</v>
      </c>
      <c r="P10" s="532" t="str">
        <f t="shared" si="3"/>
        <v>Não Abrangidos por Regulamentação Coletiva</v>
      </c>
      <c r="S10" s="493">
        <f>+O10*100</f>
        <v>5.8904699295839915</v>
      </c>
      <c r="T10" t="s">
        <v>846</v>
      </c>
      <c r="AE10" s="640"/>
      <c r="AF10" s="640"/>
      <c r="AG10" s="640"/>
      <c r="AH10" s="640"/>
    </row>
    <row r="11" spans="1:34">
      <c r="AE11" s="640"/>
      <c r="AF11" s="640"/>
      <c r="AG11" s="640"/>
      <c r="AH11" s="640"/>
    </row>
    <row r="12" spans="1:34">
      <c r="AA12" s="456"/>
      <c r="AE12" s="640"/>
      <c r="AF12" s="640"/>
      <c r="AG12" s="640"/>
      <c r="AH12" s="640"/>
    </row>
    <row r="13" spans="1:34">
      <c r="A13" s="456" t="s">
        <v>284</v>
      </c>
      <c r="N13" s="493">
        <f>+M6+M10</f>
        <v>0.86036034942754158</v>
      </c>
      <c r="AA13" s="615"/>
      <c r="AE13" s="640"/>
      <c r="AF13" s="640"/>
      <c r="AG13" s="640"/>
      <c r="AH13" s="640"/>
    </row>
    <row r="14" spans="1:34">
      <c r="B14" s="532">
        <f>+'q20'!$B$4</f>
        <v>2013</v>
      </c>
      <c r="C14" s="532">
        <f>+'q20'!$C$4</f>
        <v>2014</v>
      </c>
      <c r="D14" s="532">
        <f>+'q20'!$D$4</f>
        <v>2015</v>
      </c>
      <c r="E14" s="532">
        <f>+'q20'!$E$4</f>
        <v>2016</v>
      </c>
      <c r="F14" s="532">
        <f>+'q20'!$F$4</f>
        <v>2017</v>
      </c>
      <c r="G14" s="532">
        <f>+'q20'!$G$4</f>
        <v>2018</v>
      </c>
      <c r="H14" s="532">
        <f>+'q20'!$H$4</f>
        <v>2019</v>
      </c>
      <c r="I14" s="532">
        <f>+'q20'!$I$4</f>
        <v>2020</v>
      </c>
      <c r="J14" s="532">
        <f>+'q20'!$J$4</f>
        <v>2021</v>
      </c>
      <c r="K14" s="532">
        <f>+'q20'!$K$4</f>
        <v>2022</v>
      </c>
      <c r="L14" s="532">
        <f>+'q20'!$L$4</f>
        <v>2023</v>
      </c>
      <c r="R14" s="456"/>
      <c r="AE14" s="640"/>
      <c r="AF14" s="640"/>
      <c r="AG14" s="640"/>
      <c r="AH14" s="640"/>
    </row>
    <row r="15" spans="1:34">
      <c r="A15" t="s">
        <v>12</v>
      </c>
      <c r="B15" s="542">
        <f>+'q30'!$B$5</f>
        <v>912.18</v>
      </c>
      <c r="C15" s="542">
        <f>+'q30'!$C$5</f>
        <v>909.49</v>
      </c>
      <c r="D15" s="542">
        <f>+'q30'!$D$5</f>
        <v>913.93</v>
      </c>
      <c r="E15" s="542">
        <f>+'q30'!$E$5</f>
        <v>924.94</v>
      </c>
      <c r="F15" s="542">
        <f>+'q30'!$F$5</f>
        <v>943</v>
      </c>
      <c r="G15" s="542">
        <f>+'q30'!$G$5</f>
        <v>970.42</v>
      </c>
      <c r="H15" s="542">
        <f>+'q30'!$H$5</f>
        <v>1005.09</v>
      </c>
      <c r="I15" s="542">
        <f>+'q30'!$I$5</f>
        <v>1041.99</v>
      </c>
      <c r="J15" s="542">
        <f>+'q30'!$J$5</f>
        <v>1082.77</v>
      </c>
      <c r="K15" s="542">
        <f>+'q30'!$K$5</f>
        <v>1143.45</v>
      </c>
      <c r="L15" s="542">
        <f>+'q30'!$L$5</f>
        <v>1219.8699999999999</v>
      </c>
    </row>
    <row r="16" spans="1:34">
      <c r="A16" t="s">
        <v>203</v>
      </c>
      <c r="B16" s="542">
        <f>+'q30'!$B$6</f>
        <v>813.49</v>
      </c>
      <c r="C16" s="542">
        <f>+'q30'!$C$6</f>
        <v>814.02</v>
      </c>
      <c r="D16" s="542">
        <f>+'q30'!$D$6</f>
        <v>822.04</v>
      </c>
      <c r="E16" s="542">
        <f>+'q30'!$E$6</f>
        <v>834.1</v>
      </c>
      <c r="F16" s="542">
        <f>+'q30'!$F$6</f>
        <v>851.63</v>
      </c>
      <c r="G16" s="542">
        <f>+'q30'!$G$6</f>
        <v>878.73</v>
      </c>
      <c r="H16" s="542">
        <f>+'q30'!$H$6</f>
        <v>910.7</v>
      </c>
      <c r="I16" s="542">
        <f>+'q30'!$I$6</f>
        <v>946.93</v>
      </c>
      <c r="J16" s="542">
        <f>+'q30'!$J$6</f>
        <v>985.26</v>
      </c>
      <c r="K16" s="542">
        <f>+'q30'!$K$6</f>
        <v>1034.9100000000001</v>
      </c>
      <c r="L16" s="542">
        <f>+'q30'!$L$6</f>
        <v>1104.8399999999999</v>
      </c>
      <c r="M16" s="568">
        <f>+L16/L15*100</f>
        <v>90.570306672022426</v>
      </c>
      <c r="N16" s="569">
        <f>+L16-L15</f>
        <v>-115.02999999999997</v>
      </c>
      <c r="O16" s="493">
        <f>+(L16/B16-1)*100</f>
        <v>35.814822554671835</v>
      </c>
    </row>
    <row r="17" spans="1:27">
      <c r="A17" t="s">
        <v>204</v>
      </c>
      <c r="B17" s="542">
        <f>+'q30'!$B$7</f>
        <v>1378.62</v>
      </c>
      <c r="C17" s="542">
        <f>+'q30'!$C$7</f>
        <v>1355.5</v>
      </c>
      <c r="D17" s="542">
        <f>+'q30'!$D$7</f>
        <v>1369.22</v>
      </c>
      <c r="E17" s="542">
        <f>+'q30'!$E$7</f>
        <v>1380.34</v>
      </c>
      <c r="F17" s="542">
        <f>+'q30'!$F$7</f>
        <v>1384.89</v>
      </c>
      <c r="G17" s="542">
        <f>+'q30'!$G$7</f>
        <v>1383.1</v>
      </c>
      <c r="H17" s="542">
        <f>+'q30'!$H$7</f>
        <v>1377.83</v>
      </c>
      <c r="I17" s="542">
        <f>+'q30'!$I$7</f>
        <v>1398.04</v>
      </c>
      <c r="J17" s="542">
        <f>+'q30'!$J$7</f>
        <v>1401.27</v>
      </c>
      <c r="K17" s="542">
        <f>+'q30'!$K$7</f>
        <v>1434.7</v>
      </c>
      <c r="L17" s="542">
        <f>+'q30'!$L$7</f>
        <v>1540.55</v>
      </c>
      <c r="O17" s="493">
        <f t="shared" ref="O17:O20" si="4">+(L17/B17-1)*100</f>
        <v>11.745803774789287</v>
      </c>
      <c r="AA17" s="603"/>
    </row>
    <row r="18" spans="1:27">
      <c r="A18" s="456" t="s">
        <v>411</v>
      </c>
      <c r="B18" s="542">
        <f>+'q30'!$B$8</f>
        <v>977.85</v>
      </c>
      <c r="C18" s="542">
        <f>+'q30'!$C$8</f>
        <v>972.19</v>
      </c>
      <c r="D18" s="542">
        <f>+'q30'!$D$8</f>
        <v>967.53</v>
      </c>
      <c r="E18" s="542">
        <f>+'q30'!$E$8</f>
        <v>971.01</v>
      </c>
      <c r="F18" s="542">
        <f>+'q30'!$F$8</f>
        <v>992.05</v>
      </c>
      <c r="G18" s="542">
        <f>+'q30'!$G$8</f>
        <v>1032.1099999999999</v>
      </c>
      <c r="H18" s="542">
        <f>+'q30'!$H$8</f>
        <v>1074.6099999999999</v>
      </c>
      <c r="I18" s="542">
        <f>+'q30'!$I$8</f>
        <v>1119.8599999999999</v>
      </c>
      <c r="J18" s="542">
        <f>+'q30'!$J$8</f>
        <v>1179.75</v>
      </c>
      <c r="K18" s="542">
        <f>+'q30'!$K$8</f>
        <v>1261.6500000000001</v>
      </c>
      <c r="L18" s="542">
        <f>+'q30'!$L$8</f>
        <v>1353.7</v>
      </c>
      <c r="O18" s="493">
        <f t="shared" si="4"/>
        <v>38.436365495730442</v>
      </c>
    </row>
    <row r="19" spans="1:27">
      <c r="A19" t="s">
        <v>44</v>
      </c>
      <c r="B19" s="542">
        <f>+'q30'!$B$9</f>
        <v>1450.63</v>
      </c>
      <c r="C19" s="542">
        <f>+'q30'!$C$9</f>
        <v>1444.7</v>
      </c>
      <c r="D19" s="542">
        <f>+'q30'!$D$9</f>
        <v>1449</v>
      </c>
      <c r="E19" s="542">
        <f>+'q30'!$E$9</f>
        <v>1443.02</v>
      </c>
      <c r="F19" s="542">
        <f>+'q30'!$F$9</f>
        <v>1460.94</v>
      </c>
      <c r="G19" s="542">
        <f>+'q30'!$G$9</f>
        <v>1499.23</v>
      </c>
      <c r="H19" s="542">
        <f>+'q30'!$H$9</f>
        <v>1520.65</v>
      </c>
      <c r="I19" s="542">
        <f>+'q30'!$I$9</f>
        <v>1451.9</v>
      </c>
      <c r="J19" s="542">
        <f>+'q30'!$J$9</f>
        <v>1476.86</v>
      </c>
      <c r="K19" s="542">
        <f>+'q30'!$K$9</f>
        <v>1594.67</v>
      </c>
      <c r="L19" s="542">
        <f>+'q30'!$L$9</f>
        <v>1672.43</v>
      </c>
      <c r="O19" s="493">
        <f t="shared" si="4"/>
        <v>15.289908522504003</v>
      </c>
    </row>
    <row r="20" spans="1:27">
      <c r="A20" s="532" t="s">
        <v>413</v>
      </c>
      <c r="B20" s="542">
        <f>+'q30'!$B$10</f>
        <v>1130.8</v>
      </c>
      <c r="C20" s="542">
        <f>+'q30'!$C$10</f>
        <v>1121.4000000000001</v>
      </c>
      <c r="D20" s="542">
        <f>+'q30'!$D$10</f>
        <v>1104.3499999999999</v>
      </c>
      <c r="E20" s="542">
        <f>+'q30'!$E$10</f>
        <v>1107.47</v>
      </c>
      <c r="F20" s="542">
        <f>+'q30'!$F$10</f>
        <v>1109.81</v>
      </c>
      <c r="G20" s="542">
        <f>+'q30'!$G$10</f>
        <v>1145.6199999999999</v>
      </c>
      <c r="H20" s="542">
        <f>+'q30'!$H$10</f>
        <v>1184.1099999999999</v>
      </c>
      <c r="I20" s="542">
        <f>+'q30'!$I$10</f>
        <v>1211.97</v>
      </c>
      <c r="J20" s="542">
        <f>+'q30'!$J$10</f>
        <v>1273.56</v>
      </c>
      <c r="K20" s="542">
        <f>+'q30'!$K$10</f>
        <v>1356.61</v>
      </c>
      <c r="L20" s="542">
        <f>+'q30'!$L$10</f>
        <v>1446.74</v>
      </c>
      <c r="M20" s="568">
        <f>+L20/L15*100</f>
        <v>118.59788338101602</v>
      </c>
      <c r="N20" s="569">
        <f>+L20-L15</f>
        <v>226.87000000000012</v>
      </c>
      <c r="O20" s="493">
        <f t="shared" si="4"/>
        <v>27.939511850017684</v>
      </c>
    </row>
    <row r="21" spans="1:27">
      <c r="M21" s="568">
        <f>+M20-100</f>
        <v>18.597883381016018</v>
      </c>
    </row>
    <row r="24" spans="1:27">
      <c r="A24" s="456" t="s">
        <v>285</v>
      </c>
    </row>
    <row r="25" spans="1:27">
      <c r="B25" s="532">
        <f>+'q20'!$B$4</f>
        <v>2013</v>
      </c>
      <c r="C25" s="532">
        <f>+'q20'!$C$4</f>
        <v>2014</v>
      </c>
      <c r="D25" s="532">
        <f>+'q20'!$D$4</f>
        <v>2015</v>
      </c>
      <c r="E25" s="532">
        <f>+'q20'!$E$4</f>
        <v>2016</v>
      </c>
      <c r="F25" s="532">
        <f>+'q20'!$F$4</f>
        <v>2017</v>
      </c>
      <c r="G25" s="532">
        <f>+'q20'!$G$4</f>
        <v>2018</v>
      </c>
      <c r="H25" s="532">
        <f>+'q20'!$H$4</f>
        <v>2019</v>
      </c>
      <c r="I25" s="532">
        <f>+'q20'!$I$4</f>
        <v>2020</v>
      </c>
      <c r="J25" s="532">
        <f>+'q20'!$J$4</f>
        <v>2021</v>
      </c>
      <c r="K25" s="532">
        <f>+'q20'!$K$4</f>
        <v>2022</v>
      </c>
      <c r="L25" s="532">
        <f>+'q20'!$L$4</f>
        <v>2023</v>
      </c>
    </row>
    <row r="26" spans="1:27">
      <c r="A26" t="s">
        <v>12</v>
      </c>
      <c r="B26" s="542">
        <f>+'q41'!$B$5</f>
        <v>1093.82</v>
      </c>
      <c r="C26" s="542">
        <f>+'q41'!$C$5</f>
        <v>1093.21</v>
      </c>
      <c r="D26" s="542">
        <f>+'q41'!$D$5</f>
        <v>1096.6600000000001</v>
      </c>
      <c r="E26" s="542">
        <f>+'q41'!$E$5</f>
        <v>1107.8599999999999</v>
      </c>
      <c r="F26" s="542">
        <f>+'q41'!$F$5</f>
        <v>1133.3399999999999</v>
      </c>
      <c r="G26" s="542">
        <f>+'q41'!$G$5</f>
        <v>1170.25</v>
      </c>
      <c r="H26" s="542">
        <f>+'q41'!$H$5</f>
        <v>1209.94</v>
      </c>
      <c r="I26" s="542">
        <f>+'q41'!$I$5</f>
        <v>1250.75</v>
      </c>
      <c r="J26" s="542">
        <f>+'q41'!$J$5</f>
        <v>1294.1099999999999</v>
      </c>
      <c r="K26" s="542">
        <f>+'q41'!$K$5</f>
        <v>1368</v>
      </c>
      <c r="L26" s="542">
        <f>+'q41'!$L$5</f>
        <v>1466.66</v>
      </c>
    </row>
    <row r="27" spans="1:27">
      <c r="A27" t="s">
        <v>203</v>
      </c>
      <c r="B27" s="542">
        <f>+'q41'!$B$6</f>
        <v>956.89</v>
      </c>
      <c r="C27" s="542">
        <f>+'q41'!$C$6</f>
        <v>958.21</v>
      </c>
      <c r="D27" s="542">
        <f>+'q41'!$D$6</f>
        <v>967.68</v>
      </c>
      <c r="E27" s="542">
        <f>+'q41'!$E$6</f>
        <v>981.32</v>
      </c>
      <c r="F27" s="542">
        <f>+'q41'!$F$6</f>
        <v>1003.59</v>
      </c>
      <c r="G27" s="542">
        <f>+'q41'!$G$6</f>
        <v>1039.96</v>
      </c>
      <c r="H27" s="542">
        <f>+'q41'!$H$6</f>
        <v>1077.22</v>
      </c>
      <c r="I27" s="542">
        <f>+'q41'!$I$6</f>
        <v>1117.7</v>
      </c>
      <c r="J27" s="542">
        <f>+'q41'!$J$6</f>
        <v>1159.75</v>
      </c>
      <c r="K27" s="542">
        <f>+'q41'!$K$6</f>
        <v>1221.48</v>
      </c>
      <c r="L27" s="542">
        <f>+'q41'!$L$6</f>
        <v>1310.4000000000001</v>
      </c>
      <c r="O27" s="493"/>
    </row>
    <row r="28" spans="1:27">
      <c r="A28" t="s">
        <v>204</v>
      </c>
      <c r="B28" s="542">
        <f>+'q41'!$B$7</f>
        <v>1912.25</v>
      </c>
      <c r="C28" s="542">
        <f>+'q41'!$C$7</f>
        <v>1928.43</v>
      </c>
      <c r="D28" s="542">
        <f>+'q41'!$D$7</f>
        <v>1936.67</v>
      </c>
      <c r="E28" s="542">
        <f>+'q41'!$E$7</f>
        <v>1944.81</v>
      </c>
      <c r="F28" s="542">
        <f>+'q41'!$F$7</f>
        <v>1970.67</v>
      </c>
      <c r="G28" s="542">
        <f>+'q41'!$G$7</f>
        <v>1974.69</v>
      </c>
      <c r="H28" s="542">
        <f>+'q41'!$H$7</f>
        <v>1933.53</v>
      </c>
      <c r="I28" s="542">
        <f>+'q41'!$I$7</f>
        <v>1966.25</v>
      </c>
      <c r="J28" s="542">
        <f>+'q41'!$J$7</f>
        <v>1956.61</v>
      </c>
      <c r="K28" s="542">
        <f>+'q41'!$K$7</f>
        <v>2014.6</v>
      </c>
      <c r="L28" s="542">
        <f>+'q41'!$L$7</f>
        <v>2185.2800000000002</v>
      </c>
      <c r="O28" s="493"/>
    </row>
    <row r="29" spans="1:27">
      <c r="A29" s="456" t="s">
        <v>411</v>
      </c>
      <c r="B29" s="542">
        <f>+'q41'!$B$8</f>
        <v>1115.6600000000001</v>
      </c>
      <c r="C29" s="542">
        <f>+'q41'!$C$8</f>
        <v>1112.83</v>
      </c>
      <c r="D29" s="542">
        <f>+'q41'!$D$8</f>
        <v>1108.6500000000001</v>
      </c>
      <c r="E29" s="542">
        <f>+'q41'!$E$8</f>
        <v>1109.69</v>
      </c>
      <c r="F29" s="542">
        <f>+'q41'!$F$8</f>
        <v>1137.24</v>
      </c>
      <c r="G29" s="542">
        <f>+'q41'!$G$8</f>
        <v>1189.52</v>
      </c>
      <c r="H29" s="542">
        <f>+'q41'!$H$8</f>
        <v>1243.71</v>
      </c>
      <c r="I29" s="542">
        <f>+'q41'!$I$8</f>
        <v>1290.47</v>
      </c>
      <c r="J29" s="542">
        <f>+'q41'!$J$8</f>
        <v>1355.96</v>
      </c>
      <c r="K29" s="542">
        <f>+'q41'!$K$8</f>
        <v>1448.63</v>
      </c>
      <c r="L29" s="542">
        <f>+'q41'!$L$8</f>
        <v>1565.83</v>
      </c>
      <c r="O29" s="493"/>
    </row>
    <row r="30" spans="1:27">
      <c r="A30" t="s">
        <v>44</v>
      </c>
      <c r="B30" s="542">
        <f>+'q41'!$B$9</f>
        <v>1992.38</v>
      </c>
      <c r="C30" s="542">
        <f>+'q41'!$C$9</f>
        <v>2002.28</v>
      </c>
      <c r="D30" s="542">
        <f>+'q41'!$D$9</f>
        <v>1985.41</v>
      </c>
      <c r="E30" s="542">
        <f>+'q41'!$E$9</f>
        <v>1982.63</v>
      </c>
      <c r="F30" s="542">
        <f>+'q41'!$F$9</f>
        <v>2024.68</v>
      </c>
      <c r="G30" s="542">
        <f>+'q41'!$G$9</f>
        <v>2085.6</v>
      </c>
      <c r="H30" s="542">
        <f>+'q41'!$H$9</f>
        <v>2111.4</v>
      </c>
      <c r="I30" s="542">
        <f>+'q41'!$I$9</f>
        <v>1993.24</v>
      </c>
      <c r="J30" s="542">
        <f>+'q41'!$J$9</f>
        <v>2027.84</v>
      </c>
      <c r="K30" s="542">
        <f>+'q41'!$K$9</f>
        <v>2202.54</v>
      </c>
      <c r="L30" s="542">
        <f>+'q41'!$L$9</f>
        <v>2332.16</v>
      </c>
      <c r="O30" s="493"/>
    </row>
    <row r="31" spans="1:27">
      <c r="A31" s="532" t="s">
        <v>413</v>
      </c>
      <c r="B31" s="542">
        <f>+'q41'!$B$10</f>
        <v>1327.37</v>
      </c>
      <c r="C31" s="542">
        <f>+'q41'!$C$10</f>
        <v>1313.3</v>
      </c>
      <c r="D31" s="542">
        <f>+'q41'!$D$10</f>
        <v>1292.21</v>
      </c>
      <c r="E31" s="542">
        <f>+'q41'!$E$10</f>
        <v>1292.3699999999999</v>
      </c>
      <c r="F31" s="542">
        <f>+'q41'!$F$10</f>
        <v>1303.6199999999999</v>
      </c>
      <c r="G31" s="542">
        <f>+'q41'!$G$10</f>
        <v>1350.43</v>
      </c>
      <c r="H31" s="542">
        <f>+'q41'!$H$10</f>
        <v>1400.22</v>
      </c>
      <c r="I31" s="542">
        <f>+'q41'!$I$10</f>
        <v>1426.6</v>
      </c>
      <c r="J31" s="542">
        <f>+'q41'!$J$10</f>
        <v>1489.71</v>
      </c>
      <c r="K31" s="542">
        <f>+'q41'!$K$10</f>
        <v>1584.35</v>
      </c>
      <c r="L31" s="542">
        <f>+'q41'!$L$10</f>
        <v>1696.04</v>
      </c>
      <c r="O31" s="493"/>
    </row>
    <row r="37" spans="1:29">
      <c r="A37" s="590"/>
      <c r="J37" t="s">
        <v>481</v>
      </c>
    </row>
    <row r="38" spans="1:29">
      <c r="A38" s="532"/>
    </row>
    <row r="39" spans="1:29">
      <c r="T39" s="457" t="s">
        <v>537</v>
      </c>
      <c r="U39" s="603" t="s">
        <v>539</v>
      </c>
    </row>
    <row r="41" spans="1:29">
      <c r="B41">
        <v>100</v>
      </c>
    </row>
    <row r="42" spans="1:29">
      <c r="T42" s="457" t="s">
        <v>185</v>
      </c>
    </row>
    <row r="43" spans="1:29">
      <c r="A43" s="532"/>
      <c r="B43" s="532">
        <f>+'q20'!$B$4</f>
        <v>2013</v>
      </c>
      <c r="C43" s="532">
        <f>+'q20'!$C$4</f>
        <v>2014</v>
      </c>
      <c r="D43" s="532">
        <f>+'q20'!$D$4</f>
        <v>2015</v>
      </c>
      <c r="E43" s="532">
        <f>+'q20'!$E$4</f>
        <v>2016</v>
      </c>
      <c r="F43" s="532">
        <f>+'q20'!$F$4</f>
        <v>2017</v>
      </c>
      <c r="G43" s="532">
        <f>+'q20'!$G$4</f>
        <v>2018</v>
      </c>
      <c r="H43" s="532">
        <f>+'q20'!$H$4</f>
        <v>2019</v>
      </c>
      <c r="I43" s="532">
        <f>+'q20'!$I$4</f>
        <v>2020</v>
      </c>
      <c r="J43" s="532">
        <f>+'q20'!$J$4</f>
        <v>2021</v>
      </c>
      <c r="K43" s="532">
        <f>+'q20'!$K$4</f>
        <v>2022</v>
      </c>
      <c r="L43" s="532">
        <f>+'q20'!$L$4</f>
        <v>2023</v>
      </c>
    </row>
    <row r="44" spans="1:29">
      <c r="A44" s="532" t="s">
        <v>12</v>
      </c>
      <c r="B44" s="615">
        <f>(B5/B$5)</f>
        <v>1</v>
      </c>
      <c r="C44" s="615">
        <f t="shared" ref="C44:L44" si="5">(C5/C$5)</f>
        <v>1</v>
      </c>
      <c r="D44" s="615">
        <f t="shared" si="5"/>
        <v>1</v>
      </c>
      <c r="E44" s="615">
        <f t="shared" si="5"/>
        <v>1</v>
      </c>
      <c r="F44" s="615">
        <f t="shared" si="5"/>
        <v>1</v>
      </c>
      <c r="G44" s="615">
        <f t="shared" si="5"/>
        <v>1</v>
      </c>
      <c r="H44" s="615">
        <f t="shared" si="5"/>
        <v>1</v>
      </c>
      <c r="I44" s="615">
        <f t="shared" si="5"/>
        <v>1</v>
      </c>
      <c r="J44" s="615">
        <f t="shared" si="5"/>
        <v>1</v>
      </c>
      <c r="K44" s="615">
        <f t="shared" si="5"/>
        <v>1</v>
      </c>
      <c r="L44" s="615">
        <f t="shared" si="5"/>
        <v>1</v>
      </c>
      <c r="M44" s="457" t="str">
        <f>+L43&amp;" - "&amp;B43</f>
        <v>2023 - 2013</v>
      </c>
    </row>
    <row r="45" spans="1:29">
      <c r="A45" s="532" t="s">
        <v>203</v>
      </c>
      <c r="B45" s="615">
        <f t="shared" ref="B45:L49" si="6">(B6/B$5)</f>
        <v>0.73513382919742742</v>
      </c>
      <c r="C45" s="615">
        <f t="shared" si="6"/>
        <v>0.73312062706988923</v>
      </c>
      <c r="D45" s="615">
        <f t="shared" si="6"/>
        <v>0.73107040245455146</v>
      </c>
      <c r="E45" s="615">
        <f t="shared" si="6"/>
        <v>0.72352634581151054</v>
      </c>
      <c r="F45" s="615">
        <f t="shared" si="6"/>
        <v>0.71395555806080602</v>
      </c>
      <c r="G45" s="615">
        <f t="shared" si="6"/>
        <v>0.72059801564881276</v>
      </c>
      <c r="H45" s="615">
        <f t="shared" si="6"/>
        <v>0.70925704372181775</v>
      </c>
      <c r="I45" s="615">
        <f t="shared" si="6"/>
        <v>0.69394882571288319</v>
      </c>
      <c r="J45" s="615">
        <f t="shared" si="6"/>
        <v>0.69513469158137842</v>
      </c>
      <c r="K45" s="615">
        <f t="shared" si="6"/>
        <v>0.6908781578496811</v>
      </c>
      <c r="L45" s="614">
        <f t="shared" si="6"/>
        <v>0.69288020450624888</v>
      </c>
      <c r="M45" s="614">
        <f>+L45-B45</f>
        <v>-4.2253624691178548E-2</v>
      </c>
      <c r="N45" s="532" t="str">
        <f>+A45</f>
        <v>Contrato Coletivo de Trabalho (CCT)</v>
      </c>
      <c r="O45" s="637"/>
      <c r="U45">
        <f>+L43</f>
        <v>2023</v>
      </c>
      <c r="Z45" s="782" t="str">
        <f>+U45&amp;":"&amp;CHAR(10)&amp;U46&amp;" "&amp;V47&amp;": "&amp;U47&amp;" ("&amp;V48&amp;"face a "&amp;W48&amp;");"&amp;CHAR(10)&amp;U50&amp;": "&amp;V51&amp;" ("&amp;W52&amp;" face a "&amp;W48&amp;")."</f>
        <v>2023:
TCO abrangidos por  Contrato Coletivo de Trabalho (CCT): 69,3% (-4,2 p.p.face a 2013);
TCO não abrangidos por IRCT: 16,7% (+5,9 p.p. face a 2013).</v>
      </c>
      <c r="AA45" s="782"/>
      <c r="AB45" s="782"/>
      <c r="AC45" s="782"/>
    </row>
    <row r="46" spans="1:29">
      <c r="A46" s="532" t="s">
        <v>204</v>
      </c>
      <c r="B46" s="615">
        <f t="shared" si="6"/>
        <v>4.0976947059314525E-2</v>
      </c>
      <c r="C46" s="615">
        <f t="shared" si="6"/>
        <v>3.9475819951728178E-2</v>
      </c>
      <c r="D46" s="615">
        <f t="shared" si="6"/>
        <v>3.9222068580692472E-2</v>
      </c>
      <c r="E46" s="615">
        <f t="shared" si="6"/>
        <v>3.8299054588728877E-2</v>
      </c>
      <c r="F46" s="615">
        <f t="shared" si="6"/>
        <v>3.8551830320348063E-2</v>
      </c>
      <c r="G46" s="615">
        <f t="shared" si="6"/>
        <v>3.8114359060960043E-2</v>
      </c>
      <c r="H46" s="615">
        <f t="shared" si="6"/>
        <v>3.5590390932276672E-2</v>
      </c>
      <c r="I46" s="615">
        <f t="shared" si="6"/>
        <v>4.0869153324778446E-2</v>
      </c>
      <c r="J46" s="615">
        <f t="shared" si="6"/>
        <v>4.0714933188883029E-2</v>
      </c>
      <c r="K46" s="615">
        <f t="shared" si="6"/>
        <v>3.8994049515476879E-2</v>
      </c>
      <c r="L46" s="615">
        <f t="shared" si="6"/>
        <v>3.8007556731613462E-2</v>
      </c>
      <c r="M46" s="637">
        <f t="shared" ref="M46:M49" si="7">+L46-B46</f>
        <v>-2.969390327701063E-3</v>
      </c>
      <c r="N46" s="532" t="str">
        <f>+A46</f>
        <v>Acordo Coletivo de Trabalho (ACT)</v>
      </c>
      <c r="O46" s="637"/>
      <c r="U46" s="456" t="s">
        <v>535</v>
      </c>
      <c r="Z46" s="782"/>
      <c r="AA46" s="782"/>
      <c r="AB46" s="782"/>
      <c r="AC46" s="782"/>
    </row>
    <row r="47" spans="1:29">
      <c r="A47" s="532" t="s">
        <v>411</v>
      </c>
      <c r="B47" s="615">
        <f t="shared" si="6"/>
        <v>8.1727395547457532E-2</v>
      </c>
      <c r="C47" s="615">
        <f t="shared" si="6"/>
        <v>8.3760108666512345E-2</v>
      </c>
      <c r="D47" s="615">
        <f t="shared" si="6"/>
        <v>8.3635548280241626E-2</v>
      </c>
      <c r="E47" s="615">
        <f t="shared" si="6"/>
        <v>8.3150543222559062E-2</v>
      </c>
      <c r="F47" s="615">
        <f t="shared" si="6"/>
        <v>8.1948068325407464E-2</v>
      </c>
      <c r="G47" s="615">
        <f t="shared" si="6"/>
        <v>7.3491670019785141E-2</v>
      </c>
      <c r="H47" s="615">
        <f t="shared" si="6"/>
        <v>7.4824551046551391E-2</v>
      </c>
      <c r="I47" s="615">
        <f t="shared" si="6"/>
        <v>7.6328404226916877E-2</v>
      </c>
      <c r="J47" s="615">
        <f t="shared" si="6"/>
        <v>7.336613121731432E-2</v>
      </c>
      <c r="K47" s="615">
        <f t="shared" si="6"/>
        <v>7.3719873944895209E-2</v>
      </c>
      <c r="L47" s="615">
        <f t="shared" si="6"/>
        <v>7.3185738201177505E-2</v>
      </c>
      <c r="M47" s="637">
        <f t="shared" si="7"/>
        <v>-8.5416573462800266E-3</v>
      </c>
      <c r="N47" s="532" t="str">
        <f>+A47</f>
        <v>Portaria de Cond. de Trabalho (PCT)</v>
      </c>
      <c r="O47" s="637"/>
      <c r="T47">
        <f>+LARGE($L$45:$L$49,1)</f>
        <v>0.69288020450624888</v>
      </c>
      <c r="U47" t="str">
        <f>+TEXT(LARGE($L$45:$L$49,1),"##.###,0%")</f>
        <v>69,3%</v>
      </c>
      <c r="V47" t="str">
        <f>+VLOOKUP(T47,L45:N49,3,0)</f>
        <v>Contrato Coletivo de Trabalho (CCT)</v>
      </c>
      <c r="Z47" s="782"/>
      <c r="AA47" s="782"/>
      <c r="AB47" s="782"/>
      <c r="AC47" s="782"/>
    </row>
    <row r="48" spans="1:29">
      <c r="A48" s="532" t="s">
        <v>44</v>
      </c>
      <c r="B48" s="615">
        <f t="shared" si="6"/>
        <v>3.3586382570347732E-2</v>
      </c>
      <c r="C48" s="615">
        <f t="shared" si="6"/>
        <v>3.2556425265533651E-2</v>
      </c>
      <c r="D48" s="615">
        <f t="shared" si="6"/>
        <v>3.0801295527796747E-2</v>
      </c>
      <c r="E48" s="615">
        <f t="shared" si="6"/>
        <v>3.0255658860093744E-2</v>
      </c>
      <c r="F48" s="615">
        <f t="shared" si="6"/>
        <v>3.0985130736135336E-2</v>
      </c>
      <c r="G48" s="615">
        <f t="shared" si="6"/>
        <v>2.9897655179890462E-2</v>
      </c>
      <c r="H48" s="615">
        <f t="shared" si="6"/>
        <v>3.1388693054589654E-2</v>
      </c>
      <c r="I48" s="615">
        <f t="shared" si="6"/>
        <v>3.1065944381766037E-2</v>
      </c>
      <c r="J48" s="615">
        <f t="shared" si="6"/>
        <v>3.0756827655069922E-2</v>
      </c>
      <c r="K48" s="615">
        <f t="shared" si="6"/>
        <v>2.9271504793137042E-2</v>
      </c>
      <c r="L48" s="615">
        <f t="shared" si="6"/>
        <v>2.8446355639667562E-2</v>
      </c>
      <c r="M48" s="637">
        <f t="shared" si="7"/>
        <v>-5.1400269306801707E-3</v>
      </c>
      <c r="N48" s="532" t="str">
        <f>+A48</f>
        <v>Acordo de Empresa (AE)</v>
      </c>
      <c r="O48" s="637"/>
      <c r="U48">
        <f>+VLOOKUP(V47,A45:M49,13,0)</f>
        <v>-4.2253624691178548E-2</v>
      </c>
      <c r="V48" t="str">
        <f>+IF(U49&gt;0,"+"&amp;TEXT(U49,"##.###,0 p.p."),TEXT(U49,"##.###,0 p.p."))</f>
        <v>-4,2 p.p.</v>
      </c>
      <c r="W48">
        <f>+B43</f>
        <v>2013</v>
      </c>
      <c r="Z48" s="782"/>
      <c r="AA48" s="782"/>
      <c r="AB48" s="782"/>
      <c r="AC48" s="782"/>
    </row>
    <row r="49" spans="1:31">
      <c r="A49" s="532" t="s">
        <v>413</v>
      </c>
      <c r="B49" s="615">
        <f t="shared" si="6"/>
        <v>0.10857544562545274</v>
      </c>
      <c r="C49" s="615">
        <f t="shared" si="6"/>
        <v>0.11108701904633664</v>
      </c>
      <c r="D49" s="615">
        <f t="shared" si="6"/>
        <v>0.11527068515671765</v>
      </c>
      <c r="E49" s="615">
        <f t="shared" si="6"/>
        <v>0.12476839751710783</v>
      </c>
      <c r="F49" s="615">
        <f t="shared" si="6"/>
        <v>0.13455941255730308</v>
      </c>
      <c r="G49" s="615">
        <f t="shared" si="6"/>
        <v>0.13789830009055157</v>
      </c>
      <c r="H49" s="615">
        <f t="shared" si="6"/>
        <v>0.1489393212447645</v>
      </c>
      <c r="I49" s="615">
        <f t="shared" si="6"/>
        <v>0.15778767235365548</v>
      </c>
      <c r="J49" s="615">
        <f t="shared" si="6"/>
        <v>0.16002741635735435</v>
      </c>
      <c r="K49" s="615">
        <f t="shared" si="6"/>
        <v>0.16713641389680978</v>
      </c>
      <c r="L49" s="614">
        <f t="shared" si="6"/>
        <v>0.16748014492129265</v>
      </c>
      <c r="M49" s="614">
        <f t="shared" si="7"/>
        <v>5.8904699295839913E-2</v>
      </c>
      <c r="N49" s="532" t="str">
        <f>+A49</f>
        <v>Não Abrangidos por Regulamentação Coletiva</v>
      </c>
      <c r="O49" s="637"/>
      <c r="U49">
        <f>+U48*100</f>
        <v>-4.2253624691178544</v>
      </c>
      <c r="Z49" s="782"/>
      <c r="AA49" s="782"/>
      <c r="AB49" s="782"/>
      <c r="AC49" s="782"/>
    </row>
    <row r="50" spans="1:31">
      <c r="U50" s="456" t="s">
        <v>536</v>
      </c>
      <c r="Z50" s="782"/>
      <c r="AA50" s="782"/>
      <c r="AB50" s="782"/>
      <c r="AC50" s="782"/>
    </row>
    <row r="51" spans="1:31">
      <c r="A51" s="532" t="s">
        <v>473</v>
      </c>
      <c r="B51" s="639">
        <f>+B44-B49</f>
        <v>0.89142455437454726</v>
      </c>
      <c r="C51" s="639">
        <f t="shared" ref="C51:L51" si="8">+C44-C49</f>
        <v>0.88891298095366333</v>
      </c>
      <c r="D51" s="639">
        <f t="shared" si="8"/>
        <v>0.88472931484328232</v>
      </c>
      <c r="E51" s="639">
        <f t="shared" si="8"/>
        <v>0.87523160248289211</v>
      </c>
      <c r="F51" s="639">
        <f t="shared" si="8"/>
        <v>0.86544058744269692</v>
      </c>
      <c r="G51" s="639">
        <f t="shared" si="8"/>
        <v>0.8621016999094484</v>
      </c>
      <c r="H51" s="639">
        <f t="shared" si="8"/>
        <v>0.8510606787552355</v>
      </c>
      <c r="I51" s="639">
        <f t="shared" si="8"/>
        <v>0.84221232764634446</v>
      </c>
      <c r="J51" s="639">
        <f t="shared" si="8"/>
        <v>0.83997258364264571</v>
      </c>
      <c r="K51" s="639">
        <f t="shared" si="8"/>
        <v>0.83286358610319022</v>
      </c>
      <c r="L51" s="639">
        <f t="shared" si="8"/>
        <v>0.8325198550787074</v>
      </c>
      <c r="U51" s="615">
        <f>+L49</f>
        <v>0.16748014492129265</v>
      </c>
      <c r="V51" t="str">
        <f>+TEXT(U51,"##.###,0%")</f>
        <v>16,7%</v>
      </c>
      <c r="Z51" s="782"/>
      <c r="AA51" s="782"/>
      <c r="AB51" s="782"/>
      <c r="AC51" s="782"/>
    </row>
    <row r="52" spans="1:31">
      <c r="V52">
        <f>+VLOOKUP(U51,L45:M49,2,0)</f>
        <v>5.8904699295839913E-2</v>
      </c>
      <c r="W52" t="str">
        <f>+IF(V53&gt;0,"+"&amp;TEXT(V53,"##.###,0 p.p."),TEXT(V53,"##.###,0 p.p."))</f>
        <v>+5,9 p.p.</v>
      </c>
    </row>
    <row r="53" spans="1:31">
      <c r="A53" s="456" t="s">
        <v>284</v>
      </c>
      <c r="B53">
        <v>100</v>
      </c>
      <c r="V53">
        <f>+V52*100</f>
        <v>5.8904699295839915</v>
      </c>
    </row>
    <row r="54" spans="1:31">
      <c r="B54" s="532">
        <f>+'q20'!$B$4</f>
        <v>2013</v>
      </c>
      <c r="C54" s="532">
        <f>+'q20'!$C$4</f>
        <v>2014</v>
      </c>
      <c r="D54" s="532">
        <f>+'q20'!$D$4</f>
        <v>2015</v>
      </c>
      <c r="E54" s="532">
        <f>+'q20'!$E$4</f>
        <v>2016</v>
      </c>
      <c r="F54" s="532">
        <f>+'q20'!$F$4</f>
        <v>2017</v>
      </c>
      <c r="G54" s="532">
        <f>+'q20'!$G$4</f>
        <v>2018</v>
      </c>
      <c r="H54" s="532">
        <f>+'q20'!$H$4</f>
        <v>2019</v>
      </c>
      <c r="I54" s="532">
        <f>+'q20'!$I$4</f>
        <v>2020</v>
      </c>
      <c r="J54" s="532">
        <f>+'q20'!$J$4</f>
        <v>2021</v>
      </c>
      <c r="K54" s="532">
        <f>+'q20'!$K$4</f>
        <v>2022</v>
      </c>
      <c r="L54" s="532">
        <f>+'q20'!$L$4</f>
        <v>2023</v>
      </c>
    </row>
    <row r="55" spans="1:31">
      <c r="A55" t="s">
        <v>12</v>
      </c>
      <c r="B55" s="615">
        <f>(B15/B$15)</f>
        <v>1</v>
      </c>
      <c r="C55" s="615">
        <f t="shared" ref="C55:L55" si="9">(C15/C$15)</f>
        <v>1</v>
      </c>
      <c r="D55" s="615">
        <f t="shared" si="9"/>
        <v>1</v>
      </c>
      <c r="E55" s="615">
        <f t="shared" si="9"/>
        <v>1</v>
      </c>
      <c r="F55" s="615">
        <f t="shared" si="9"/>
        <v>1</v>
      </c>
      <c r="G55" s="615">
        <f t="shared" si="9"/>
        <v>1</v>
      </c>
      <c r="H55" s="615">
        <f t="shared" si="9"/>
        <v>1</v>
      </c>
      <c r="I55" s="615">
        <f t="shared" si="9"/>
        <v>1</v>
      </c>
      <c r="J55" s="615">
        <f t="shared" si="9"/>
        <v>1</v>
      </c>
      <c r="K55" s="615">
        <f t="shared" si="9"/>
        <v>1</v>
      </c>
      <c r="L55" s="615">
        <f t="shared" si="9"/>
        <v>1</v>
      </c>
      <c r="M55" s="457" t="str">
        <f>+L54&amp;" - "&amp;B54</f>
        <v>2023 - 2013</v>
      </c>
    </row>
    <row r="56" spans="1:31">
      <c r="A56" t="s">
        <v>203</v>
      </c>
      <c r="B56" s="615">
        <f t="shared" ref="B56:L60" si="10">(B16/B$15)</f>
        <v>0.89180863426078194</v>
      </c>
      <c r="C56" s="615">
        <f t="shared" si="10"/>
        <v>0.89502908223289968</v>
      </c>
      <c r="D56" s="615">
        <f t="shared" si="10"/>
        <v>0.89945619467574101</v>
      </c>
      <c r="E56" s="615">
        <f t="shared" si="10"/>
        <v>0.90178822410102277</v>
      </c>
      <c r="F56" s="615">
        <f t="shared" si="10"/>
        <v>0.9031071049840933</v>
      </c>
      <c r="G56" s="615">
        <f t="shared" si="10"/>
        <v>0.90551513777539627</v>
      </c>
      <c r="H56" s="615">
        <f t="shared" si="10"/>
        <v>0.90608801201882416</v>
      </c>
      <c r="I56" s="615">
        <f t="shared" si="10"/>
        <v>0.90877071756926642</v>
      </c>
      <c r="J56" s="615">
        <f t="shared" si="10"/>
        <v>0.90994394007961066</v>
      </c>
      <c r="K56" s="615">
        <f t="shared" si="10"/>
        <v>0.90507674144037786</v>
      </c>
      <c r="L56" s="614">
        <f t="shared" si="10"/>
        <v>0.90570306672022427</v>
      </c>
      <c r="M56" s="614">
        <f>+L56-B56</f>
        <v>1.389443245944233E-2</v>
      </c>
      <c r="N56" s="532" t="str">
        <f>+A56</f>
        <v>Contrato Coletivo de Trabalho (CCT)</v>
      </c>
    </row>
    <row r="57" spans="1:31">
      <c r="A57" t="s">
        <v>204</v>
      </c>
      <c r="B57" s="615">
        <f t="shared" si="10"/>
        <v>1.5113464447806353</v>
      </c>
      <c r="C57" s="615">
        <f t="shared" si="10"/>
        <v>1.4903957162805528</v>
      </c>
      <c r="D57" s="615">
        <f t="shared" si="10"/>
        <v>1.49816725569792</v>
      </c>
      <c r="E57" s="615">
        <f t="shared" si="10"/>
        <v>1.4923562609466559</v>
      </c>
      <c r="F57" s="615">
        <f t="shared" si="10"/>
        <v>1.4686002120890775</v>
      </c>
      <c r="G57" s="615">
        <f t="shared" si="10"/>
        <v>1.4252591661342511</v>
      </c>
      <c r="H57" s="615">
        <f t="shared" si="10"/>
        <v>1.3708523614800663</v>
      </c>
      <c r="I57" s="615">
        <f t="shared" si="10"/>
        <v>1.3417019357191526</v>
      </c>
      <c r="J57" s="615">
        <f t="shared" si="10"/>
        <v>1.2941529595389603</v>
      </c>
      <c r="K57" s="615">
        <f t="shared" si="10"/>
        <v>1.2547116183479821</v>
      </c>
      <c r="L57" s="615">
        <f t="shared" si="10"/>
        <v>1.2628804708698469</v>
      </c>
      <c r="M57" s="637">
        <f t="shared" ref="M57:M60" si="11">+L57-B57</f>
        <v>-0.2484659739107884</v>
      </c>
      <c r="N57" s="532" t="str">
        <f>+A57</f>
        <v>Acordo Coletivo de Trabalho (ACT)</v>
      </c>
    </row>
    <row r="58" spans="1:31">
      <c r="A58" s="456" t="s">
        <v>411</v>
      </c>
      <c r="B58" s="615">
        <f t="shared" si="10"/>
        <v>1.0719923699269882</v>
      </c>
      <c r="C58" s="615">
        <f t="shared" si="10"/>
        <v>1.0689397354561347</v>
      </c>
      <c r="D58" s="615">
        <f t="shared" si="10"/>
        <v>1.058647817666561</v>
      </c>
      <c r="E58" s="615">
        <f t="shared" si="10"/>
        <v>1.0498086362358638</v>
      </c>
      <c r="F58" s="615">
        <f t="shared" si="10"/>
        <v>1.0520148462354189</v>
      </c>
      <c r="G58" s="615">
        <f t="shared" si="10"/>
        <v>1.0635704128109478</v>
      </c>
      <c r="H58" s="615">
        <f t="shared" si="10"/>
        <v>1.069167935209782</v>
      </c>
      <c r="I58" s="615">
        <f t="shared" si="10"/>
        <v>1.0747320031862109</v>
      </c>
      <c r="J58" s="615">
        <f t="shared" si="10"/>
        <v>1.0895665746188017</v>
      </c>
      <c r="K58" s="615">
        <f t="shared" si="10"/>
        <v>1.1033713760986488</v>
      </c>
      <c r="L58" s="615">
        <f t="shared" si="10"/>
        <v>1.1097084115520508</v>
      </c>
      <c r="M58" s="637">
        <f t="shared" si="11"/>
        <v>3.7716041625062591E-2</v>
      </c>
      <c r="N58" s="532" t="str">
        <f>+A58</f>
        <v>Portaria de Cond. de Trabalho (PCT)</v>
      </c>
      <c r="T58" s="457" t="s">
        <v>302</v>
      </c>
    </row>
    <row r="59" spans="1:31">
      <c r="A59" t="s">
        <v>44</v>
      </c>
      <c r="B59" s="615">
        <f t="shared" si="10"/>
        <v>1.5902891973075493</v>
      </c>
      <c r="C59" s="615">
        <f t="shared" si="10"/>
        <v>1.5884726605020396</v>
      </c>
      <c r="D59" s="615">
        <f t="shared" si="10"/>
        <v>1.585460593262066</v>
      </c>
      <c r="E59" s="615">
        <f t="shared" si="10"/>
        <v>1.5601228187774341</v>
      </c>
      <c r="F59" s="615">
        <f t="shared" si="10"/>
        <v>1.5492470837751857</v>
      </c>
      <c r="G59" s="615">
        <f t="shared" si="10"/>
        <v>1.5449289998145135</v>
      </c>
      <c r="H59" s="615">
        <f t="shared" si="10"/>
        <v>1.5129490891362962</v>
      </c>
      <c r="I59" s="615">
        <f t="shared" si="10"/>
        <v>1.3933914912811065</v>
      </c>
      <c r="J59" s="615">
        <f t="shared" si="10"/>
        <v>1.363964646231425</v>
      </c>
      <c r="K59" s="615">
        <f t="shared" si="10"/>
        <v>1.3946127946127946</v>
      </c>
      <c r="L59" s="615">
        <f t="shared" si="10"/>
        <v>1.3709903514308903</v>
      </c>
      <c r="M59" s="637">
        <f t="shared" si="11"/>
        <v>-0.21929884587665893</v>
      </c>
      <c r="N59" s="532" t="str">
        <f>+A59</f>
        <v>Acordo de Empresa (AE)</v>
      </c>
    </row>
    <row r="60" spans="1:31">
      <c r="A60" s="532" t="s">
        <v>413</v>
      </c>
      <c r="B60" s="615">
        <f t="shared" si="10"/>
        <v>1.2396676094630446</v>
      </c>
      <c r="C60" s="615">
        <f t="shared" si="10"/>
        <v>1.2329987135647451</v>
      </c>
      <c r="D60" s="615">
        <f t="shared" si="10"/>
        <v>1.208352937314674</v>
      </c>
      <c r="E60" s="615">
        <f t="shared" si="10"/>
        <v>1.1973425303262915</v>
      </c>
      <c r="F60" s="615">
        <f t="shared" si="10"/>
        <v>1.1768928950159065</v>
      </c>
      <c r="G60" s="615">
        <f t="shared" si="10"/>
        <v>1.1805403845757507</v>
      </c>
      <c r="H60" s="615">
        <f t="shared" si="10"/>
        <v>1.1781134027798503</v>
      </c>
      <c r="I60" s="615">
        <f t="shared" si="10"/>
        <v>1.1631301643969711</v>
      </c>
      <c r="J60" s="615">
        <f t="shared" si="10"/>
        <v>1.1762054729998059</v>
      </c>
      <c r="K60" s="615">
        <f t="shared" si="10"/>
        <v>1.1864182955092044</v>
      </c>
      <c r="L60" s="614">
        <f t="shared" si="10"/>
        <v>1.1859788338101602</v>
      </c>
      <c r="M60" s="614">
        <f t="shared" si="11"/>
        <v>-5.3688775652884324E-2</v>
      </c>
      <c r="N60" s="532" t="str">
        <f>+A60</f>
        <v>Não Abrangidos por Regulamentação Coletiva</v>
      </c>
      <c r="U60">
        <f>+L54</f>
        <v>2023</v>
      </c>
      <c r="V60" s="456" t="s">
        <v>538</v>
      </c>
    </row>
    <row r="61" spans="1:31">
      <c r="B61" s="615">
        <f t="shared" ref="B61:L61" si="12">(+(B20/B15-1)*100)/100</f>
        <v>0.23966760946304455</v>
      </c>
      <c r="C61" s="615">
        <f t="shared" si="12"/>
        <v>0.23299871356474511</v>
      </c>
      <c r="D61" s="615">
        <f t="shared" si="12"/>
        <v>0.20835293731467394</v>
      </c>
      <c r="E61" s="615">
        <f t="shared" si="12"/>
        <v>0.19734253032629145</v>
      </c>
      <c r="F61" s="615">
        <f t="shared" si="12"/>
        <v>0.17689289501590655</v>
      </c>
      <c r="G61" s="615">
        <f t="shared" si="12"/>
        <v>0.18054038457575072</v>
      </c>
      <c r="H61" s="615">
        <f t="shared" si="12"/>
        <v>0.17811340277985033</v>
      </c>
      <c r="I61" s="615">
        <f t="shared" si="12"/>
        <v>0.16313016439697114</v>
      </c>
      <c r="J61" s="615">
        <f t="shared" si="12"/>
        <v>0.17620547299980593</v>
      </c>
      <c r="K61" s="615">
        <f t="shared" si="12"/>
        <v>0.18641829550920441</v>
      </c>
      <c r="L61" s="615">
        <f t="shared" si="12"/>
        <v>0.18597883381016023</v>
      </c>
      <c r="M61" s="639">
        <f>+L61-B61</f>
        <v>-5.3688775652884324E-2</v>
      </c>
      <c r="U61" s="456" t="s">
        <v>535</v>
      </c>
    </row>
    <row r="62" spans="1:31">
      <c r="V62" t="str">
        <f>+V47</f>
        <v>Contrato Coletivo de Trabalho (CCT)</v>
      </c>
    </row>
    <row r="63" spans="1:31">
      <c r="U63">
        <f>+VLOOKUP(V62,A56:L60,12,0)</f>
        <v>0.90570306672022427</v>
      </c>
      <c r="V63" t="str">
        <f>+TEXT(U63,"##.###,0%")</f>
        <v>90,6%</v>
      </c>
      <c r="Z63" s="783" t="str">
        <f>+U60&amp;" - "&amp;V60&amp;CHAR(10)&amp;U61&amp;" "&amp;V62&amp;": "&amp;V63&amp;" da remuneração média total;"&amp;CHAR(10)&amp;U65&amp;": "&amp;W67&amp;" "&amp;W68&amp;" à remuneração média total."</f>
        <v>2023 - Remuneração média mensal Base:
TCO abrangidos por  Contrato Coletivo de Trabalho (CCT): 90,6% da remuneração média total;
TCO não abrangidos por IRCT: 18,6% superior à remuneração média total.</v>
      </c>
      <c r="AA63" s="783"/>
      <c r="AB63" s="783"/>
      <c r="AC63" s="783"/>
      <c r="AD63" s="783"/>
      <c r="AE63" s="783"/>
    </row>
    <row r="64" spans="1:31">
      <c r="A64" s="456" t="s">
        <v>285</v>
      </c>
      <c r="Z64" s="783"/>
      <c r="AA64" s="783"/>
      <c r="AB64" s="783"/>
      <c r="AC64" s="783"/>
      <c r="AD64" s="783"/>
      <c r="AE64" s="783"/>
    </row>
    <row r="65" spans="1:31">
      <c r="B65" s="532">
        <f>+'q20'!$B$4</f>
        <v>2013</v>
      </c>
      <c r="C65" s="532">
        <f>+'q20'!$C$4</f>
        <v>2014</v>
      </c>
      <c r="D65" s="532">
        <f>+'q20'!$D$4</f>
        <v>2015</v>
      </c>
      <c r="E65" s="532">
        <f>+'q20'!$E$4</f>
        <v>2016</v>
      </c>
      <c r="F65" s="532">
        <f>+'q20'!$F$4</f>
        <v>2017</v>
      </c>
      <c r="G65" s="532">
        <f>+'q20'!$G$4</f>
        <v>2018</v>
      </c>
      <c r="H65" s="532">
        <f>+'q20'!$H$4</f>
        <v>2019</v>
      </c>
      <c r="I65" s="532">
        <f>+'q20'!$I$4</f>
        <v>2020</v>
      </c>
      <c r="J65" s="532">
        <f>+'q20'!$J$4</f>
        <v>2021</v>
      </c>
      <c r="K65" s="532">
        <f>+'q20'!$K$4</f>
        <v>2022</v>
      </c>
      <c r="L65" s="532">
        <f>+'q20'!$L$4</f>
        <v>2023</v>
      </c>
      <c r="U65" s="456" t="s">
        <v>536</v>
      </c>
      <c r="Z65" s="783"/>
      <c r="AA65" s="783"/>
      <c r="AB65" s="783"/>
      <c r="AC65" s="783"/>
      <c r="AD65" s="783"/>
      <c r="AE65" s="783"/>
    </row>
    <row r="66" spans="1:31">
      <c r="A66" t="s">
        <v>12</v>
      </c>
      <c r="B66" s="619">
        <f>B26/B$26</f>
        <v>1</v>
      </c>
      <c r="C66" s="619">
        <f t="shared" ref="C66:L66" si="13">C26/C$26</f>
        <v>1</v>
      </c>
      <c r="D66" s="619">
        <f t="shared" si="13"/>
        <v>1</v>
      </c>
      <c r="E66" s="619">
        <f t="shared" si="13"/>
        <v>1</v>
      </c>
      <c r="F66" s="619">
        <f t="shared" si="13"/>
        <v>1</v>
      </c>
      <c r="G66" s="619">
        <f t="shared" si="13"/>
        <v>1</v>
      </c>
      <c r="H66" s="619">
        <f t="shared" si="13"/>
        <v>1</v>
      </c>
      <c r="I66" s="619">
        <f t="shared" si="13"/>
        <v>1</v>
      </c>
      <c r="J66" s="619">
        <f t="shared" si="13"/>
        <v>1</v>
      </c>
      <c r="K66" s="619">
        <f t="shared" si="13"/>
        <v>1</v>
      </c>
      <c r="L66" s="619">
        <f t="shared" si="13"/>
        <v>1</v>
      </c>
      <c r="M66" s="457" t="str">
        <f>+L65&amp;" - "&amp;B65</f>
        <v>2023 - 2013</v>
      </c>
      <c r="U66" s="615">
        <f>+L60</f>
        <v>1.1859788338101602</v>
      </c>
      <c r="V66" t="str">
        <f>+TEXT(U66,"##.###,0%")</f>
        <v>118,6%</v>
      </c>
      <c r="Z66" s="783"/>
      <c r="AA66" s="783"/>
      <c r="AB66" s="783"/>
      <c r="AC66" s="783"/>
      <c r="AD66" s="783"/>
      <c r="AE66" s="783"/>
    </row>
    <row r="67" spans="1:31">
      <c r="A67" t="s">
        <v>203</v>
      </c>
      <c r="B67" s="619">
        <f t="shared" ref="B67:L67" si="14">B27/B$26</f>
        <v>0.87481486899124172</v>
      </c>
      <c r="C67" s="619">
        <f t="shared" si="14"/>
        <v>0.87651046002140487</v>
      </c>
      <c r="D67" s="619">
        <f t="shared" si="14"/>
        <v>0.8823883427862782</v>
      </c>
      <c r="E67" s="619">
        <f t="shared" si="14"/>
        <v>0.88577979167042775</v>
      </c>
      <c r="F67" s="619">
        <f t="shared" si="14"/>
        <v>0.8855153793212982</v>
      </c>
      <c r="G67" s="619">
        <f t="shared" si="14"/>
        <v>0.88866481521042517</v>
      </c>
      <c r="H67" s="619">
        <f t="shared" si="14"/>
        <v>0.89030861034431452</v>
      </c>
      <c r="I67" s="619">
        <f t="shared" si="14"/>
        <v>0.89362382570457732</v>
      </c>
      <c r="J67" s="619">
        <f t="shared" si="14"/>
        <v>0.89617575012943262</v>
      </c>
      <c r="K67" s="619">
        <f t="shared" si="14"/>
        <v>0.8928947368421053</v>
      </c>
      <c r="L67" s="619">
        <f t="shared" si="14"/>
        <v>0.89345860663003018</v>
      </c>
      <c r="M67" s="614">
        <f>+L67-B67</f>
        <v>1.864373763878846E-2</v>
      </c>
      <c r="N67" s="532" t="str">
        <f>+A67</f>
        <v>Contrato Coletivo de Trabalho (CCT)</v>
      </c>
      <c r="V67" s="615">
        <f>+V66-L55</f>
        <v>0.18599999999999994</v>
      </c>
      <c r="W67" t="str">
        <f>+TEXT(V67,"##.###,0%")</f>
        <v>18,6%</v>
      </c>
      <c r="Z67" s="783"/>
      <c r="AA67" s="783"/>
      <c r="AB67" s="783"/>
      <c r="AC67" s="783"/>
      <c r="AD67" s="783"/>
      <c r="AE67" s="783"/>
    </row>
    <row r="68" spans="1:31">
      <c r="A68" t="s">
        <v>204</v>
      </c>
      <c r="B68" s="619">
        <f t="shared" ref="B68:L68" si="15">B28/B$26</f>
        <v>1.7482309703607541</v>
      </c>
      <c r="C68" s="619">
        <f t="shared" si="15"/>
        <v>1.7640069154142388</v>
      </c>
      <c r="D68" s="619">
        <f t="shared" si="15"/>
        <v>1.7659712217095545</v>
      </c>
      <c r="E68" s="619">
        <f t="shared" si="15"/>
        <v>1.7554654920296791</v>
      </c>
      <c r="F68" s="619">
        <f t="shared" si="15"/>
        <v>1.7388162422573987</v>
      </c>
      <c r="G68" s="619">
        <f t="shared" si="15"/>
        <v>1.687408673360393</v>
      </c>
      <c r="H68" s="619">
        <f t="shared" si="15"/>
        <v>1.5980379192356644</v>
      </c>
      <c r="I68" s="619">
        <f t="shared" si="15"/>
        <v>1.5720567659404356</v>
      </c>
      <c r="J68" s="619">
        <f t="shared" si="15"/>
        <v>1.5119348432513464</v>
      </c>
      <c r="K68" s="619">
        <f t="shared" si="15"/>
        <v>1.4726608187134502</v>
      </c>
      <c r="L68" s="619">
        <f t="shared" si="15"/>
        <v>1.4899704089564043</v>
      </c>
      <c r="M68" s="637">
        <f t="shared" ref="M68:M71" si="16">+L68-B68</f>
        <v>-0.25826056140434983</v>
      </c>
      <c r="N68" s="532" t="str">
        <f>+A68</f>
        <v>Acordo Coletivo de Trabalho (ACT)</v>
      </c>
      <c r="W68" t="str">
        <f>+IF(V67&gt;0,"superior","inferior")</f>
        <v>superior</v>
      </c>
    </row>
    <row r="69" spans="1:31">
      <c r="A69" s="456" t="s">
        <v>411</v>
      </c>
      <c r="B69" s="619">
        <f t="shared" ref="B69:L69" si="17">B29/B$26</f>
        <v>1.0199667221297839</v>
      </c>
      <c r="C69" s="619">
        <f t="shared" si="17"/>
        <v>1.017947146476889</v>
      </c>
      <c r="D69" s="619">
        <f t="shared" si="17"/>
        <v>1.0109331971622928</v>
      </c>
      <c r="E69" s="619">
        <f t="shared" si="17"/>
        <v>1.0016518332641311</v>
      </c>
      <c r="F69" s="619">
        <f t="shared" si="17"/>
        <v>1.0034411562284928</v>
      </c>
      <c r="G69" s="619">
        <f t="shared" si="17"/>
        <v>1.016466566972869</v>
      </c>
      <c r="H69" s="619">
        <f t="shared" si="17"/>
        <v>1.0279104748995818</v>
      </c>
      <c r="I69" s="619">
        <f t="shared" si="17"/>
        <v>1.0317569458325004</v>
      </c>
      <c r="J69" s="619">
        <f t="shared" si="17"/>
        <v>1.0477934642341069</v>
      </c>
      <c r="K69" s="619">
        <f t="shared" si="17"/>
        <v>1.0589400584795323</v>
      </c>
      <c r="L69" s="619">
        <f t="shared" si="17"/>
        <v>1.0676162164373473</v>
      </c>
      <c r="M69" s="637">
        <f t="shared" si="16"/>
        <v>4.7649494307563378E-2</v>
      </c>
      <c r="N69" s="532" t="str">
        <f>+A69</f>
        <v>Portaria de Cond. de Trabalho (PCT)</v>
      </c>
    </row>
    <row r="70" spans="1:31">
      <c r="A70" t="s">
        <v>44</v>
      </c>
      <c r="B70" s="619">
        <f t="shared" ref="B70:L70" si="18">B30/B$26</f>
        <v>1.8214879961968151</v>
      </c>
      <c r="C70" s="619">
        <f t="shared" si="18"/>
        <v>1.8315602674691962</v>
      </c>
      <c r="D70" s="619">
        <f t="shared" si="18"/>
        <v>1.8104152608830448</v>
      </c>
      <c r="E70" s="619">
        <f t="shared" si="18"/>
        <v>1.7896033794883832</v>
      </c>
      <c r="F70" s="619">
        <f t="shared" si="18"/>
        <v>1.7864718442832692</v>
      </c>
      <c r="G70" s="619">
        <f t="shared" si="18"/>
        <v>1.7821832941679128</v>
      </c>
      <c r="H70" s="619">
        <f t="shared" si="18"/>
        <v>1.7450452088533315</v>
      </c>
      <c r="I70" s="619">
        <f t="shared" si="18"/>
        <v>1.5936358185088946</v>
      </c>
      <c r="J70" s="619">
        <f t="shared" si="18"/>
        <v>1.5669765321340536</v>
      </c>
      <c r="K70" s="619">
        <f t="shared" si="18"/>
        <v>1.6100438596491229</v>
      </c>
      <c r="L70" s="619">
        <f t="shared" si="18"/>
        <v>1.5901163187105394</v>
      </c>
      <c r="M70" s="637">
        <f t="shared" si="16"/>
        <v>-0.23137167748627574</v>
      </c>
      <c r="N70" s="532" t="str">
        <f>+A70</f>
        <v>Acordo de Empresa (AE)</v>
      </c>
    </row>
    <row r="71" spans="1:31">
      <c r="A71" s="532" t="s">
        <v>413</v>
      </c>
      <c r="B71" s="619">
        <f t="shared" ref="B71:L71" si="19">B31/B$26</f>
        <v>1.2135177634345686</v>
      </c>
      <c r="C71" s="619">
        <f t="shared" si="19"/>
        <v>1.2013245396584371</v>
      </c>
      <c r="D71" s="619">
        <f t="shared" si="19"/>
        <v>1.1783141538854338</v>
      </c>
      <c r="E71" s="619">
        <f t="shared" si="19"/>
        <v>1.1665463145162747</v>
      </c>
      <c r="F71" s="619">
        <f t="shared" si="19"/>
        <v>1.1502461750224999</v>
      </c>
      <c r="G71" s="619">
        <f t="shared" si="19"/>
        <v>1.1539671010467849</v>
      </c>
      <c r="H71" s="619">
        <f t="shared" si="19"/>
        <v>1.157263996561813</v>
      </c>
      <c r="I71" s="619">
        <f t="shared" si="19"/>
        <v>1.1405956426144312</v>
      </c>
      <c r="J71" s="619">
        <f t="shared" si="19"/>
        <v>1.1511463476829638</v>
      </c>
      <c r="K71" s="619">
        <f t="shared" si="19"/>
        <v>1.1581505847953215</v>
      </c>
      <c r="L71" s="619">
        <f t="shared" si="19"/>
        <v>1.1563961654371155</v>
      </c>
      <c r="M71" s="614">
        <f t="shared" si="16"/>
        <v>-5.7121597997453089E-2</v>
      </c>
      <c r="N71" s="532" t="str">
        <f>+A71</f>
        <v>Não Abrangidos por Regulamentação Coletiva</v>
      </c>
    </row>
    <row r="72" spans="1:31">
      <c r="B72" s="564">
        <f>+(B31/B26-1)*100</f>
        <v>21.351776343456862</v>
      </c>
      <c r="C72" s="564">
        <f t="shared" ref="C72:L72" si="20">+(C31/C26-1)*100</f>
        <v>20.132453965843709</v>
      </c>
      <c r="D72" s="564">
        <f t="shared" si="20"/>
        <v>17.83141538854338</v>
      </c>
      <c r="E72" s="564">
        <f t="shared" si="20"/>
        <v>16.654631451627466</v>
      </c>
      <c r="F72" s="564">
        <f t="shared" si="20"/>
        <v>15.024617502249992</v>
      </c>
      <c r="G72" s="564">
        <f t="shared" si="20"/>
        <v>15.39671010467849</v>
      </c>
      <c r="H72" s="564">
        <f t="shared" si="20"/>
        <v>15.7263996561813</v>
      </c>
      <c r="I72" s="564">
        <f t="shared" si="20"/>
        <v>14.059564261443125</v>
      </c>
      <c r="J72" s="564">
        <f t="shared" si="20"/>
        <v>15.114634768296376</v>
      </c>
      <c r="K72" s="564">
        <f t="shared" si="20"/>
        <v>15.815058479532151</v>
      </c>
      <c r="L72" s="564">
        <f t="shared" si="20"/>
        <v>15.639616543711554</v>
      </c>
      <c r="M72" s="639">
        <f>+L72-B72</f>
        <v>-5.712159799745308</v>
      </c>
    </row>
    <row r="74" spans="1:31">
      <c r="T74" s="457" t="s">
        <v>303</v>
      </c>
    </row>
    <row r="76" spans="1:31">
      <c r="U76">
        <f>+L65</f>
        <v>2023</v>
      </c>
      <c r="V76" s="456" t="s">
        <v>540</v>
      </c>
    </row>
    <row r="77" spans="1:31">
      <c r="U77" s="456" t="s">
        <v>535</v>
      </c>
    </row>
    <row r="78" spans="1:31">
      <c r="V78" t="str">
        <f>+V47</f>
        <v>Contrato Coletivo de Trabalho (CCT)</v>
      </c>
    </row>
    <row r="79" spans="1:31">
      <c r="U79">
        <f>+VLOOKUP(V78,A67:M71,12,0)</f>
        <v>0.89345860663003018</v>
      </c>
      <c r="V79" t="str">
        <f>+TEXT(U79,"##.###,0%")</f>
        <v>89,3%</v>
      </c>
    </row>
    <row r="80" spans="1:31">
      <c r="Z80" s="783" t="str">
        <f>+U76&amp;" - "&amp;V76&amp;CHAR(10)&amp;U77&amp;" "&amp;V78&amp;": "&amp;V79&amp;" da remuneração média total;"&amp;CHAR(10)&amp;U81&amp;": "&amp;W83&amp;" "&amp;W84&amp;" à remuneração média total."</f>
        <v>2023 - Remuneração média mensal Ganho:
TCO abrangidos por  Contrato Coletivo de Trabalho (CCT): 89,3% da remuneração média total;
TCO não abrangidos por IRCT: 15,6% superior à remuneração média total.</v>
      </c>
      <c r="AA80" s="783"/>
      <c r="AB80" s="783"/>
      <c r="AC80" s="783"/>
      <c r="AD80" s="783"/>
      <c r="AE80" s="783"/>
    </row>
    <row r="81" spans="21:31">
      <c r="U81" s="456" t="s">
        <v>536</v>
      </c>
      <c r="Z81" s="783"/>
      <c r="AA81" s="783"/>
      <c r="AB81" s="783"/>
      <c r="AC81" s="783"/>
      <c r="AD81" s="783"/>
      <c r="AE81" s="783"/>
    </row>
    <row r="82" spans="21:31">
      <c r="U82" s="615">
        <f>+L71</f>
        <v>1.1563961654371155</v>
      </c>
      <c r="V82" t="str">
        <f>+TEXT(U82,"##.###,0%")</f>
        <v>115,6%</v>
      </c>
      <c r="Z82" s="783"/>
      <c r="AA82" s="783"/>
      <c r="AB82" s="783"/>
      <c r="AC82" s="783"/>
      <c r="AD82" s="783"/>
      <c r="AE82" s="783"/>
    </row>
    <row r="83" spans="21:31">
      <c r="V83" s="615">
        <f>+V82-L66</f>
        <v>0.15599999999999992</v>
      </c>
      <c r="W83" t="str">
        <f>+TEXT(V83,"##.###,0%")</f>
        <v>15,6%</v>
      </c>
      <c r="Z83" s="783"/>
      <c r="AA83" s="783"/>
      <c r="AB83" s="783"/>
      <c r="AC83" s="783"/>
      <c r="AD83" s="783"/>
      <c r="AE83" s="783"/>
    </row>
    <row r="84" spans="21:31">
      <c r="W84" t="str">
        <f>+IF(V83&gt;0,"superior","inferior")</f>
        <v>superior</v>
      </c>
      <c r="Z84" s="783"/>
      <c r="AA84" s="783"/>
      <c r="AB84" s="783"/>
      <c r="AC84" s="783"/>
      <c r="AD84" s="783"/>
      <c r="AE84" s="783"/>
    </row>
  </sheetData>
  <mergeCells count="3">
    <mergeCell ref="Z45:AC51"/>
    <mergeCell ref="Z63:AE67"/>
    <mergeCell ref="Z80:AE84"/>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C409D-309C-4C1B-8106-4E6369BA1BC8}">
  <dimension ref="A3:BV155"/>
  <sheetViews>
    <sheetView showGridLines="0" topLeftCell="A76" zoomScale="120" zoomScaleNormal="120" zoomScaleSheetLayoutView="100" workbookViewId="0">
      <selection sqref="A1:L1"/>
    </sheetView>
  </sheetViews>
  <sheetFormatPr defaultColWidth="9.140625" defaultRowHeight="12.75"/>
  <cols>
    <col min="1" max="1" width="34.7109375" style="499" customWidth="1"/>
    <col min="2" max="3" width="9.140625" style="499"/>
    <col min="4" max="4" width="9.42578125" style="499" customWidth="1"/>
    <col min="5" max="6" width="9.140625" style="499"/>
    <col min="7" max="7" width="9.42578125" style="499" bestFit="1" customWidth="1"/>
    <col min="8" max="12" width="9.140625" style="499"/>
    <col min="13" max="13" width="12.42578125" style="499" customWidth="1"/>
    <col min="14" max="72" width="9.140625" style="499"/>
    <col min="73" max="73" width="10.42578125" style="499" customWidth="1"/>
    <col min="74" max="74" width="6" style="499" customWidth="1"/>
    <col min="75" max="16384" width="9.140625" style="499"/>
  </cols>
  <sheetData>
    <row r="3" spans="1:74">
      <c r="A3" s="500" t="s">
        <v>414</v>
      </c>
      <c r="BV3" s="560"/>
    </row>
    <row r="4" spans="1:74">
      <c r="BV4" s="560"/>
    </row>
    <row r="5" spans="1:74">
      <c r="BV5" s="560"/>
    </row>
    <row r="6" spans="1:74" ht="16.5" customHeight="1">
      <c r="B6" s="500">
        <f>+'q32 '!$B$4</f>
        <v>2013</v>
      </c>
      <c r="C6" s="500">
        <f>+'q32 '!$C$4</f>
        <v>2014</v>
      </c>
      <c r="D6" s="500">
        <f>+'q32 '!$D$4</f>
        <v>2015</v>
      </c>
      <c r="E6" s="500">
        <f>+'q32 '!$E$4</f>
        <v>2016</v>
      </c>
      <c r="F6" s="500">
        <f>+'q32 '!$F$4</f>
        <v>2017</v>
      </c>
      <c r="G6" s="500">
        <f>+'q32 '!$G$4</f>
        <v>2018</v>
      </c>
      <c r="H6" s="500">
        <f>+'q32 '!$H$4</f>
        <v>2019</v>
      </c>
      <c r="I6" s="500">
        <f>+'q32 '!$I$4</f>
        <v>2020</v>
      </c>
      <c r="J6" s="500">
        <f>+'q32 '!$J$4</f>
        <v>2021</v>
      </c>
      <c r="K6" s="500">
        <f>+'q32 '!$K$4</f>
        <v>2022</v>
      </c>
      <c r="L6" s="500">
        <f>+'q32 '!$L$4</f>
        <v>2023</v>
      </c>
      <c r="BV6" s="560"/>
    </row>
    <row r="7" spans="1:74">
      <c r="A7" s="500" t="s">
        <v>185</v>
      </c>
      <c r="B7" s="511">
        <f>+'q32 '!$B$5</f>
        <v>1890511</v>
      </c>
      <c r="C7" s="511">
        <f>+'q32 '!$C$5</f>
        <v>1928307</v>
      </c>
      <c r="D7" s="511">
        <f>+'q32 '!$D$5</f>
        <v>1991131</v>
      </c>
      <c r="E7" s="511">
        <f>+'q32 '!$E$5</f>
        <v>2054911</v>
      </c>
      <c r="F7" s="511">
        <f>+'q32 '!$F$5</f>
        <v>2131943</v>
      </c>
      <c r="G7" s="511">
        <f>+'q32 '!$G$5</f>
        <v>2205449</v>
      </c>
      <c r="H7" s="511">
        <f>+'q32 '!$H$5</f>
        <v>2232400</v>
      </c>
      <c r="I7" s="511">
        <f>+'q32 '!$I$5</f>
        <v>2164118</v>
      </c>
      <c r="J7" s="511">
        <f>+'q32 '!$J$5</f>
        <v>2200594</v>
      </c>
      <c r="K7" s="511">
        <f>+'q32 '!$K$5</f>
        <v>2376115</v>
      </c>
      <c r="L7" s="511">
        <f>+'q32 '!$L$5</f>
        <v>2467600</v>
      </c>
      <c r="BV7" s="560"/>
    </row>
    <row r="8" spans="1:74">
      <c r="A8" s="500" t="s">
        <v>415</v>
      </c>
      <c r="B8" s="512">
        <f>+'q32 '!$B$6</f>
        <v>785.45</v>
      </c>
      <c r="C8" s="512">
        <f>+'q32 '!$C$6</f>
        <v>786.99</v>
      </c>
      <c r="D8" s="512">
        <f>+'q32 '!$D$6</f>
        <v>790.03</v>
      </c>
      <c r="E8" s="512">
        <f>+'q32 '!$E$6</f>
        <v>800</v>
      </c>
      <c r="F8" s="512">
        <f>+'q32 '!$F$6</f>
        <v>822.95</v>
      </c>
      <c r="G8" s="512">
        <f>+'q32 '!$G$6</f>
        <v>854.8</v>
      </c>
      <c r="H8" s="512">
        <f>+'q32 '!$H$6</f>
        <v>892.01</v>
      </c>
      <c r="I8" s="512">
        <f>+'q32 '!$I$6</f>
        <v>926.14</v>
      </c>
      <c r="J8" s="512">
        <f>+'q32 '!$J$6</f>
        <v>962.2</v>
      </c>
      <c r="K8" s="512">
        <f>+'q32 '!$K$6</f>
        <v>1017.5</v>
      </c>
      <c r="L8" s="512">
        <f>+'q32 '!$L$6</f>
        <v>1100.17</v>
      </c>
      <c r="BV8" s="560"/>
    </row>
    <row r="9" spans="1:74">
      <c r="A9" s="500" t="s">
        <v>416</v>
      </c>
      <c r="B9" s="512"/>
      <c r="C9" s="512"/>
      <c r="D9" s="512"/>
      <c r="E9" s="512"/>
      <c r="F9" s="512"/>
      <c r="G9" s="512"/>
      <c r="H9" s="512"/>
      <c r="I9" s="512"/>
      <c r="J9" s="512"/>
      <c r="K9" s="512"/>
      <c r="L9" s="512"/>
      <c r="BV9" s="560"/>
    </row>
    <row r="10" spans="1:74">
      <c r="A10" s="500" t="s">
        <v>106</v>
      </c>
      <c r="B10" s="512">
        <f>+'q32 '!$B$8</f>
        <v>502.41</v>
      </c>
      <c r="C10" s="512">
        <f>+'q32 '!$C$8</f>
        <v>517.54999999999995</v>
      </c>
      <c r="D10" s="512">
        <f>+'q32 '!$D$8</f>
        <v>518.95000000000005</v>
      </c>
      <c r="E10" s="512">
        <f>+'q32 '!$E$8</f>
        <v>541.09</v>
      </c>
      <c r="F10" s="512">
        <f>+'q32 '!$F$8</f>
        <v>568.88</v>
      </c>
      <c r="G10" s="512">
        <f>+'q32 '!$G$8</f>
        <v>593.04999999999995</v>
      </c>
      <c r="H10" s="512">
        <f>+'q32 '!$H$8</f>
        <v>615.49</v>
      </c>
      <c r="I10" s="512">
        <f>+'q32 '!$I$8</f>
        <v>651.89</v>
      </c>
      <c r="J10" s="512">
        <f>+'q32 '!$J$8</f>
        <v>684.62</v>
      </c>
      <c r="K10" s="512">
        <f>+'q32 '!$K$8</f>
        <v>726.79</v>
      </c>
      <c r="L10" s="512">
        <f>+'q32 '!$L$8</f>
        <v>786.12</v>
      </c>
      <c r="BV10" s="560"/>
    </row>
    <row r="11" spans="1:74">
      <c r="A11" s="500" t="s">
        <v>107</v>
      </c>
      <c r="B11" s="512">
        <f>+'q32 '!$B$9</f>
        <v>565.75</v>
      </c>
      <c r="C11" s="512">
        <f>+'q32 '!$C$9</f>
        <v>580.52</v>
      </c>
      <c r="D11" s="512">
        <f>+'q32 '!$D$9</f>
        <v>581.94000000000005</v>
      </c>
      <c r="E11" s="512">
        <f>+'q32 '!$E$9</f>
        <v>600.67999999999995</v>
      </c>
      <c r="F11" s="512">
        <f>+'q32 '!$F$9</f>
        <v>630.6</v>
      </c>
      <c r="G11" s="512">
        <f>+'q32 '!$G$9</f>
        <v>660.08</v>
      </c>
      <c r="H11" s="512">
        <f>+'q32 '!$H$9</f>
        <v>687.04</v>
      </c>
      <c r="I11" s="512">
        <f>+'q32 '!$I$9</f>
        <v>720.8</v>
      </c>
      <c r="J11" s="512">
        <f>+'q32 '!$J$9</f>
        <v>751.73</v>
      </c>
      <c r="K11" s="512">
        <f>+'q32 '!$K$9</f>
        <v>795.53</v>
      </c>
      <c r="L11" s="512">
        <f>+'q32 '!$L$9</f>
        <v>863.33</v>
      </c>
      <c r="BV11" s="560"/>
    </row>
    <row r="12" spans="1:74">
      <c r="A12" s="500" t="s">
        <v>108</v>
      </c>
      <c r="B12" s="512">
        <f>+'q32 '!$B$10</f>
        <v>612.33000000000004</v>
      </c>
      <c r="C12" s="512">
        <f>+'q32 '!$C$10</f>
        <v>622.01</v>
      </c>
      <c r="D12" s="512">
        <f>+'q32 '!$D$10</f>
        <v>622.59</v>
      </c>
      <c r="E12" s="512">
        <f>+'q32 '!$E$10</f>
        <v>637.89</v>
      </c>
      <c r="F12" s="512">
        <f>+'q32 '!$F$10</f>
        <v>666.63</v>
      </c>
      <c r="G12" s="512">
        <f>+'q32 '!$G$10</f>
        <v>697.55</v>
      </c>
      <c r="H12" s="512">
        <f>+'q32 '!$H$10</f>
        <v>726.15</v>
      </c>
      <c r="I12" s="512">
        <f>+'q32 '!$I$10</f>
        <v>756.5</v>
      </c>
      <c r="J12" s="512">
        <f>+'q32 '!$J$10</f>
        <v>787.93</v>
      </c>
      <c r="K12" s="512">
        <f>+'q32 '!$K$10</f>
        <v>832.19</v>
      </c>
      <c r="L12" s="512">
        <f>+'q32 '!$L$10</f>
        <v>904.46</v>
      </c>
      <c r="BV12" s="560"/>
    </row>
    <row r="13" spans="1:74">
      <c r="A13" s="500" t="s">
        <v>109</v>
      </c>
      <c r="B13" s="512">
        <f>+'q32 '!$B$11</f>
        <v>668.74</v>
      </c>
      <c r="C13" s="512">
        <f>+'q32 '!$C$11</f>
        <v>673.51</v>
      </c>
      <c r="D13" s="512">
        <f>+'q32 '!$D$11</f>
        <v>675.9</v>
      </c>
      <c r="E13" s="512">
        <f>+'q32 '!$E$11</f>
        <v>687.11</v>
      </c>
      <c r="F13" s="512">
        <f>+'q32 '!$F$11</f>
        <v>713.34</v>
      </c>
      <c r="G13" s="512">
        <f>+'q32 '!$G$11</f>
        <v>744.93</v>
      </c>
      <c r="H13" s="512">
        <f>+'q32 '!$H$11</f>
        <v>776.91</v>
      </c>
      <c r="I13" s="512">
        <f>+'q32 '!$I$11</f>
        <v>809.55</v>
      </c>
      <c r="J13" s="512">
        <f>+'q32 '!$J$11</f>
        <v>843.68</v>
      </c>
      <c r="K13" s="512">
        <f>+'q32 '!$K$11</f>
        <v>892.08</v>
      </c>
      <c r="L13" s="512">
        <f>+'q32 '!$L$11</f>
        <v>967.54</v>
      </c>
      <c r="BV13" s="560"/>
    </row>
    <row r="14" spans="1:74">
      <c r="A14" s="500" t="s">
        <v>110</v>
      </c>
      <c r="B14" s="512">
        <f>+'q32 '!$B$12</f>
        <v>742.51</v>
      </c>
      <c r="C14" s="512">
        <f>+'q32 '!$C$12</f>
        <v>744.94</v>
      </c>
      <c r="D14" s="512">
        <f>+'q32 '!$D$12</f>
        <v>748.82</v>
      </c>
      <c r="E14" s="512">
        <f>+'q32 '!$E$12</f>
        <v>758.29</v>
      </c>
      <c r="F14" s="512">
        <f>+'q32 '!$F$12</f>
        <v>782.49</v>
      </c>
      <c r="G14" s="512">
        <f>+'q32 '!$G$12</f>
        <v>814.41</v>
      </c>
      <c r="H14" s="512">
        <f>+'q32 '!$H$12</f>
        <v>849.92</v>
      </c>
      <c r="I14" s="512">
        <f>+'q32 '!$I$12</f>
        <v>884.65</v>
      </c>
      <c r="J14" s="512">
        <f>+'q32 '!$J$12</f>
        <v>918.75</v>
      </c>
      <c r="K14" s="512">
        <f>+'q32 '!$K$12</f>
        <v>971.89</v>
      </c>
      <c r="L14" s="512">
        <f>+'q32 '!$L$12</f>
        <v>1050.28</v>
      </c>
      <c r="BV14" s="560"/>
    </row>
    <row r="15" spans="1:74">
      <c r="A15" s="500" t="s">
        <v>111</v>
      </c>
      <c r="B15" s="512">
        <f>+'q32 '!$B$13</f>
        <v>837.14</v>
      </c>
      <c r="C15" s="512">
        <f>+'q32 '!$C$13</f>
        <v>836.57</v>
      </c>
      <c r="D15" s="512">
        <f>+'q32 '!$D$13</f>
        <v>841.18</v>
      </c>
      <c r="E15" s="512">
        <f>+'q32 '!$E$13</f>
        <v>849.51</v>
      </c>
      <c r="F15" s="512">
        <f>+'q32 '!$F$13</f>
        <v>872.87</v>
      </c>
      <c r="G15" s="512">
        <f>+'q32 '!$G$13</f>
        <v>905.46</v>
      </c>
      <c r="H15" s="512">
        <f>+'q32 '!$H$13</f>
        <v>945.3</v>
      </c>
      <c r="I15" s="512">
        <f>+'q32 '!$I$13</f>
        <v>982.04</v>
      </c>
      <c r="J15" s="512">
        <f>+'q32 '!$J$13</f>
        <v>1019.55</v>
      </c>
      <c r="K15" s="512">
        <f>+'q32 '!$K$13</f>
        <v>1077.81</v>
      </c>
      <c r="L15" s="512">
        <f>+'q32 '!$L$13</f>
        <v>1161.1199999999999</v>
      </c>
      <c r="BV15" s="560"/>
    </row>
    <row r="16" spans="1:74">
      <c r="A16" s="500" t="s">
        <v>112</v>
      </c>
      <c r="B16" s="512">
        <f>+'q32 '!$B$14</f>
        <v>975.81</v>
      </c>
      <c r="C16" s="512">
        <f>+'q32 '!$C$14</f>
        <v>971.94</v>
      </c>
      <c r="D16" s="512">
        <f>+'q32 '!$D$14</f>
        <v>976.82</v>
      </c>
      <c r="E16" s="512">
        <f>+'q32 '!$E$14</f>
        <v>983.8</v>
      </c>
      <c r="F16" s="512">
        <f>+'q32 '!$F$14</f>
        <v>1007.14</v>
      </c>
      <c r="G16" s="512">
        <f>+'q32 '!$G$14</f>
        <v>1044.1400000000001</v>
      </c>
      <c r="H16" s="512">
        <f>+'q32 '!$H$14</f>
        <v>1088.52</v>
      </c>
      <c r="I16" s="512">
        <f>+'q32 '!$I$14</f>
        <v>1132.48</v>
      </c>
      <c r="J16" s="512">
        <f>+'q32 '!$J$14</f>
        <v>1173.75</v>
      </c>
      <c r="K16" s="512">
        <f>+'q32 '!$K$14</f>
        <v>1239.4100000000001</v>
      </c>
      <c r="L16" s="512">
        <f>+'q32 '!$L$14</f>
        <v>1330.62</v>
      </c>
      <c r="BV16" s="560"/>
    </row>
    <row r="17" spans="1:14">
      <c r="A17" s="500" t="s">
        <v>113</v>
      </c>
      <c r="B17" s="512">
        <f>+'q32 '!$B$15</f>
        <v>1201.6300000000001</v>
      </c>
      <c r="C17" s="512">
        <f>+'q32 '!$C$15</f>
        <v>1195.08</v>
      </c>
      <c r="D17" s="512">
        <f>+'q32 '!$D$15</f>
        <v>1199.49</v>
      </c>
      <c r="E17" s="512">
        <f>+'q32 '!$E$15</f>
        <v>1202.99</v>
      </c>
      <c r="F17" s="512">
        <f>+'q32 '!$F$15</f>
        <v>1225.68</v>
      </c>
      <c r="G17" s="512">
        <f>+'q32 '!$G$15</f>
        <v>1266.6400000000001</v>
      </c>
      <c r="H17" s="512">
        <f>+'q32 '!$H$15</f>
        <v>1314.59</v>
      </c>
      <c r="I17" s="512">
        <f>+'q32 '!$I$15</f>
        <v>1363.34</v>
      </c>
      <c r="J17" s="512">
        <f>+'q32 '!$J$15</f>
        <v>1407.67</v>
      </c>
      <c r="K17" s="512">
        <f>+'q32 '!$K$15</f>
        <v>1484.44</v>
      </c>
      <c r="L17" s="512">
        <f>+'q32 '!$L$15</f>
        <v>1587.73</v>
      </c>
    </row>
    <row r="18" spans="1:14">
      <c r="A18" s="500" t="s">
        <v>114</v>
      </c>
      <c r="B18" s="512">
        <f>+'q32 '!$B$16</f>
        <v>1606.65</v>
      </c>
      <c r="C18" s="512">
        <f>+'q32 '!$C$16</f>
        <v>1596.19</v>
      </c>
      <c r="D18" s="512">
        <f>+'q32 '!$D$16</f>
        <v>1593.99</v>
      </c>
      <c r="E18" s="512">
        <f>+'q32 '!$E$16</f>
        <v>1597.23</v>
      </c>
      <c r="F18" s="512">
        <f>+'q32 '!$F$16</f>
        <v>1617.01</v>
      </c>
      <c r="G18" s="512">
        <f>+'q32 '!$G$16</f>
        <v>1663.94</v>
      </c>
      <c r="H18" s="512">
        <f>+'q32 '!$H$16</f>
        <v>1717.19</v>
      </c>
      <c r="I18" s="512">
        <f>+'q32 '!$I$16</f>
        <v>1773.49</v>
      </c>
      <c r="J18" s="512">
        <f>+'q32 '!$J$16</f>
        <v>1827.6</v>
      </c>
      <c r="K18" s="512">
        <f>+'q32 '!$K$16</f>
        <v>1929.98</v>
      </c>
      <c r="L18" s="512">
        <f>+'q32 '!$L$16</f>
        <v>2057.54</v>
      </c>
    </row>
    <row r="19" spans="1:14">
      <c r="A19" s="500" t="s">
        <v>115</v>
      </c>
      <c r="B19" s="512">
        <f>+'q32 '!$B$17</f>
        <v>3225.2</v>
      </c>
      <c r="C19" s="512">
        <f>+'q32 '!$C$17</f>
        <v>3193.76</v>
      </c>
      <c r="D19" s="512">
        <f>+'q32 '!$D$17</f>
        <v>3206.88</v>
      </c>
      <c r="E19" s="512">
        <f>+'q32 '!$E$17</f>
        <v>3219.96</v>
      </c>
      <c r="F19" s="512">
        <f>+'q32 '!$F$17</f>
        <v>3248.78</v>
      </c>
      <c r="G19" s="512">
        <f>+'q32 '!$G$17</f>
        <v>3312.32</v>
      </c>
      <c r="H19" s="512">
        <f>+'q32 '!$H$17</f>
        <v>3378.28</v>
      </c>
      <c r="I19" s="512">
        <f>+'q32 '!$I$17</f>
        <v>3432.76</v>
      </c>
      <c r="J19" s="512">
        <f>+'q32 '!$J$17</f>
        <v>3525.8</v>
      </c>
      <c r="K19" s="512">
        <f>+'q32 '!$K$17</f>
        <v>3729.82</v>
      </c>
      <c r="L19" s="512">
        <f>+'q32 '!$L$17</f>
        <v>3957.82</v>
      </c>
    </row>
    <row r="20" spans="1:14">
      <c r="A20" s="500" t="s">
        <v>417</v>
      </c>
      <c r="B20" s="512">
        <f>+'q32 '!$B$18</f>
        <v>523.63</v>
      </c>
      <c r="C20" s="512">
        <f>+'q32 '!$C$18</f>
        <v>524.66</v>
      </c>
      <c r="D20" s="512">
        <f>+'q32 '!$D$18</f>
        <v>526.69000000000005</v>
      </c>
      <c r="E20" s="512">
        <f>+'q32 '!$E$18</f>
        <v>533.33000000000004</v>
      </c>
      <c r="F20" s="512">
        <f>+'q32 '!$F$18</f>
        <v>548.63</v>
      </c>
      <c r="G20" s="512">
        <f>+'q32 '!$G$18</f>
        <v>569.87</v>
      </c>
      <c r="H20" s="512">
        <f>+'q32 '!$H$18</f>
        <v>594.66999999999996</v>
      </c>
      <c r="I20" s="512">
        <f>+'q32 '!$I$18</f>
        <v>617.42999999999995</v>
      </c>
      <c r="J20" s="512">
        <f>+'q32 '!$J$18</f>
        <v>641.47</v>
      </c>
      <c r="K20" s="512">
        <f>+'q32 '!$K$18</f>
        <v>678.33</v>
      </c>
      <c r="L20" s="512">
        <f>+'q32 '!$L$18</f>
        <v>733.45</v>
      </c>
      <c r="M20" s="525"/>
    </row>
    <row r="21" spans="1:14">
      <c r="A21" s="500" t="s">
        <v>418</v>
      </c>
      <c r="B21" s="525">
        <f>+'q32 '!$B$19</f>
        <v>7.59</v>
      </c>
      <c r="C21" s="525">
        <f>+'q32 '!$C$19</f>
        <v>6.78</v>
      </c>
      <c r="D21" s="525">
        <f>+'q32 '!$D$19</f>
        <v>6.7</v>
      </c>
      <c r="E21" s="525">
        <f>+'q32 '!$E$19</f>
        <v>5.86</v>
      </c>
      <c r="F21" s="525">
        <f>+'q32 '!$F$19</f>
        <v>0.19</v>
      </c>
      <c r="G21" s="525">
        <f>+'q32 '!$G$19</f>
        <v>0.16</v>
      </c>
      <c r="H21" s="525">
        <f>+'q32 '!$H$19</f>
        <v>0.18</v>
      </c>
      <c r="I21" s="525">
        <f>+'q32 '!$I$19</f>
        <v>0.14000000000000001</v>
      </c>
      <c r="J21" s="525">
        <f>+'q32 '!$J$19</f>
        <v>0.11</v>
      </c>
      <c r="K21" s="525">
        <f>+'q32 '!$K$19</f>
        <v>0.11</v>
      </c>
      <c r="L21" s="525">
        <f>+'q32 '!$L$19</f>
        <v>0.1</v>
      </c>
      <c r="M21" s="525">
        <f>+L21-B21</f>
        <v>-7.49</v>
      </c>
    </row>
    <row r="22" spans="1:14">
      <c r="A22" s="500" t="s">
        <v>116</v>
      </c>
      <c r="B22" s="525">
        <f>+'q32 '!$B$20</f>
        <v>5.46</v>
      </c>
      <c r="C22" s="525">
        <f>+'q32 '!$C$20</f>
        <v>5.01</v>
      </c>
      <c r="D22" s="525">
        <f>+'q32 '!$D$20</f>
        <v>4.99</v>
      </c>
      <c r="E22" s="525">
        <f>+'q32 '!$E$20</f>
        <v>4.38</v>
      </c>
      <c r="F22" s="525">
        <f>+'q32 '!$F$20</f>
        <v>0.1</v>
      </c>
      <c r="G22" s="525">
        <f>+'q32 '!$G$20</f>
        <v>0.08</v>
      </c>
      <c r="H22" s="525">
        <f>+'q32 '!$H$20</f>
        <v>0.09</v>
      </c>
      <c r="I22" s="525">
        <f>+'q32 '!$I$20</f>
        <v>7.0000000000000007E-2</v>
      </c>
      <c r="J22" s="525">
        <f>+'q32 '!$J$20</f>
        <v>7.0000000000000007E-2</v>
      </c>
      <c r="K22" s="525">
        <f>+'q32 '!$K$20</f>
        <v>0.08</v>
      </c>
      <c r="L22" s="525">
        <f>+'q32 '!$L$20</f>
        <v>0.08</v>
      </c>
      <c r="M22" s="525">
        <f>+G21-B21</f>
        <v>-7.43</v>
      </c>
    </row>
    <row r="23" spans="1:14">
      <c r="A23" s="500" t="s">
        <v>117</v>
      </c>
      <c r="B23" s="525">
        <f>+'q32 '!$B$21</f>
        <v>10.09</v>
      </c>
      <c r="C23" s="525">
        <f>+'q32 '!$C$21</f>
        <v>8.8699999999999992</v>
      </c>
      <c r="D23" s="525">
        <f>+'q32 '!$D$21</f>
        <v>8.6999999999999993</v>
      </c>
      <c r="E23" s="525">
        <f>+'q32 '!$E$21</f>
        <v>7.59</v>
      </c>
      <c r="F23" s="525">
        <f>+'q32 '!$F$21</f>
        <v>0.28999999999999998</v>
      </c>
      <c r="G23" s="525">
        <f>+'q32 '!$G$21</f>
        <v>0.24</v>
      </c>
      <c r="H23" s="525">
        <f>+'q32 '!$H$21</f>
        <v>0.28000000000000003</v>
      </c>
      <c r="I23" s="525">
        <f>+'q32 '!$I$21</f>
        <v>0.21</v>
      </c>
      <c r="J23" s="525">
        <f>+'q32 '!$J$21</f>
        <v>0.15</v>
      </c>
      <c r="K23" s="525">
        <f>+'q32 '!$K$21</f>
        <v>0.15</v>
      </c>
      <c r="L23" s="525">
        <f>+'q32 '!$L$21</f>
        <v>0.13</v>
      </c>
      <c r="M23" s="525">
        <f>+L21-G21</f>
        <v>-0.06</v>
      </c>
    </row>
    <row r="24" spans="1:14">
      <c r="B24" s="525">
        <f>+B23-B22</f>
        <v>4.63</v>
      </c>
      <c r="C24" s="525">
        <f t="shared" ref="C24:L24" si="0">+C23-C22</f>
        <v>3.8599999999999994</v>
      </c>
      <c r="D24" s="525">
        <f t="shared" si="0"/>
        <v>3.7099999999999991</v>
      </c>
      <c r="E24" s="525">
        <f t="shared" si="0"/>
        <v>3.21</v>
      </c>
      <c r="F24" s="525">
        <f t="shared" si="0"/>
        <v>0.18999999999999997</v>
      </c>
      <c r="G24" s="525">
        <f t="shared" si="0"/>
        <v>0.15999999999999998</v>
      </c>
      <c r="H24" s="525">
        <f t="shared" si="0"/>
        <v>0.19000000000000003</v>
      </c>
      <c r="I24" s="525">
        <f t="shared" si="0"/>
        <v>0.13999999999999999</v>
      </c>
      <c r="J24" s="525">
        <f t="shared" si="0"/>
        <v>7.9999999999999988E-2</v>
      </c>
      <c r="K24" s="525">
        <f t="shared" si="0"/>
        <v>6.9999999999999993E-2</v>
      </c>
      <c r="L24" s="525">
        <f t="shared" si="0"/>
        <v>0.05</v>
      </c>
      <c r="M24" s="525">
        <f>+L23-G23</f>
        <v>-0.10999999999999999</v>
      </c>
      <c r="N24" s="525"/>
    </row>
    <row r="25" spans="1:14">
      <c r="L25" s="525">
        <f>+L22-B22</f>
        <v>-5.38</v>
      </c>
      <c r="M25" s="525">
        <f>+G23-B23</f>
        <v>-9.85</v>
      </c>
    </row>
    <row r="26" spans="1:14">
      <c r="A26" s="513"/>
      <c r="B26" s="513"/>
      <c r="C26" s="513"/>
      <c r="D26" s="513"/>
      <c r="E26" s="513"/>
      <c r="F26" s="513"/>
      <c r="G26" s="513"/>
      <c r="H26" s="513"/>
      <c r="I26" s="513"/>
      <c r="J26" s="513"/>
      <c r="K26" s="513"/>
      <c r="L26" s="513"/>
      <c r="M26" s="784"/>
    </row>
    <row r="27" spans="1:14">
      <c r="A27" s="627"/>
      <c r="B27" s="628"/>
      <c r="C27" s="628"/>
      <c r="D27" s="628"/>
      <c r="E27" s="628"/>
      <c r="F27" s="628"/>
      <c r="G27" s="628"/>
      <c r="H27" s="628"/>
      <c r="I27" s="628"/>
      <c r="J27" s="628"/>
      <c r="K27" s="628"/>
      <c r="L27" s="628"/>
      <c r="M27" s="784"/>
    </row>
    <row r="28" spans="1:14">
      <c r="A28" s="513" t="s">
        <v>547</v>
      </c>
      <c r="B28" s="628"/>
      <c r="C28" s="628"/>
      <c r="D28" s="628"/>
      <c r="E28" s="628"/>
      <c r="F28" s="628"/>
      <c r="G28" s="628"/>
      <c r="H28" s="628"/>
      <c r="I28" s="628"/>
      <c r="J28" s="628"/>
      <c r="K28" s="628"/>
      <c r="L28" s="628"/>
      <c r="M28" s="784"/>
    </row>
    <row r="33" spans="1:42" ht="12.95" customHeight="1">
      <c r="A33" s="499" t="s">
        <v>416</v>
      </c>
      <c r="AC33" s="788" t="s">
        <v>550</v>
      </c>
      <c r="AD33" s="788"/>
      <c r="AE33" s="788"/>
      <c r="AF33" s="788"/>
      <c r="AG33" s="788"/>
      <c r="AH33" s="788"/>
      <c r="AI33" s="788"/>
      <c r="AJ33" s="788"/>
      <c r="AK33" s="788"/>
      <c r="AL33" s="788"/>
      <c r="AM33" s="788"/>
      <c r="AN33" s="788"/>
      <c r="AO33" s="788"/>
      <c r="AP33" s="788"/>
    </row>
    <row r="34" spans="1:42">
      <c r="B34" s="500">
        <f>+B6</f>
        <v>2013</v>
      </c>
      <c r="C34" s="500">
        <f t="shared" ref="C34:L34" si="1">+C6</f>
        <v>2014</v>
      </c>
      <c r="D34" s="500">
        <f t="shared" si="1"/>
        <v>2015</v>
      </c>
      <c r="E34" s="500">
        <f t="shared" si="1"/>
        <v>2016</v>
      </c>
      <c r="F34" s="500">
        <f t="shared" si="1"/>
        <v>2017</v>
      </c>
      <c r="G34" s="500">
        <f t="shared" si="1"/>
        <v>2018</v>
      </c>
      <c r="H34" s="500">
        <f t="shared" si="1"/>
        <v>2019</v>
      </c>
      <c r="I34" s="500">
        <f t="shared" si="1"/>
        <v>2020</v>
      </c>
      <c r="J34" s="500">
        <f t="shared" si="1"/>
        <v>2021</v>
      </c>
      <c r="K34" s="500">
        <f t="shared" si="1"/>
        <v>2022</v>
      </c>
      <c r="L34" s="500">
        <f t="shared" si="1"/>
        <v>2023</v>
      </c>
      <c r="AC34" s="788"/>
      <c r="AD34" s="788"/>
      <c r="AE34" s="788"/>
      <c r="AF34" s="788"/>
      <c r="AG34" s="788"/>
      <c r="AH34" s="788"/>
      <c r="AI34" s="788"/>
      <c r="AJ34" s="788"/>
      <c r="AK34" s="788"/>
      <c r="AL34" s="788"/>
      <c r="AM34" s="788"/>
      <c r="AN34" s="788"/>
      <c r="AO34" s="788"/>
      <c r="AP34" s="788"/>
    </row>
    <row r="35" spans="1:42">
      <c r="A35" s="559" t="s">
        <v>427</v>
      </c>
      <c r="B35" s="512">
        <f>+$B$19</f>
        <v>3225.2</v>
      </c>
      <c r="C35" s="512">
        <f>+$C$19</f>
        <v>3193.76</v>
      </c>
      <c r="D35" s="512">
        <f>+$D$19</f>
        <v>3206.88</v>
      </c>
      <c r="E35" s="512">
        <f>+$E$19</f>
        <v>3219.96</v>
      </c>
      <c r="F35" s="512">
        <f>+$F$19</f>
        <v>3248.78</v>
      </c>
      <c r="G35" s="512">
        <f>+$G$19</f>
        <v>3312.32</v>
      </c>
      <c r="H35" s="512">
        <f>+$H$19</f>
        <v>3378.28</v>
      </c>
      <c r="I35" s="512">
        <f>+$I$19</f>
        <v>3432.76</v>
      </c>
      <c r="J35" s="512">
        <f>+$J$19</f>
        <v>3525.8</v>
      </c>
      <c r="K35" s="512">
        <f>+$K$19</f>
        <v>3729.82</v>
      </c>
      <c r="L35" s="512">
        <f>+$L$19</f>
        <v>3957.82</v>
      </c>
      <c r="M35" s="527">
        <f>(L35/B35-1)*100</f>
        <v>22.715490512216306</v>
      </c>
      <c r="N35" s="527">
        <f>+L35/L39</f>
        <v>5.0346257568819013</v>
      </c>
      <c r="O35" s="527"/>
      <c r="AC35" s="788"/>
      <c r="AD35" s="788"/>
      <c r="AE35" s="788"/>
      <c r="AF35" s="788"/>
      <c r="AG35" s="788"/>
      <c r="AH35" s="788"/>
      <c r="AI35" s="788"/>
      <c r="AJ35" s="788"/>
      <c r="AK35" s="788"/>
      <c r="AL35" s="788"/>
      <c r="AM35" s="788"/>
      <c r="AN35" s="788"/>
      <c r="AO35" s="788"/>
      <c r="AP35" s="788"/>
    </row>
    <row r="36" spans="1:42">
      <c r="A36" s="559" t="s">
        <v>431</v>
      </c>
      <c r="B36" s="512">
        <f>+$B$18</f>
        <v>1606.65</v>
      </c>
      <c r="C36" s="512">
        <f>+$C$18</f>
        <v>1596.19</v>
      </c>
      <c r="D36" s="512">
        <f>+$D$18</f>
        <v>1593.99</v>
      </c>
      <c r="E36" s="512">
        <f>+$E$18</f>
        <v>1597.23</v>
      </c>
      <c r="F36" s="512">
        <f>+$F$18</f>
        <v>1617.01</v>
      </c>
      <c r="G36" s="512">
        <f>+$G$18</f>
        <v>1663.94</v>
      </c>
      <c r="H36" s="512">
        <f>+$H$18</f>
        <v>1717.19</v>
      </c>
      <c r="I36" s="512">
        <f>+$I$18</f>
        <v>1773.49</v>
      </c>
      <c r="J36" s="512">
        <f>+$J$18</f>
        <v>1827.6</v>
      </c>
      <c r="K36" s="512">
        <f>+$K$18</f>
        <v>1929.98</v>
      </c>
      <c r="L36" s="512">
        <f>+$L$18</f>
        <v>2057.54</v>
      </c>
      <c r="M36" s="527">
        <f t="shared" ref="M36:M39" si="2">(L36/B36-1)*100</f>
        <v>28.063984066224744</v>
      </c>
      <c r="AC36" s="788"/>
      <c r="AD36" s="788"/>
      <c r="AE36" s="788"/>
      <c r="AF36" s="788"/>
      <c r="AG36" s="788"/>
      <c r="AH36" s="788"/>
      <c r="AI36" s="788"/>
      <c r="AJ36" s="788"/>
      <c r="AK36" s="788"/>
      <c r="AL36" s="788"/>
      <c r="AM36" s="788"/>
      <c r="AN36" s="788"/>
      <c r="AO36" s="788"/>
      <c r="AP36" s="788"/>
    </row>
    <row r="37" spans="1:42">
      <c r="A37" s="559" t="s">
        <v>430</v>
      </c>
      <c r="B37" s="512">
        <f>+$B$14</f>
        <v>742.51</v>
      </c>
      <c r="C37" s="512">
        <f>+$C$14</f>
        <v>744.94</v>
      </c>
      <c r="D37" s="512">
        <f>+$D$14</f>
        <v>748.82</v>
      </c>
      <c r="E37" s="512">
        <f>+$E$14</f>
        <v>758.29</v>
      </c>
      <c r="F37" s="512">
        <f>+$F$14</f>
        <v>782.49</v>
      </c>
      <c r="G37" s="512">
        <f>+$G$14</f>
        <v>814.41</v>
      </c>
      <c r="H37" s="512">
        <f>+$H$14</f>
        <v>849.92</v>
      </c>
      <c r="I37" s="512">
        <f>+$I$14</f>
        <v>884.65</v>
      </c>
      <c r="J37" s="512">
        <f>+$J$14</f>
        <v>918.75</v>
      </c>
      <c r="K37" s="512">
        <f>+$K$14</f>
        <v>971.89</v>
      </c>
      <c r="L37" s="512">
        <f>+$L$14</f>
        <v>1050.28</v>
      </c>
      <c r="M37" s="527">
        <f t="shared" si="2"/>
        <v>41.449946802063266</v>
      </c>
      <c r="AC37" s="788"/>
      <c r="AD37" s="788"/>
      <c r="AE37" s="788"/>
      <c r="AF37" s="788"/>
      <c r="AG37" s="788"/>
      <c r="AH37" s="788"/>
      <c r="AI37" s="788"/>
      <c r="AJ37" s="788"/>
      <c r="AK37" s="788"/>
      <c r="AL37" s="788"/>
      <c r="AM37" s="788"/>
      <c r="AN37" s="788"/>
      <c r="AO37" s="788"/>
      <c r="AP37" s="788"/>
    </row>
    <row r="38" spans="1:42">
      <c r="A38" s="559" t="s">
        <v>429</v>
      </c>
      <c r="B38" s="512">
        <f>+$B$11</f>
        <v>565.75</v>
      </c>
      <c r="C38" s="512">
        <f>+$C$11</f>
        <v>580.52</v>
      </c>
      <c r="D38" s="512">
        <f>+$D$11</f>
        <v>581.94000000000005</v>
      </c>
      <c r="E38" s="512">
        <f>+$E$11</f>
        <v>600.67999999999995</v>
      </c>
      <c r="F38" s="512">
        <f>+$F$11</f>
        <v>630.6</v>
      </c>
      <c r="G38" s="512">
        <f>+$G$11</f>
        <v>660.08</v>
      </c>
      <c r="H38" s="512">
        <f>+$H$11</f>
        <v>687.04</v>
      </c>
      <c r="I38" s="512">
        <f>+$I$11</f>
        <v>720.8</v>
      </c>
      <c r="J38" s="512">
        <f>+$J$11</f>
        <v>751.73</v>
      </c>
      <c r="K38" s="512">
        <f>+$K$11</f>
        <v>795.53</v>
      </c>
      <c r="L38" s="512">
        <f>+$L$11</f>
        <v>863.33</v>
      </c>
      <c r="M38" s="527">
        <f t="shared" si="2"/>
        <v>52.59920459566947</v>
      </c>
      <c r="O38" s="525"/>
      <c r="AC38" s="788"/>
      <c r="AD38" s="788"/>
      <c r="AE38" s="788"/>
      <c r="AF38" s="788"/>
      <c r="AG38" s="788"/>
      <c r="AH38" s="788"/>
      <c r="AI38" s="788"/>
      <c r="AJ38" s="788"/>
      <c r="AK38" s="788"/>
      <c r="AL38" s="788"/>
      <c r="AM38" s="788"/>
      <c r="AN38" s="788"/>
      <c r="AO38" s="788"/>
      <c r="AP38" s="788"/>
    </row>
    <row r="39" spans="1:42">
      <c r="A39" s="559" t="s">
        <v>428</v>
      </c>
      <c r="B39" s="512">
        <f>+$B$10</f>
        <v>502.41</v>
      </c>
      <c r="C39" s="512">
        <f>+$C$10</f>
        <v>517.54999999999995</v>
      </c>
      <c r="D39" s="512">
        <f>+$D$10</f>
        <v>518.95000000000005</v>
      </c>
      <c r="E39" s="512">
        <f>+$E$10</f>
        <v>541.09</v>
      </c>
      <c r="F39" s="512">
        <f>+$F$10</f>
        <v>568.88</v>
      </c>
      <c r="G39" s="512">
        <f>+$G$10</f>
        <v>593.04999999999995</v>
      </c>
      <c r="H39" s="512">
        <f>+$H$10</f>
        <v>615.49</v>
      </c>
      <c r="I39" s="512">
        <f>+$I$10</f>
        <v>651.89</v>
      </c>
      <c r="J39" s="512">
        <f>+$J$10</f>
        <v>684.62</v>
      </c>
      <c r="K39" s="512">
        <f>+$K$10</f>
        <v>726.79</v>
      </c>
      <c r="L39" s="512">
        <f>+$L$10</f>
        <v>786.12</v>
      </c>
      <c r="M39" s="527">
        <f t="shared" si="2"/>
        <v>56.469815489341357</v>
      </c>
      <c r="AC39" s="788"/>
      <c r="AD39" s="788"/>
      <c r="AE39" s="788"/>
      <c r="AF39" s="788"/>
      <c r="AG39" s="788"/>
      <c r="AH39" s="788"/>
      <c r="AI39" s="788"/>
      <c r="AJ39" s="788"/>
      <c r="AK39" s="788"/>
      <c r="AL39" s="788"/>
      <c r="AM39" s="788"/>
      <c r="AN39" s="788"/>
      <c r="AO39" s="788"/>
      <c r="AP39" s="788"/>
    </row>
    <row r="40" spans="1:42">
      <c r="A40" s="499" t="s">
        <v>425</v>
      </c>
      <c r="M40" s="530"/>
      <c r="AC40" s="788"/>
      <c r="AD40" s="788"/>
      <c r="AE40" s="788"/>
      <c r="AF40" s="788"/>
      <c r="AG40" s="788"/>
      <c r="AH40" s="788"/>
      <c r="AI40" s="788"/>
      <c r="AJ40" s="788"/>
      <c r="AK40" s="788"/>
      <c r="AL40" s="788"/>
      <c r="AM40" s="788"/>
      <c r="AN40" s="788"/>
      <c r="AO40" s="788"/>
      <c r="AP40" s="788"/>
    </row>
    <row r="41" spans="1:42" ht="17.25" customHeight="1">
      <c r="A41" s="499" t="s">
        <v>423</v>
      </c>
      <c r="B41" s="527">
        <f>+B35/B39</f>
        <v>6.4194582114209506</v>
      </c>
      <c r="C41" s="527">
        <f t="shared" ref="C41:L41" si="3">+C35/C39</f>
        <v>6.170920683991886</v>
      </c>
      <c r="D41" s="527">
        <f t="shared" si="3"/>
        <v>6.1795548704114074</v>
      </c>
      <c r="E41" s="527">
        <f t="shared" si="3"/>
        <v>5.950876933596998</v>
      </c>
      <c r="F41" s="527">
        <f t="shared" si="3"/>
        <v>5.7108353255519617</v>
      </c>
      <c r="G41" s="527">
        <f t="shared" si="3"/>
        <v>5.5852289014417007</v>
      </c>
      <c r="H41" s="527">
        <f t="shared" si="3"/>
        <v>5.4887650489853614</v>
      </c>
      <c r="I41" s="527">
        <f t="shared" si="3"/>
        <v>5.2658577367347252</v>
      </c>
      <c r="J41" s="527">
        <f t="shared" si="3"/>
        <v>5.1500102246501713</v>
      </c>
      <c r="K41" s="527">
        <f t="shared" si="3"/>
        <v>5.1319088044689671</v>
      </c>
      <c r="L41" s="527">
        <f t="shared" si="3"/>
        <v>5.0346257568819013</v>
      </c>
      <c r="M41" s="785" t="s">
        <v>548</v>
      </c>
      <c r="AC41" s="788"/>
      <c r="AD41" s="788"/>
      <c r="AE41" s="788"/>
      <c r="AF41" s="788"/>
      <c r="AG41" s="788"/>
      <c r="AH41" s="788"/>
      <c r="AI41" s="788"/>
      <c r="AJ41" s="788"/>
      <c r="AK41" s="788"/>
      <c r="AL41" s="788"/>
      <c r="AM41" s="788"/>
      <c r="AN41" s="788"/>
      <c r="AO41" s="788"/>
      <c r="AP41" s="788"/>
    </row>
    <row r="42" spans="1:42" ht="18.75" customHeight="1">
      <c r="A42" s="499" t="s">
        <v>424</v>
      </c>
      <c r="B42" s="527">
        <f>+(B35+B36)/(B38+B39)</f>
        <v>4.5235264379868187</v>
      </c>
      <c r="C42" s="527">
        <f t="shared" ref="C42:L42" si="4">+(C35+C36)/(C38+C39)</f>
        <v>4.3621535967652347</v>
      </c>
      <c r="D42" s="527">
        <f t="shared" si="4"/>
        <v>4.3608989090644839</v>
      </c>
      <c r="E42" s="527">
        <f t="shared" si="4"/>
        <v>4.2190546257127099</v>
      </c>
      <c r="F42" s="527">
        <f t="shared" si="4"/>
        <v>4.0565828525694467</v>
      </c>
      <c r="G42" s="527">
        <f t="shared" si="4"/>
        <v>3.971064454605667</v>
      </c>
      <c r="H42" s="527">
        <f t="shared" si="4"/>
        <v>3.9119789947256498</v>
      </c>
      <c r="I42" s="527">
        <f t="shared" si="4"/>
        <v>3.7927354318892101</v>
      </c>
      <c r="J42" s="527">
        <f t="shared" si="4"/>
        <v>3.7270860166393986</v>
      </c>
      <c r="K42" s="527">
        <f t="shared" si="4"/>
        <v>3.7178779757212679</v>
      </c>
      <c r="L42" s="527">
        <f t="shared" si="4"/>
        <v>3.6468883567249692</v>
      </c>
      <c r="M42" s="785"/>
      <c r="AC42" s="788"/>
      <c r="AD42" s="788"/>
      <c r="AE42" s="788"/>
      <c r="AF42" s="788"/>
      <c r="AG42" s="788"/>
      <c r="AH42" s="788"/>
      <c r="AI42" s="788"/>
      <c r="AJ42" s="788"/>
      <c r="AK42" s="788"/>
      <c r="AL42" s="788"/>
      <c r="AM42" s="788"/>
      <c r="AN42" s="788"/>
      <c r="AO42" s="788"/>
      <c r="AP42" s="788"/>
    </row>
    <row r="43" spans="1:42">
      <c r="B43" s="512"/>
      <c r="C43" s="512"/>
      <c r="D43" s="512"/>
      <c r="E43" s="512"/>
      <c r="F43" s="512"/>
      <c r="G43" s="512"/>
      <c r="H43" s="512"/>
      <c r="I43" s="512"/>
      <c r="J43" s="512"/>
      <c r="K43" s="512"/>
      <c r="L43" s="512"/>
      <c r="M43" s="499" t="s">
        <v>474</v>
      </c>
      <c r="AC43" s="788"/>
      <c r="AD43" s="788"/>
      <c r="AE43" s="788"/>
      <c r="AF43" s="788"/>
      <c r="AG43" s="788"/>
      <c r="AH43" s="788"/>
      <c r="AI43" s="788"/>
      <c r="AJ43" s="788"/>
      <c r="AK43" s="788"/>
      <c r="AL43" s="788"/>
      <c r="AM43" s="788"/>
      <c r="AN43" s="788"/>
      <c r="AO43" s="788"/>
      <c r="AP43" s="788"/>
    </row>
    <row r="44" spans="1:42">
      <c r="B44" s="512"/>
      <c r="C44" s="512"/>
      <c r="D44" s="512"/>
      <c r="E44" s="512"/>
      <c r="F44" s="512"/>
      <c r="G44" s="512"/>
      <c r="H44" s="512"/>
      <c r="I44" s="512"/>
      <c r="J44" s="512"/>
      <c r="K44" s="512"/>
      <c r="L44" s="512"/>
      <c r="AC44" s="788"/>
      <c r="AD44" s="788"/>
      <c r="AE44" s="788"/>
      <c r="AF44" s="788"/>
      <c r="AG44" s="788"/>
      <c r="AH44" s="788"/>
      <c r="AI44" s="788"/>
      <c r="AJ44" s="788"/>
      <c r="AK44" s="788"/>
      <c r="AL44" s="788"/>
      <c r="AM44" s="788"/>
      <c r="AN44" s="788"/>
      <c r="AO44" s="788"/>
      <c r="AP44" s="788"/>
    </row>
    <row r="45" spans="1:42">
      <c r="A45" s="558"/>
      <c r="B45" s="500"/>
      <c r="C45" s="500"/>
      <c r="D45" s="500"/>
      <c r="E45" s="500"/>
      <c r="F45" s="500"/>
      <c r="G45" s="500"/>
      <c r="H45" s="500"/>
      <c r="I45" s="500"/>
      <c r="J45" s="500"/>
      <c r="K45" s="500"/>
      <c r="L45" s="500"/>
      <c r="AC45" s="788"/>
      <c r="AD45" s="788"/>
      <c r="AE45" s="788"/>
      <c r="AF45" s="788"/>
      <c r="AG45" s="788"/>
      <c r="AH45" s="788"/>
      <c r="AI45" s="788"/>
      <c r="AJ45" s="788"/>
      <c r="AK45" s="788"/>
      <c r="AL45" s="788"/>
      <c r="AM45" s="788"/>
      <c r="AN45" s="788"/>
      <c r="AO45" s="788"/>
      <c r="AP45" s="788"/>
    </row>
    <row r="46" spans="1:42">
      <c r="A46" s="500"/>
      <c r="B46" s="512"/>
      <c r="C46" s="512"/>
      <c r="D46" s="512"/>
      <c r="E46" s="512"/>
      <c r="F46" s="512"/>
      <c r="G46" s="512"/>
      <c r="H46" s="512"/>
      <c r="I46" s="512"/>
      <c r="J46" s="512"/>
      <c r="K46" s="512"/>
      <c r="L46" s="512"/>
      <c r="AC46" s="788"/>
      <c r="AD46" s="788"/>
      <c r="AE46" s="788"/>
      <c r="AF46" s="788"/>
      <c r="AG46" s="788"/>
      <c r="AH46" s="788"/>
      <c r="AI46" s="788"/>
      <c r="AJ46" s="788"/>
      <c r="AK46" s="788"/>
      <c r="AL46" s="788"/>
      <c r="AM46" s="788"/>
      <c r="AN46" s="788"/>
      <c r="AO46" s="788"/>
      <c r="AP46" s="788"/>
    </row>
    <row r="47" spans="1:42">
      <c r="A47" s="500"/>
      <c r="B47" s="512"/>
      <c r="C47" s="512"/>
      <c r="D47" s="512"/>
      <c r="E47" s="512"/>
      <c r="F47" s="512"/>
      <c r="G47" s="512"/>
      <c r="H47" s="512"/>
      <c r="I47" s="512"/>
      <c r="J47" s="512"/>
      <c r="K47" s="512"/>
      <c r="L47" s="512"/>
      <c r="AC47" s="788"/>
      <c r="AD47" s="788"/>
      <c r="AE47" s="788"/>
      <c r="AF47" s="788"/>
      <c r="AG47" s="788"/>
      <c r="AH47" s="788"/>
      <c r="AI47" s="788"/>
      <c r="AJ47" s="788"/>
      <c r="AK47" s="788"/>
      <c r="AL47" s="788"/>
      <c r="AM47" s="788"/>
      <c r="AN47" s="788"/>
      <c r="AO47" s="788"/>
      <c r="AP47" s="788"/>
    </row>
    <row r="48" spans="1:42">
      <c r="A48" s="500"/>
      <c r="B48" s="504"/>
      <c r="C48" s="504"/>
      <c r="D48" s="504"/>
      <c r="E48" s="504"/>
      <c r="F48" s="504"/>
      <c r="G48" s="504"/>
      <c r="H48" s="504"/>
      <c r="I48" s="504"/>
      <c r="J48" s="504"/>
      <c r="K48" s="504"/>
      <c r="L48" s="504"/>
      <c r="AC48" s="788"/>
      <c r="AD48" s="788"/>
      <c r="AE48" s="788"/>
      <c r="AF48" s="788"/>
      <c r="AG48" s="788"/>
      <c r="AH48" s="788"/>
      <c r="AI48" s="788"/>
      <c r="AJ48" s="788"/>
      <c r="AK48" s="788"/>
      <c r="AL48" s="788"/>
      <c r="AM48" s="788"/>
      <c r="AN48" s="788"/>
      <c r="AO48" s="788"/>
      <c r="AP48" s="788"/>
    </row>
    <row r="49" spans="1:42">
      <c r="A49" s="500"/>
      <c r="B49" s="504"/>
      <c r="C49" s="636" t="s">
        <v>437</v>
      </c>
      <c r="D49" s="512" t="s">
        <v>534</v>
      </c>
      <c r="E49" s="504"/>
      <c r="F49" s="504"/>
      <c r="G49" s="504"/>
      <c r="H49" s="504"/>
      <c r="I49" s="504"/>
      <c r="J49" s="504"/>
      <c r="K49" s="504"/>
      <c r="L49" s="504"/>
      <c r="M49" s="504"/>
      <c r="AC49" s="788"/>
      <c r="AD49" s="788"/>
      <c r="AE49" s="788"/>
      <c r="AF49" s="788"/>
      <c r="AG49" s="788"/>
      <c r="AH49" s="788"/>
      <c r="AI49" s="788"/>
      <c r="AJ49" s="788"/>
      <c r="AK49" s="788"/>
      <c r="AL49" s="788"/>
      <c r="AM49" s="788"/>
      <c r="AN49" s="788"/>
      <c r="AO49" s="788"/>
      <c r="AP49" s="788"/>
    </row>
    <row r="50" spans="1:42">
      <c r="A50" s="500"/>
      <c r="B50" s="504"/>
      <c r="C50" s="512"/>
      <c r="D50" s="512"/>
      <c r="E50" s="504"/>
      <c r="F50" s="504"/>
      <c r="G50" s="504"/>
      <c r="H50" s="504"/>
      <c r="I50" s="504"/>
      <c r="J50" s="504"/>
      <c r="K50" s="504"/>
      <c r="L50" s="504"/>
    </row>
    <row r="51" spans="1:42" ht="12.95" customHeight="1">
      <c r="A51" s="500"/>
      <c r="E51" s="512"/>
      <c r="F51" s="512"/>
      <c r="AC51" s="788" t="s">
        <v>549</v>
      </c>
      <c r="AD51" s="788"/>
      <c r="AE51" s="788"/>
      <c r="AF51" s="788"/>
      <c r="AG51" s="788"/>
      <c r="AH51" s="788"/>
      <c r="AI51" s="788"/>
      <c r="AJ51" s="788"/>
      <c r="AK51" s="788"/>
    </row>
    <row r="52" spans="1:42">
      <c r="A52" s="500"/>
      <c r="E52" s="512"/>
      <c r="F52" s="512"/>
      <c r="AC52" s="788"/>
      <c r="AD52" s="788"/>
      <c r="AE52" s="788"/>
      <c r="AF52" s="788"/>
      <c r="AG52" s="788"/>
      <c r="AH52" s="788"/>
      <c r="AI52" s="788"/>
      <c r="AJ52" s="788"/>
      <c r="AK52" s="788"/>
    </row>
    <row r="53" spans="1:42">
      <c r="A53" s="500"/>
      <c r="C53" s="512"/>
      <c r="D53" s="512"/>
      <c r="E53" s="512"/>
      <c r="F53" s="512"/>
      <c r="AC53" s="526"/>
      <c r="AD53" s="526"/>
      <c r="AE53" s="526"/>
      <c r="AF53" s="526"/>
      <c r="AG53" s="526"/>
      <c r="AH53" s="526"/>
      <c r="AI53" s="526"/>
      <c r="AJ53" s="526"/>
      <c r="AK53" s="526"/>
    </row>
    <row r="54" spans="1:42">
      <c r="A54" s="500"/>
      <c r="C54" s="512"/>
      <c r="D54" s="512"/>
      <c r="E54" s="512"/>
      <c r="F54" s="512"/>
      <c r="AC54" s="526"/>
      <c r="AD54" s="526"/>
      <c r="AE54" s="526"/>
      <c r="AF54" s="526"/>
      <c r="AG54" s="526"/>
      <c r="AH54" s="526"/>
      <c r="AI54" s="526"/>
      <c r="AJ54" s="526"/>
      <c r="AK54" s="526"/>
    </row>
    <row r="55" spans="1:42">
      <c r="A55" s="500"/>
      <c r="C55" s="512"/>
      <c r="D55" s="512"/>
      <c r="E55" s="512"/>
      <c r="F55" s="512"/>
      <c r="AC55" s="526"/>
      <c r="AD55" s="526"/>
      <c r="AE55" s="526"/>
      <c r="AF55" s="526"/>
      <c r="AG55" s="526"/>
      <c r="AH55" s="526"/>
      <c r="AI55" s="526"/>
      <c r="AJ55" s="526"/>
      <c r="AK55" s="526"/>
    </row>
    <row r="56" spans="1:42">
      <c r="A56" s="500"/>
      <c r="C56" s="512" t="str">
        <f>+B34&amp;" - "&amp;L34&amp;":"</f>
        <v>2013 - 2023:</v>
      </c>
      <c r="D56" s="512"/>
      <c r="E56" s="512"/>
      <c r="F56" s="512"/>
      <c r="AC56" s="526"/>
      <c r="AD56" s="526"/>
      <c r="AE56" s="526"/>
      <c r="AF56" s="526"/>
      <c r="AG56" s="526"/>
      <c r="AH56" s="526"/>
      <c r="AI56" s="526"/>
      <c r="AJ56" s="526"/>
      <c r="AK56" s="526"/>
    </row>
    <row r="57" spans="1:42">
      <c r="A57" s="500"/>
      <c r="C57" s="635" t="str">
        <f>+A42</f>
        <v>S80/S20</v>
      </c>
      <c r="D57" s="525">
        <f>+LARGE($B$42:$L$42,1)</f>
        <v>4.5235264379868187</v>
      </c>
      <c r="F57" s="500" t="str">
        <f>+A41</f>
        <v>S90/S10</v>
      </c>
      <c r="G57" s="525">
        <f>+LARGE($B$41:$L$41,1)</f>
        <v>6.4194582114209506</v>
      </c>
    </row>
    <row r="58" spans="1:42">
      <c r="A58" s="500"/>
      <c r="C58" s="512"/>
      <c r="D58" s="525">
        <f>+SMALL($B$42:$L$42,1)</f>
        <v>3.6468883567249692</v>
      </c>
      <c r="G58" s="525">
        <f>+SMALL($B$41:$L$41,1)</f>
        <v>5.0346257568819013</v>
      </c>
    </row>
    <row r="59" spans="1:42" ht="14.25">
      <c r="A59" s="500"/>
      <c r="C59" s="512"/>
      <c r="Q59" s="634" t="s">
        <v>533</v>
      </c>
    </row>
    <row r="60" spans="1:42">
      <c r="A60" s="500"/>
      <c r="C60" s="512" t="s">
        <v>542</v>
      </c>
    </row>
    <row r="61" spans="1:42">
      <c r="A61" s="500"/>
      <c r="C61" s="512" t="s">
        <v>424</v>
      </c>
      <c r="D61" s="499" t="s">
        <v>764</v>
      </c>
    </row>
    <row r="62" spans="1:42">
      <c r="A62" s="500"/>
      <c r="C62" s="512"/>
    </row>
    <row r="63" spans="1:42">
      <c r="A63" s="500"/>
      <c r="C63" s="512"/>
    </row>
    <row r="64" spans="1:42">
      <c r="A64" s="500"/>
      <c r="C64" s="512"/>
    </row>
    <row r="65" spans="1:21">
      <c r="A65" s="500"/>
      <c r="C65" s="512"/>
    </row>
    <row r="66" spans="1:21">
      <c r="A66" s="500"/>
      <c r="C66" s="512"/>
    </row>
    <row r="67" spans="1:21">
      <c r="A67" s="499" t="s">
        <v>845</v>
      </c>
      <c r="C67" s="512"/>
    </row>
    <row r="68" spans="1:21">
      <c r="A68" s="500"/>
      <c r="C68" s="512"/>
    </row>
    <row r="69" spans="1:21">
      <c r="A69" s="500"/>
      <c r="C69" s="512"/>
    </row>
    <row r="70" spans="1:21">
      <c r="A70" s="500"/>
      <c r="C70" s="512"/>
    </row>
    <row r="71" spans="1:21">
      <c r="A71" s="558"/>
      <c r="B71" s="500">
        <f>+B6</f>
        <v>2013</v>
      </c>
      <c r="C71" s="500">
        <f t="shared" ref="C71:L71" si="5">+C6</f>
        <v>2014</v>
      </c>
      <c r="D71" s="500">
        <f t="shared" si="5"/>
        <v>2015</v>
      </c>
      <c r="E71" s="500">
        <f t="shared" si="5"/>
        <v>2016</v>
      </c>
      <c r="F71" s="500">
        <f t="shared" si="5"/>
        <v>2017</v>
      </c>
      <c r="G71" s="500">
        <f t="shared" si="5"/>
        <v>2018</v>
      </c>
      <c r="H71" s="500">
        <f t="shared" si="5"/>
        <v>2019</v>
      </c>
      <c r="I71" s="500">
        <f t="shared" si="5"/>
        <v>2020</v>
      </c>
      <c r="J71" s="500">
        <f t="shared" si="5"/>
        <v>2021</v>
      </c>
      <c r="K71" s="500">
        <f t="shared" si="5"/>
        <v>2022</v>
      </c>
      <c r="L71" s="631">
        <f t="shared" si="5"/>
        <v>2023</v>
      </c>
      <c r="O71" s="747"/>
    </row>
    <row r="72" spans="1:21">
      <c r="A72" s="500" t="s">
        <v>415</v>
      </c>
      <c r="B72" s="512">
        <f>+'q32 '!$B$6</f>
        <v>785.45</v>
      </c>
      <c r="C72" s="512">
        <f>+'q32 '!$C$6</f>
        <v>786.99</v>
      </c>
      <c r="D72" s="512">
        <f>+'q32 '!$D$6</f>
        <v>790.03</v>
      </c>
      <c r="E72" s="512">
        <f>+'q32 '!$E$6</f>
        <v>800</v>
      </c>
      <c r="F72" s="512">
        <f>+'q32 '!$F$6</f>
        <v>822.95</v>
      </c>
      <c r="G72" s="512">
        <f>+'q32 '!$G$6</f>
        <v>854.8</v>
      </c>
      <c r="H72" s="512">
        <f>+'q32 '!$H$6</f>
        <v>892.01</v>
      </c>
      <c r="I72" s="512">
        <f>+'q32 '!$I$6</f>
        <v>926.14</v>
      </c>
      <c r="J72" s="512">
        <f>+'q32 '!$J$6</f>
        <v>962.2</v>
      </c>
      <c r="K72" s="512">
        <f>+'q32 '!$K$6</f>
        <v>1017.5</v>
      </c>
      <c r="L72" s="632">
        <f>+'q32 '!$L$6</f>
        <v>1100.17</v>
      </c>
      <c r="M72" s="630" t="str">
        <f>+IF((L72/B72-1)&gt;0,"+"&amp;TEXT((L72/B72-1),"##.###,0%"),TEXT((L72/B72-1),"##.###,0%"))</f>
        <v>+40,1%</v>
      </c>
      <c r="N72" s="512">
        <f>+L72-B72</f>
        <v>314.72000000000003</v>
      </c>
    </row>
    <row r="73" spans="1:21">
      <c r="A73" s="500" t="s">
        <v>419</v>
      </c>
      <c r="B73" s="512">
        <f>+'q32 '!$B$18</f>
        <v>523.63</v>
      </c>
      <c r="C73" s="512">
        <f>+'q32 '!$C$18</f>
        <v>524.66</v>
      </c>
      <c r="D73" s="512">
        <f>+'q32 '!$D$18</f>
        <v>526.69000000000005</v>
      </c>
      <c r="E73" s="512">
        <f>+'q32 '!$E$18</f>
        <v>533.33000000000004</v>
      </c>
      <c r="F73" s="512">
        <f>+'q32 '!$F$18</f>
        <v>548.63</v>
      </c>
      <c r="G73" s="512">
        <f>+'q32 '!$G$18</f>
        <v>569.87</v>
      </c>
      <c r="H73" s="512">
        <f>+'q32 '!$H$18</f>
        <v>594.66999999999996</v>
      </c>
      <c r="I73" s="512">
        <f>+'q32 '!$I$18</f>
        <v>617.42999999999995</v>
      </c>
      <c r="J73" s="512">
        <f>+'q32 '!$J$18</f>
        <v>641.47</v>
      </c>
      <c r="K73" s="512">
        <f>+'q32 '!$K$18</f>
        <v>678.33</v>
      </c>
      <c r="L73" s="512">
        <f>+'q32 '!$L$18</f>
        <v>733.45</v>
      </c>
      <c r="M73" s="525">
        <f>+(L73/B73-1)*100</f>
        <v>40.070278631858393</v>
      </c>
    </row>
    <row r="74" spans="1:21">
      <c r="A74" s="500" t="s">
        <v>426</v>
      </c>
      <c r="B74" s="512">
        <v>485</v>
      </c>
      <c r="C74" s="512">
        <v>485</v>
      </c>
      <c r="D74" s="512">
        <v>505</v>
      </c>
      <c r="E74" s="512">
        <v>505</v>
      </c>
      <c r="F74" s="512">
        <v>530</v>
      </c>
      <c r="G74" s="512">
        <v>557</v>
      </c>
      <c r="H74" s="512">
        <v>580</v>
      </c>
      <c r="I74" s="512">
        <v>600</v>
      </c>
      <c r="J74" s="512">
        <v>635</v>
      </c>
      <c r="K74" s="512">
        <v>665</v>
      </c>
      <c r="L74" s="512">
        <v>705</v>
      </c>
      <c r="M74" s="525">
        <f>+(L74/B74-1)*100</f>
        <v>45.360824742268036</v>
      </c>
      <c r="N74" s="525">
        <f>+(L74/F74-1)*100</f>
        <v>33.018867924528308</v>
      </c>
    </row>
    <row r="75" spans="1:21">
      <c r="A75" s="500" t="s">
        <v>420</v>
      </c>
      <c r="B75" s="504">
        <f>(+'q32 '!$B$19)</f>
        <v>7.59</v>
      </c>
      <c r="C75" s="504">
        <f>(+'q32 '!$C$19)</f>
        <v>6.78</v>
      </c>
      <c r="D75" s="504">
        <f>(+'q32 '!$D$19)</f>
        <v>6.7</v>
      </c>
      <c r="E75" s="504">
        <f>(+'q32 '!$E$19)</f>
        <v>5.86</v>
      </c>
      <c r="F75" s="504">
        <f>(+'q32 '!$F$19)</f>
        <v>0.19</v>
      </c>
      <c r="G75" s="504">
        <f>(+'q32 '!$G$19)</f>
        <v>0.16</v>
      </c>
      <c r="H75" s="504">
        <f>(+'q32 '!$H$19)</f>
        <v>0.18</v>
      </c>
      <c r="I75" s="504">
        <f>(+'q32 '!$I$19)</f>
        <v>0.14000000000000001</v>
      </c>
      <c r="J75" s="504">
        <f>(+'q32 '!$J$19)</f>
        <v>0.11</v>
      </c>
      <c r="K75" s="504">
        <f>(+'q32 '!$K$19)</f>
        <v>0.11</v>
      </c>
      <c r="L75" s="504">
        <f>(+'q32 '!$L$19)</f>
        <v>0.1</v>
      </c>
      <c r="M75" s="512">
        <f>+L74-B74</f>
        <v>220</v>
      </c>
    </row>
    <row r="76" spans="1:21">
      <c r="A76" s="500" t="s">
        <v>421</v>
      </c>
      <c r="B76" s="504">
        <f>(+'q32 '!$B$20)</f>
        <v>5.46</v>
      </c>
      <c r="C76" s="504">
        <f>(+'q32 '!$C$20)</f>
        <v>5.01</v>
      </c>
      <c r="D76" s="504">
        <f>(+'q32 '!$D$20)</f>
        <v>4.99</v>
      </c>
      <c r="E76" s="504">
        <f>(+'q32 '!$E$20)</f>
        <v>4.38</v>
      </c>
      <c r="F76" s="504">
        <f>(+'q32 '!$F$20)</f>
        <v>0.1</v>
      </c>
      <c r="G76" s="504">
        <f>(+'q32 '!$G$20)</f>
        <v>0.08</v>
      </c>
      <c r="H76" s="504">
        <f>(+'q32 '!$H$20)</f>
        <v>0.09</v>
      </c>
      <c r="I76" s="504">
        <f>(+'q32 '!$I$20)</f>
        <v>7.0000000000000007E-2</v>
      </c>
      <c r="J76" s="504">
        <f>(+'q32 '!$J$20)</f>
        <v>7.0000000000000007E-2</v>
      </c>
      <c r="K76" s="504">
        <f>(+'q32 '!$K$20)</f>
        <v>0.08</v>
      </c>
      <c r="L76" s="504">
        <f>(+'q32 '!$L$20)</f>
        <v>0.08</v>
      </c>
    </row>
    <row r="77" spans="1:21">
      <c r="A77" s="500" t="s">
        <v>422</v>
      </c>
      <c r="B77" s="504">
        <f>(+'q32 '!$B$21)</f>
        <v>10.09</v>
      </c>
      <c r="C77" s="504">
        <f>(+'q32 '!$C$21)</f>
        <v>8.8699999999999992</v>
      </c>
      <c r="D77" s="504">
        <f>(+'q32 '!$D$21)</f>
        <v>8.6999999999999993</v>
      </c>
      <c r="E77" s="504">
        <f>(+'q32 '!$E$21)</f>
        <v>7.59</v>
      </c>
      <c r="F77" s="504">
        <f>(+'q32 '!$F$21)</f>
        <v>0.28999999999999998</v>
      </c>
      <c r="G77" s="504">
        <f>(+'q32 '!$G$21)</f>
        <v>0.24</v>
      </c>
      <c r="H77" s="504">
        <f>(+'q32 '!$H$21)</f>
        <v>0.28000000000000003</v>
      </c>
      <c r="I77" s="504">
        <f>(+'q32 '!$I$21)</f>
        <v>0.21</v>
      </c>
      <c r="J77" s="504">
        <f>(+'q32 '!$J$21)</f>
        <v>0.15</v>
      </c>
      <c r="K77" s="504">
        <f>(+'q32 '!$K$21)</f>
        <v>0.15</v>
      </c>
      <c r="L77" s="504">
        <f>(+'q32 '!$L$21)</f>
        <v>0.13</v>
      </c>
    </row>
    <row r="78" spans="1:21">
      <c r="A78" s="500"/>
      <c r="C78" s="512"/>
      <c r="I78" s="560"/>
      <c r="M78" s="499" t="s">
        <v>762</v>
      </c>
      <c r="N78" s="499" t="s">
        <v>844</v>
      </c>
      <c r="Q78" s="500" t="s">
        <v>532</v>
      </c>
      <c r="R78" s="786" t="s">
        <v>762</v>
      </c>
      <c r="S78" s="786"/>
      <c r="T78" s="787" t="s">
        <v>763</v>
      </c>
      <c r="U78" s="787"/>
    </row>
    <row r="79" spans="1:21">
      <c r="A79" s="500"/>
      <c r="C79" s="527">
        <f t="shared" ref="C79:L79" si="6">+(C74/B74-1)*100</f>
        <v>0</v>
      </c>
      <c r="D79" s="527">
        <f t="shared" si="6"/>
        <v>4.1237113402061931</v>
      </c>
      <c r="E79" s="527">
        <f t="shared" si="6"/>
        <v>0</v>
      </c>
      <c r="F79" s="527">
        <f t="shared" si="6"/>
        <v>4.9504950495049549</v>
      </c>
      <c r="G79" s="527">
        <f t="shared" si="6"/>
        <v>5.0943396226415194</v>
      </c>
      <c r="H79" s="527">
        <f t="shared" si="6"/>
        <v>4.1292639138240661</v>
      </c>
      <c r="I79" s="527">
        <f t="shared" si="6"/>
        <v>3.4482758620689724</v>
      </c>
      <c r="J79" s="527">
        <f t="shared" si="6"/>
        <v>5.8333333333333348</v>
      </c>
      <c r="K79" s="527">
        <f t="shared" si="6"/>
        <v>4.7244094488188892</v>
      </c>
      <c r="L79" s="527">
        <f t="shared" si="6"/>
        <v>6.0150375939849621</v>
      </c>
      <c r="M79" s="630" t="str">
        <f>+IF((E74/B74-1)&gt;0,"+"&amp;TEXT((E74/B74-1),"##.###,0%"),TEXT((E74/B74-1),"##.###,0%"))</f>
        <v>+4,1%</v>
      </c>
      <c r="N79" s="630" t="str">
        <f>+IF((L74/E74-1)&gt;0,"+"&amp;TEXT((L74/E74-1),"##.###,0%"),TEXT((L74/E74-1),"##.###,0%"))</f>
        <v>+39,6%</v>
      </c>
      <c r="Q79" s="500" t="s">
        <v>45</v>
      </c>
      <c r="R79" s="633">
        <f>(LARGE($B$75:$E$75,1))</f>
        <v>7.59</v>
      </c>
      <c r="S79" s="633">
        <f>(SMALL($B$75:$E$75,1))</f>
        <v>5.86</v>
      </c>
      <c r="T79" s="633">
        <f>(LARGE($F$75:$L$75,1))</f>
        <v>0.19</v>
      </c>
      <c r="U79" s="633">
        <f>(SMALL($F$75:$L$75,1))</f>
        <v>0.1</v>
      </c>
    </row>
    <row r="80" spans="1:21">
      <c r="A80" s="500"/>
      <c r="C80" s="512"/>
      <c r="I80" s="560"/>
      <c r="M80" s="630" t="str">
        <f>+IF((F74/B74-1)&gt;0,"+"&amp;TEXT((F74/B74-1),"##.###,0%"),TEXT((F74/B74-1),"##.###,0%"))</f>
        <v>+9,3%</v>
      </c>
      <c r="N80" s="630" t="str">
        <f>+IF((L74/F74-1)&gt;0,"+"&amp;TEXT((L74/F74-1),"##.###,0%"),TEXT((L74/F74-1),"##.###,0%"))</f>
        <v>+33,0%</v>
      </c>
      <c r="Q80" s="500" t="s">
        <v>53</v>
      </c>
      <c r="R80" s="633">
        <f>(LARGE($B$76:$E$76,1))</f>
        <v>5.46</v>
      </c>
      <c r="S80" s="633">
        <f>(SMALL($B$76:$E$76,1))</f>
        <v>4.38</v>
      </c>
      <c r="T80" s="633">
        <f>(LARGE($F$76:$L$76,1))</f>
        <v>0.1</v>
      </c>
      <c r="U80" s="633">
        <f>(SMALL($F$76:$L$76,1))</f>
        <v>7.0000000000000007E-2</v>
      </c>
    </row>
    <row r="81" spans="1:21">
      <c r="A81" s="500"/>
      <c r="B81" s="512">
        <f t="shared" ref="B81:L81" si="7">+B73-B74</f>
        <v>38.629999999999995</v>
      </c>
      <c r="C81" s="512">
        <f t="shared" si="7"/>
        <v>39.659999999999968</v>
      </c>
      <c r="D81" s="512">
        <f t="shared" si="7"/>
        <v>21.690000000000055</v>
      </c>
      <c r="E81" s="512">
        <f t="shared" si="7"/>
        <v>28.330000000000041</v>
      </c>
      <c r="F81" s="632">
        <f t="shared" si="7"/>
        <v>18.629999999999995</v>
      </c>
      <c r="G81" s="675">
        <f t="shared" si="7"/>
        <v>12.870000000000005</v>
      </c>
      <c r="H81" s="675">
        <f t="shared" si="7"/>
        <v>14.669999999999959</v>
      </c>
      <c r="I81" s="512">
        <f t="shared" si="7"/>
        <v>17.42999999999995</v>
      </c>
      <c r="J81" s="512">
        <f t="shared" si="7"/>
        <v>6.4700000000000273</v>
      </c>
      <c r="K81" s="512">
        <f t="shared" si="7"/>
        <v>13.330000000000041</v>
      </c>
      <c r="L81" s="512">
        <f t="shared" si="7"/>
        <v>28.450000000000045</v>
      </c>
      <c r="M81" s="499" t="s">
        <v>843</v>
      </c>
      <c r="N81" s="499" t="s">
        <v>763</v>
      </c>
      <c r="Q81" s="500" t="s">
        <v>54</v>
      </c>
      <c r="R81" s="633">
        <f>(LARGE($B$77:$E$77,1))</f>
        <v>10.09</v>
      </c>
      <c r="S81" s="633">
        <f>(SMALL($B$77:$E$77,1))</f>
        <v>7.59</v>
      </c>
      <c r="T81" s="633">
        <f>(LARGE($F$77:$L$77,1))</f>
        <v>0.28999999999999998</v>
      </c>
      <c r="U81" s="633">
        <f>(SMALL($F$77:$L$77,1))</f>
        <v>0.13</v>
      </c>
    </row>
    <row r="82" spans="1:21">
      <c r="A82" s="500"/>
      <c r="C82" s="512"/>
      <c r="F82" s="521" t="s">
        <v>531</v>
      </c>
      <c r="G82" s="513"/>
      <c r="I82" s="560"/>
    </row>
    <row r="83" spans="1:21">
      <c r="A83" s="500"/>
      <c r="C83" s="512"/>
      <c r="I83" s="560"/>
      <c r="M83" s="629" t="s">
        <v>530</v>
      </c>
    </row>
    <row r="84" spans="1:21">
      <c r="A84" s="500"/>
      <c r="C84" s="512"/>
      <c r="I84" s="560"/>
    </row>
    <row r="85" spans="1:21">
      <c r="A85" s="500"/>
      <c r="C85" s="512"/>
      <c r="I85" s="560"/>
    </row>
    <row r="86" spans="1:21">
      <c r="A86" s="500"/>
      <c r="C86" s="512"/>
      <c r="I86" s="560"/>
    </row>
    <row r="87" spans="1:21">
      <c r="A87" s="500"/>
      <c r="C87" s="512"/>
      <c r="I87" s="560"/>
    </row>
    <row r="88" spans="1:21">
      <c r="A88" s="500"/>
      <c r="C88" s="512"/>
      <c r="I88" s="560"/>
    </row>
    <row r="89" spans="1:21">
      <c r="A89" s="500"/>
      <c r="C89" s="512"/>
      <c r="I89" s="560"/>
    </row>
    <row r="90" spans="1:21">
      <c r="A90" s="500"/>
      <c r="C90" s="512"/>
      <c r="I90" s="560"/>
    </row>
    <row r="91" spans="1:21">
      <c r="A91" s="500"/>
      <c r="C91" s="512"/>
      <c r="I91" s="560"/>
    </row>
    <row r="92" spans="1:21">
      <c r="A92" s="500"/>
      <c r="C92" s="512"/>
      <c r="I92" s="560"/>
    </row>
    <row r="93" spans="1:21">
      <c r="A93" s="500"/>
      <c r="C93" s="512"/>
      <c r="I93" s="560"/>
    </row>
    <row r="94" spans="1:21">
      <c r="A94" s="500"/>
      <c r="C94" s="512"/>
      <c r="I94" s="560"/>
    </row>
    <row r="95" spans="1:21">
      <c r="A95" s="500"/>
      <c r="C95" s="512"/>
      <c r="I95" s="560"/>
    </row>
    <row r="96" spans="1:21">
      <c r="A96" s="500"/>
      <c r="C96" s="512"/>
      <c r="I96" s="560"/>
    </row>
    <row r="97" spans="1:3">
      <c r="A97" s="500"/>
      <c r="C97" s="512"/>
    </row>
    <row r="98" spans="1:3">
      <c r="A98" s="500"/>
      <c r="C98" s="512"/>
    </row>
    <row r="99" spans="1:3">
      <c r="A99" s="500"/>
      <c r="C99" s="512"/>
    </row>
    <row r="100" spans="1:3">
      <c r="A100" s="500"/>
      <c r="C100" s="512"/>
    </row>
    <row r="101" spans="1:3">
      <c r="A101" s="500"/>
      <c r="C101" s="512"/>
    </row>
    <row r="102" spans="1:3">
      <c r="A102" s="500"/>
      <c r="C102" s="512"/>
    </row>
    <row r="103" spans="1:3">
      <c r="A103" s="500"/>
      <c r="C103" s="512"/>
    </row>
    <row r="104" spans="1:3">
      <c r="A104" s="500"/>
      <c r="C104" s="512"/>
    </row>
    <row r="105" spans="1:3">
      <c r="A105" s="500"/>
      <c r="C105" s="512"/>
    </row>
    <row r="106" spans="1:3">
      <c r="A106" s="500"/>
      <c r="C106" s="512"/>
    </row>
    <row r="107" spans="1:3">
      <c r="A107" s="500"/>
      <c r="C107" s="512"/>
    </row>
    <row r="108" spans="1:3">
      <c r="A108" s="500"/>
      <c r="C108" s="512"/>
    </row>
    <row r="109" spans="1:3">
      <c r="A109" s="500"/>
      <c r="C109" s="512"/>
    </row>
    <row r="110" spans="1:3">
      <c r="A110" s="500"/>
      <c r="C110" s="512"/>
    </row>
    <row r="111" spans="1:3">
      <c r="A111" s="500"/>
      <c r="C111" s="512"/>
    </row>
    <row r="112" spans="1:3">
      <c r="A112" s="500"/>
      <c r="C112" s="512"/>
    </row>
    <row r="113" spans="1:3">
      <c r="A113" s="500"/>
      <c r="C113" s="512"/>
    </row>
    <row r="114" spans="1:3">
      <c r="A114" s="500"/>
      <c r="C114" s="512"/>
    </row>
    <row r="115" spans="1:3">
      <c r="A115" s="500"/>
      <c r="C115" s="512"/>
    </row>
    <row r="116" spans="1:3">
      <c r="A116" s="500"/>
      <c r="C116" s="512"/>
    </row>
    <row r="117" spans="1:3">
      <c r="A117" s="500"/>
      <c r="C117" s="512"/>
    </row>
    <row r="118" spans="1:3">
      <c r="A118" s="500"/>
      <c r="C118" s="512"/>
    </row>
    <row r="119" spans="1:3">
      <c r="A119" s="500"/>
      <c r="C119" s="512"/>
    </row>
    <row r="120" spans="1:3">
      <c r="A120" s="500"/>
      <c r="C120" s="512"/>
    </row>
    <row r="121" spans="1:3">
      <c r="A121" s="500"/>
      <c r="C121" s="512"/>
    </row>
    <row r="122" spans="1:3">
      <c r="A122" s="500"/>
      <c r="C122" s="512"/>
    </row>
    <row r="123" spans="1:3">
      <c r="A123" s="500"/>
      <c r="C123" s="512"/>
    </row>
    <row r="124" spans="1:3">
      <c r="A124" s="500"/>
      <c r="C124" s="512"/>
    </row>
    <row r="125" spans="1:3">
      <c r="A125" s="500"/>
      <c r="C125" s="512"/>
    </row>
    <row r="126" spans="1:3">
      <c r="A126" s="500"/>
      <c r="C126" s="512"/>
    </row>
    <row r="127" spans="1:3">
      <c r="A127" s="500"/>
      <c r="C127" s="512"/>
    </row>
    <row r="128" spans="1:3">
      <c r="A128" s="500"/>
      <c r="C128" s="512"/>
    </row>
    <row r="129" spans="1:3">
      <c r="A129" s="500"/>
      <c r="C129" s="512"/>
    </row>
    <row r="130" spans="1:3">
      <c r="A130" s="500"/>
      <c r="C130" s="512"/>
    </row>
    <row r="131" spans="1:3">
      <c r="A131" s="500"/>
      <c r="C131" s="512"/>
    </row>
    <row r="132" spans="1:3">
      <c r="A132" s="500"/>
      <c r="C132" s="512"/>
    </row>
    <row r="133" spans="1:3">
      <c r="A133" s="500"/>
      <c r="C133" s="512"/>
    </row>
    <row r="134" spans="1:3">
      <c r="A134" s="500"/>
      <c r="C134" s="512"/>
    </row>
    <row r="135" spans="1:3">
      <c r="A135" s="500"/>
      <c r="C135" s="512"/>
    </row>
    <row r="136" spans="1:3">
      <c r="A136" s="500"/>
      <c r="C136" s="512"/>
    </row>
    <row r="137" spans="1:3">
      <c r="A137" s="500"/>
      <c r="C137" s="512"/>
    </row>
    <row r="138" spans="1:3">
      <c r="A138" s="500"/>
      <c r="C138" s="512"/>
    </row>
    <row r="139" spans="1:3">
      <c r="A139" s="500"/>
      <c r="C139" s="512"/>
    </row>
    <row r="140" spans="1:3">
      <c r="A140" s="500"/>
      <c r="C140" s="512"/>
    </row>
    <row r="141" spans="1:3">
      <c r="A141" s="500"/>
      <c r="C141" s="512"/>
    </row>
    <row r="142" spans="1:3">
      <c r="A142" s="500"/>
      <c r="C142" s="512"/>
    </row>
    <row r="143" spans="1:3">
      <c r="A143" s="500"/>
      <c r="C143" s="512"/>
    </row>
    <row r="144" spans="1:3">
      <c r="A144" s="500"/>
      <c r="C144" s="512"/>
    </row>
    <row r="145" spans="1:3">
      <c r="A145" s="500"/>
      <c r="C145" s="512"/>
    </row>
    <row r="146" spans="1:3">
      <c r="A146" s="500"/>
      <c r="C146" s="512"/>
    </row>
    <row r="147" spans="1:3">
      <c r="A147" s="500"/>
      <c r="C147" s="512"/>
    </row>
    <row r="148" spans="1:3">
      <c r="A148" s="500"/>
      <c r="C148" s="512"/>
    </row>
    <row r="149" spans="1:3">
      <c r="A149" s="500"/>
      <c r="C149" s="512"/>
    </row>
    <row r="150" spans="1:3">
      <c r="A150" s="500"/>
      <c r="C150" s="512"/>
    </row>
    <row r="151" spans="1:3">
      <c r="A151" s="500"/>
      <c r="C151" s="512"/>
    </row>
    <row r="152" spans="1:3">
      <c r="A152" s="500"/>
      <c r="C152" s="512"/>
    </row>
    <row r="153" spans="1:3">
      <c r="A153" s="500"/>
      <c r="C153" s="512"/>
    </row>
    <row r="154" spans="1:3">
      <c r="A154" s="500"/>
      <c r="C154" s="512"/>
    </row>
    <row r="155" spans="1:3">
      <c r="A155" s="500"/>
      <c r="C155" s="512"/>
    </row>
  </sheetData>
  <mergeCells count="6">
    <mergeCell ref="M26:M28"/>
    <mergeCell ref="M41:M42"/>
    <mergeCell ref="R78:S78"/>
    <mergeCell ref="T78:U78"/>
    <mergeCell ref="AC51:AK52"/>
    <mergeCell ref="AC33:AP49"/>
  </mergeCells>
  <pageMargins left="0.7" right="0.7" top="0.75" bottom="0.75" header="0.3" footer="0.3"/>
  <pageSetup paperSize="9" orientation="portrait"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E6601-5AE3-449C-8519-74811208F932}">
  <sheetPr codeName="Folha81"/>
  <dimension ref="A2:O179"/>
  <sheetViews>
    <sheetView showGridLines="0" topLeftCell="A4" workbookViewId="0">
      <selection sqref="A1:L1"/>
    </sheetView>
  </sheetViews>
  <sheetFormatPr defaultRowHeight="12.75"/>
  <cols>
    <col min="1" max="1" width="49.140625" customWidth="1"/>
    <col min="3" max="3" width="35.5703125" customWidth="1"/>
    <col min="4" max="4" width="57.28515625" bestFit="1" customWidth="1"/>
  </cols>
  <sheetData>
    <row r="2" spans="1:15">
      <c r="A2" s="456" t="s">
        <v>225</v>
      </c>
    </row>
    <row r="3" spans="1:15" s="457" customFormat="1">
      <c r="B3" s="457">
        <f>+'q1'!$C$4</f>
        <v>2013</v>
      </c>
      <c r="C3" s="457">
        <f>+'q1'!$D$4</f>
        <v>2014</v>
      </c>
      <c r="D3" s="457">
        <f>+'q1'!$E$4</f>
        <v>2015</v>
      </c>
      <c r="E3" s="457">
        <f>+'q1'!$F$4</f>
        <v>2016</v>
      </c>
      <c r="F3" s="457">
        <f>+'q1'!$G$4</f>
        <v>2017</v>
      </c>
      <c r="G3" s="457">
        <f>+'q1'!$H$4</f>
        <v>2018</v>
      </c>
      <c r="H3" s="457">
        <f>+'q1'!$I$4</f>
        <v>2019</v>
      </c>
      <c r="I3" s="457">
        <f>+'q1'!$J$4</f>
        <v>2020</v>
      </c>
      <c r="J3" s="457">
        <f>+'q1'!$K$4</f>
        <v>2021</v>
      </c>
      <c r="K3" s="457">
        <f>+'q1'!$L$4</f>
        <v>2022</v>
      </c>
      <c r="L3" s="457">
        <f>+'q1'!$M$4</f>
        <v>2023</v>
      </c>
    </row>
    <row r="4" spans="1:15">
      <c r="A4" s="456" t="s">
        <v>222</v>
      </c>
      <c r="B4">
        <f>+'q1'!$C$5</f>
        <v>265860</v>
      </c>
      <c r="C4">
        <f>+'q1'!$D$5</f>
        <v>270181</v>
      </c>
      <c r="D4">
        <f>+'q1'!$E$5</f>
        <v>273060</v>
      </c>
      <c r="E4">
        <f>+'q1'!$F$5</f>
        <v>276332</v>
      </c>
      <c r="F4">
        <f>+'q1'!$G$5</f>
        <v>279191</v>
      </c>
      <c r="G4">
        <f>+'q1'!$H$5</f>
        <v>282236</v>
      </c>
      <c r="H4">
        <f>+'q1'!$I$5</f>
        <v>275751</v>
      </c>
      <c r="I4">
        <f>+'q1'!$J$5</f>
        <v>277641</v>
      </c>
      <c r="J4">
        <f>+'q1'!$K$5</f>
        <v>271806</v>
      </c>
      <c r="K4">
        <f>+'q1'!$L$5</f>
        <v>284860</v>
      </c>
      <c r="L4">
        <f>+'q1'!$M$5</f>
        <v>291252</v>
      </c>
    </row>
    <row r="5" spans="1:15">
      <c r="A5" s="456" t="s">
        <v>223</v>
      </c>
      <c r="B5">
        <f>+'q5'!$C$5</f>
        <v>315112</v>
      </c>
      <c r="C5">
        <f>+'q5'!$D$5</f>
        <v>318886</v>
      </c>
      <c r="D5">
        <f>+'q5'!$E$5</f>
        <v>321500</v>
      </c>
      <c r="E5">
        <f>+'q5'!$F$5</f>
        <v>324933</v>
      </c>
      <c r="F5">
        <f>+'q5'!$G$5</f>
        <v>327295</v>
      </c>
      <c r="G5">
        <f>+'q5'!$H$5</f>
        <v>330668</v>
      </c>
      <c r="H5">
        <f>+'q5'!$I$5</f>
        <v>322978</v>
      </c>
      <c r="I5">
        <f>+'q5'!$J$5</f>
        <v>324959</v>
      </c>
      <c r="J5">
        <f>+'q5'!$K$5</f>
        <v>318254</v>
      </c>
      <c r="K5">
        <f>+'q5'!$L$5</f>
        <v>332683</v>
      </c>
      <c r="L5">
        <f>+'q5'!$M$5</f>
        <v>340364</v>
      </c>
    </row>
    <row r="6" spans="1:15">
      <c r="A6" s="456" t="s">
        <v>224</v>
      </c>
      <c r="B6">
        <f>+'q9'!$C$5</f>
        <v>2555676</v>
      </c>
      <c r="C6">
        <f>+'q9'!$D$5</f>
        <v>2636881</v>
      </c>
      <c r="D6">
        <f>+'q9'!$E$5</f>
        <v>2716011</v>
      </c>
      <c r="E6">
        <f>+'q9'!$F$5</f>
        <v>2819978</v>
      </c>
      <c r="F6">
        <f>+'q9'!$G$5</f>
        <v>2946903</v>
      </c>
      <c r="G6">
        <f>+'q9'!$H$5</f>
        <v>3060489</v>
      </c>
      <c r="H6">
        <f>+'q9'!$I$5</f>
        <v>3110949</v>
      </c>
      <c r="I6">
        <f>+'q9'!$J$5</f>
        <v>3085566</v>
      </c>
      <c r="J6">
        <f>+'q9'!$K$5</f>
        <v>3102345</v>
      </c>
      <c r="K6">
        <f>+'q9'!$L$5</f>
        <v>3337082</v>
      </c>
      <c r="L6">
        <f>+'q9'!$M$5</f>
        <v>3489583</v>
      </c>
    </row>
    <row r="7" spans="1:15">
      <c r="A7" s="456" t="s">
        <v>185</v>
      </c>
      <c r="B7">
        <f>+'q13'!$C$5</f>
        <v>2384121</v>
      </c>
      <c r="C7">
        <f>+'q13'!$D$5</f>
        <v>2458163</v>
      </c>
      <c r="D7">
        <f>+'q13'!$E$5</f>
        <v>2537653</v>
      </c>
      <c r="E7">
        <f>+'q13'!$F$5</f>
        <v>2641919</v>
      </c>
      <c r="F7">
        <f>+'q13'!$G$5</f>
        <v>2767521</v>
      </c>
      <c r="G7">
        <f>+'q13'!$H$5</f>
        <v>2877918</v>
      </c>
      <c r="H7">
        <f>+'q13'!$I$5</f>
        <v>2930482</v>
      </c>
      <c r="I7">
        <f>+'q13'!$J$5</f>
        <v>2902825</v>
      </c>
      <c r="J7">
        <f>+'q13'!$K$5</f>
        <v>2922343</v>
      </c>
      <c r="K7">
        <f>+'q13'!$L$5</f>
        <v>3148147</v>
      </c>
      <c r="L7">
        <f>+'q13'!$M$5</f>
        <v>3296134</v>
      </c>
    </row>
    <row r="9" spans="1:15">
      <c r="A9" s="457" t="s">
        <v>105</v>
      </c>
    </row>
    <row r="10" spans="1:15">
      <c r="A10" s="457" t="s">
        <v>630</v>
      </c>
    </row>
    <row r="11" spans="1:15">
      <c r="A11" s="457" t="s">
        <v>767</v>
      </c>
    </row>
    <row r="12" spans="1:15">
      <c r="A12" s="457" t="s">
        <v>645</v>
      </c>
    </row>
    <row r="13" spans="1:15">
      <c r="A13" s="457" t="s">
        <v>210</v>
      </c>
      <c r="E13" s="457"/>
      <c r="F13" s="457"/>
      <c r="G13" s="457"/>
      <c r="H13" s="457"/>
      <c r="I13" s="457"/>
      <c r="J13" s="457"/>
      <c r="K13" s="457"/>
      <c r="L13" s="457"/>
      <c r="M13" s="457"/>
      <c r="N13" s="457"/>
      <c r="O13" s="457"/>
    </row>
    <row r="14" spans="1:15">
      <c r="A14" t="str">
        <f>B14&amp;" - "&amp;Aux!D14</f>
        <v xml:space="preserve">A - Agricultura, produção animal, caça, floresta e pesca </v>
      </c>
      <c r="B14" t="str">
        <f>+'q1'!A6</f>
        <v>A</v>
      </c>
      <c r="C14" t="str">
        <f>+'q1'!B6</f>
        <v>Agr., pr. animal, caça, flor. pesca</v>
      </c>
      <c r="D14" t="s">
        <v>213</v>
      </c>
    </row>
    <row r="15" spans="1:15">
      <c r="A15" t="str">
        <f>B15&amp;" - "&amp;Aux!D15</f>
        <v>B - Indústrias extrativas</v>
      </c>
      <c r="B15" t="str">
        <f>+'q1'!A7</f>
        <v>B</v>
      </c>
      <c r="C15" t="str">
        <f>+'q1'!B7</f>
        <v>Indústrias extrativas</v>
      </c>
      <c r="D15" s="456" t="s">
        <v>102</v>
      </c>
    </row>
    <row r="16" spans="1:15">
      <c r="A16" t="str">
        <f>B16&amp;" - "&amp;Aux!D16</f>
        <v>C - Ind. transf.</v>
      </c>
      <c r="B16" t="str">
        <f>+'q1'!A8</f>
        <v>C</v>
      </c>
      <c r="C16" t="str">
        <f>+'q1'!B8</f>
        <v>Indústrias transformadoras</v>
      </c>
      <c r="D16" s="456" t="s">
        <v>838</v>
      </c>
    </row>
    <row r="17" spans="1:4">
      <c r="A17" t="str">
        <f>B17&amp;" - "&amp;Aux!D17</f>
        <v>D - Eletricidade, gás, vapor, água quente e fria e ar frio</v>
      </c>
      <c r="B17" t="str">
        <f>+'q1'!A33</f>
        <v>D</v>
      </c>
      <c r="C17" t="str">
        <f>+'q1'!B33</f>
        <v>Eletr., gás, ág. quente/fria e ar frio</v>
      </c>
      <c r="D17" s="456" t="s">
        <v>214</v>
      </c>
    </row>
    <row r="18" spans="1:4">
      <c r="A18" t="str">
        <f>B18&amp;" - "&amp;Aux!D18</f>
        <v>E - Captação, trat. e dist. água; saneam., gest. resíduos e desp.</v>
      </c>
      <c r="B18" t="str">
        <f>+'q1'!A34</f>
        <v>E</v>
      </c>
      <c r="C18" t="str">
        <f>+'q1'!B34</f>
        <v>Capt., trat. e d. água; san., resíd.</v>
      </c>
      <c r="D18" t="s">
        <v>215</v>
      </c>
    </row>
    <row r="19" spans="1:4">
      <c r="A19" t="str">
        <f>B19&amp;" - "&amp;Aux!D19</f>
        <v>F - Construção</v>
      </c>
      <c r="B19" t="str">
        <f>+'q1'!A35</f>
        <v>F</v>
      </c>
      <c r="C19" t="str">
        <f>+'q1'!B35</f>
        <v>Construção</v>
      </c>
      <c r="D19" t="s">
        <v>79</v>
      </c>
    </row>
    <row r="20" spans="1:4">
      <c r="A20" t="str">
        <f>B20&amp;" - "&amp;Aux!D20</f>
        <v>G - Com. por grosso e ret. (…)</v>
      </c>
      <c r="B20" t="str">
        <f>+'q1'!A36</f>
        <v>G</v>
      </c>
      <c r="C20" t="str">
        <f>+'q1'!B36</f>
        <v>Com. grosso e ret.; r.v.aut./moto.</v>
      </c>
      <c r="D20" s="456" t="s">
        <v>839</v>
      </c>
    </row>
    <row r="21" spans="1:4">
      <c r="A21" t="str">
        <f>B21&amp;" - "&amp;Aux!D21</f>
        <v>H - Transportes e armazenagem</v>
      </c>
      <c r="B21" t="str">
        <f>+'q1'!A37</f>
        <v>H</v>
      </c>
      <c r="C21" t="str">
        <f>+'q1'!B37</f>
        <v>Transportes e armazenagem</v>
      </c>
      <c r="D21" t="s">
        <v>93</v>
      </c>
    </row>
    <row r="22" spans="1:4">
      <c r="A22" t="str">
        <f>B22&amp;" - "&amp;Aux!D22</f>
        <v>I - Alojamento, rest. e sim.</v>
      </c>
      <c r="B22" t="str">
        <f>+'q1'!A38</f>
        <v>I</v>
      </c>
      <c r="C22" t="str">
        <f>+'q1'!B38</f>
        <v>Alojamento, restauração e sim.</v>
      </c>
      <c r="D22" s="456" t="s">
        <v>541</v>
      </c>
    </row>
    <row r="23" spans="1:4">
      <c r="A23" t="str">
        <f>B23&amp;" - "&amp;Aux!D23</f>
        <v>J - Atividades de informação e de comunicação</v>
      </c>
      <c r="B23" t="str">
        <f>+'q1'!A39</f>
        <v>J</v>
      </c>
      <c r="C23" t="str">
        <f>+'q1'!B39</f>
        <v xml:space="preserve">Ativ. Inform. e de comunicação </v>
      </c>
      <c r="D23" t="s">
        <v>216</v>
      </c>
    </row>
    <row r="24" spans="1:4">
      <c r="A24" t="str">
        <f>B24&amp;" - "&amp;Aux!D24</f>
        <v>K - Atividades financeiras e de seguros</v>
      </c>
      <c r="B24" t="str">
        <f>+'q1'!A40</f>
        <v>K</v>
      </c>
      <c r="C24" t="str">
        <f>+'q1'!B40</f>
        <v>Ativ. financeiras e de seguros</v>
      </c>
      <c r="D24" s="456" t="s">
        <v>217</v>
      </c>
    </row>
    <row r="25" spans="1:4">
      <c r="A25" t="str">
        <f>B25&amp;" - "&amp;Aux!D25</f>
        <v>L - Atividades imobiliárias</v>
      </c>
      <c r="B25" t="str">
        <f>+'q1'!A41</f>
        <v>L</v>
      </c>
      <c r="C25" t="str">
        <f>+'q1'!B41</f>
        <v>Atividades imobiliárias</v>
      </c>
      <c r="D25" t="s">
        <v>103</v>
      </c>
    </row>
    <row r="26" spans="1:4">
      <c r="A26" t="str">
        <f>B26&amp;" - "&amp;Aux!D26</f>
        <v>M - Atividades de consultoria, científicas, técnicas e similares</v>
      </c>
      <c r="B26" t="str">
        <f>+'q1'!A42</f>
        <v>M</v>
      </c>
      <c r="C26" t="str">
        <f>+'q1'!B42</f>
        <v>Ativ. consultoria, cient.,téc. e sim.</v>
      </c>
      <c r="D26" t="s">
        <v>218</v>
      </c>
    </row>
    <row r="27" spans="1:4">
      <c r="A27" t="str">
        <f>B27&amp;" - "&amp;Aux!D27</f>
        <v>N - Ativ. Admin. e dos serv. apoio</v>
      </c>
      <c r="B27" t="str">
        <f>+'q1'!A43</f>
        <v>N</v>
      </c>
      <c r="C27" t="str">
        <f>+'q1'!B43</f>
        <v>Ativ. Adm. e serviços de apoio</v>
      </c>
      <c r="D27" s="456" t="s">
        <v>841</v>
      </c>
    </row>
    <row r="28" spans="1:4">
      <c r="A28" t="str">
        <f>B28&amp;" - "&amp;Aux!D28</f>
        <v>O - Administração pública e defesa; segurança social obrigatória</v>
      </c>
      <c r="B28" t="str">
        <f>+'q1'!A44</f>
        <v>O</v>
      </c>
      <c r="C28" t="str">
        <f>+'q1'!B44</f>
        <v xml:space="preserve">Adm. Púb. e defesa; seg. social </v>
      </c>
      <c r="D28" t="s">
        <v>219</v>
      </c>
    </row>
    <row r="29" spans="1:4">
      <c r="A29" t="str">
        <f>B29&amp;" - "&amp;Aux!D29</f>
        <v>P - Educação</v>
      </c>
      <c r="B29" t="str">
        <f>+'q1'!A45</f>
        <v>P</v>
      </c>
      <c r="C29" t="str">
        <f>+'q1'!B45</f>
        <v>Educação</v>
      </c>
      <c r="D29" t="s">
        <v>84</v>
      </c>
    </row>
    <row r="30" spans="1:4">
      <c r="A30" t="str">
        <f>B30&amp;" - "&amp;Aux!D30</f>
        <v>Q - Ativ. de saúde humana e apoio social</v>
      </c>
      <c r="B30" t="str">
        <f>+'q1'!A46</f>
        <v>Q</v>
      </c>
      <c r="C30" t="str">
        <f>+'q1'!B46</f>
        <v>Ativ. saúde humana e apoio social</v>
      </c>
      <c r="D30" s="456" t="s">
        <v>494</v>
      </c>
    </row>
    <row r="31" spans="1:4">
      <c r="A31" t="str">
        <f>B31&amp;" - "&amp;Aux!D31</f>
        <v>R - Atividades artísticas, de espectáculos, desp. e recreativas</v>
      </c>
      <c r="B31" t="str">
        <f>+'q1'!A47</f>
        <v>R</v>
      </c>
      <c r="C31" t="str">
        <f>+'q1'!B47</f>
        <v>Ativ. artíst., espet., desp. e recr.</v>
      </c>
      <c r="D31" t="s">
        <v>220</v>
      </c>
    </row>
    <row r="32" spans="1:4">
      <c r="A32" t="str">
        <f>B32&amp;" - "&amp;Aux!D32</f>
        <v>S - Outras atividades de serviços</v>
      </c>
      <c r="B32" t="str">
        <f>+'q1'!A48</f>
        <v>S</v>
      </c>
      <c r="C32" t="str">
        <f>+'q1'!B48</f>
        <v>Outras atividades de serviços</v>
      </c>
      <c r="D32" t="s">
        <v>104</v>
      </c>
    </row>
    <row r="33" spans="1:6">
      <c r="A33" t="str">
        <f>B33&amp;" - "&amp;Aux!D33</f>
        <v>U - Ativ. org. interna. e outras instituições extra-territoriais</v>
      </c>
      <c r="B33" t="str">
        <f>+'q1'!A49</f>
        <v>U</v>
      </c>
      <c r="C33" t="str">
        <f>+'q1'!B49</f>
        <v>Ativ. org. int. e o. inst. extra-territ.</v>
      </c>
      <c r="D33" t="s">
        <v>221</v>
      </c>
    </row>
    <row r="37" spans="1:6">
      <c r="A37" s="457" t="s">
        <v>192</v>
      </c>
    </row>
    <row r="38" spans="1:6">
      <c r="A38" s="457" t="s">
        <v>632</v>
      </c>
    </row>
    <row r="39" spans="1:6">
      <c r="A39" s="457" t="s">
        <v>642</v>
      </c>
    </row>
    <row r="40" spans="1:6">
      <c r="A40" s="457" t="s">
        <v>647</v>
      </c>
    </row>
    <row r="42" spans="1:6" ht="60">
      <c r="A42" s="458" t="s">
        <v>227</v>
      </c>
      <c r="B42" s="458" t="s">
        <v>228</v>
      </c>
      <c r="C42" s="460" t="s">
        <v>229</v>
      </c>
      <c r="D42" s="460" t="s">
        <v>275</v>
      </c>
      <c r="F42" s="459"/>
    </row>
    <row r="43" spans="1:6">
      <c r="A43" s="461" t="s">
        <v>230</v>
      </c>
      <c r="B43" s="462" t="s">
        <v>231</v>
      </c>
      <c r="C43" s="460" t="s">
        <v>232</v>
      </c>
      <c r="D43" s="460" t="s">
        <v>294</v>
      </c>
      <c r="F43" s="459"/>
    </row>
    <row r="44" spans="1:6">
      <c r="A44" s="461" t="s">
        <v>233</v>
      </c>
      <c r="B44" s="462" t="s">
        <v>234</v>
      </c>
      <c r="C44" s="460" t="s">
        <v>235</v>
      </c>
      <c r="D44" s="460" t="s">
        <v>276</v>
      </c>
      <c r="F44" s="459"/>
    </row>
    <row r="45" spans="1:6">
      <c r="A45" s="463" t="s">
        <v>236</v>
      </c>
      <c r="B45" s="462" t="s">
        <v>237</v>
      </c>
      <c r="C45" s="460" t="s">
        <v>238</v>
      </c>
      <c r="D45" s="460" t="s">
        <v>230</v>
      </c>
      <c r="F45" s="459"/>
    </row>
    <row r="46" spans="1:6">
      <c r="A46" s="463" t="s">
        <v>239</v>
      </c>
      <c r="B46" s="462" t="s">
        <v>240</v>
      </c>
      <c r="C46" s="460" t="s">
        <v>241</v>
      </c>
      <c r="D46" s="460" t="s">
        <v>241</v>
      </c>
      <c r="F46" s="459"/>
    </row>
    <row r="50" spans="1:2">
      <c r="A50" t="str">
        <f>+'q23'!B8</f>
        <v>T</v>
      </c>
      <c r="B50" s="457" t="str">
        <f>+A50&amp;"otal"</f>
        <v>Total</v>
      </c>
    </row>
    <row r="51" spans="1:2">
      <c r="A51" t="str">
        <f>+'q23'!B9</f>
        <v>H</v>
      </c>
      <c r="B51" s="457" t="str">
        <f>+A51&amp;"omens"</f>
        <v>Homens</v>
      </c>
    </row>
    <row r="52" spans="1:2">
      <c r="A52" t="str">
        <f>+'q23'!B10</f>
        <v>M</v>
      </c>
      <c r="B52" s="457" t="str">
        <f>+A52&amp;"ulheres"</f>
        <v>Mulheres</v>
      </c>
    </row>
    <row r="59" spans="1:2">
      <c r="A59" s="457" t="s">
        <v>195</v>
      </c>
    </row>
    <row r="60" spans="1:2">
      <c r="A60" s="457" t="s">
        <v>633</v>
      </c>
    </row>
    <row r="61" spans="1:2">
      <c r="A61" s="457" t="s">
        <v>643</v>
      </c>
    </row>
    <row r="62" spans="1:2">
      <c r="A62" s="457" t="s">
        <v>648</v>
      </c>
    </row>
    <row r="63" spans="1:2">
      <c r="A63" s="457" t="s">
        <v>242</v>
      </c>
    </row>
    <row r="64" spans="1:2">
      <c r="A64" t="str">
        <f>+'q3'!$A$6</f>
        <v>Aveiro</v>
      </c>
    </row>
    <row r="65" spans="1:1">
      <c r="A65" t="str">
        <f>+'q3'!$A$7</f>
        <v>Beja</v>
      </c>
    </row>
    <row r="66" spans="1:1">
      <c r="A66" t="str">
        <f>+'q3'!$A$8</f>
        <v>Braga</v>
      </c>
    </row>
    <row r="67" spans="1:1">
      <c r="A67" t="str">
        <f>+'q3'!$A$9</f>
        <v>Bragança</v>
      </c>
    </row>
    <row r="68" spans="1:1">
      <c r="A68" t="str">
        <f>+'q3'!$A$10</f>
        <v>Castelo Branco</v>
      </c>
    </row>
    <row r="69" spans="1:1">
      <c r="A69" t="str">
        <f>+'q3'!$A$11</f>
        <v>Coimbra</v>
      </c>
    </row>
    <row r="70" spans="1:1">
      <c r="A70" t="str">
        <f>+'q3'!$A$12</f>
        <v>Évora</v>
      </c>
    </row>
    <row r="71" spans="1:1">
      <c r="A71" t="str">
        <f>+'q3'!$A$13</f>
        <v>Faro</v>
      </c>
    </row>
    <row r="72" spans="1:1">
      <c r="A72" t="str">
        <f>+'q3'!$A$14</f>
        <v>Guarda</v>
      </c>
    </row>
    <row r="73" spans="1:1">
      <c r="A73" t="str">
        <f>+'q3'!$A$15</f>
        <v>Leiria</v>
      </c>
    </row>
    <row r="74" spans="1:1">
      <c r="A74" t="str">
        <f>+'q3'!$A$16</f>
        <v>Lisboa</v>
      </c>
    </row>
    <row r="75" spans="1:1">
      <c r="A75" t="str">
        <f>+'q3'!$A$17</f>
        <v>Portalegre</v>
      </c>
    </row>
    <row r="76" spans="1:1">
      <c r="A76" t="str">
        <f>+'q3'!$A$18</f>
        <v>Porto</v>
      </c>
    </row>
    <row r="77" spans="1:1">
      <c r="A77" t="str">
        <f>+'q3'!$A$19</f>
        <v>Santarém</v>
      </c>
    </row>
    <row r="78" spans="1:1">
      <c r="A78" t="str">
        <f>+'q3'!$A$20</f>
        <v>Setúbal</v>
      </c>
    </row>
    <row r="79" spans="1:1">
      <c r="A79" t="str">
        <f>+'q3'!$A$21</f>
        <v>Viana do Castelo</v>
      </c>
    </row>
    <row r="80" spans="1:1">
      <c r="A80" t="str">
        <f>+'q3'!$A$22</f>
        <v>Vila Real</v>
      </c>
    </row>
    <row r="81" spans="1:2">
      <c r="A81" t="str">
        <f>+'q3'!$A$23</f>
        <v>Viseu</v>
      </c>
    </row>
    <row r="84" spans="1:2">
      <c r="A84" s="457" t="s">
        <v>650</v>
      </c>
    </row>
    <row r="85" spans="1:2">
      <c r="A85" s="457" t="s">
        <v>719</v>
      </c>
    </row>
    <row r="86" spans="1:2">
      <c r="A86" s="457" t="s">
        <v>768</v>
      </c>
    </row>
    <row r="87" spans="1:2">
      <c r="A87" s="457" t="s">
        <v>371</v>
      </c>
    </row>
    <row r="88" spans="1:2">
      <c r="A88" s="456" t="str">
        <f>+'q17'!$A$8</f>
        <v>&lt; 18 anos</v>
      </c>
      <c r="B88" s="457" t="s">
        <v>55</v>
      </c>
    </row>
    <row r="89" spans="1:2">
      <c r="A89" s="456" t="str">
        <f>+'q17'!$A$11</f>
        <v>18-24 anos</v>
      </c>
      <c r="B89" s="457" t="s">
        <v>372</v>
      </c>
    </row>
    <row r="90" spans="1:2">
      <c r="A90" s="456" t="str">
        <f>+'q17'!$A$14</f>
        <v>25-29 anos</v>
      </c>
      <c r="B90" s="457" t="s">
        <v>373</v>
      </c>
    </row>
    <row r="91" spans="1:2">
      <c r="A91" s="456" t="str">
        <f>+'q17'!$A$17</f>
        <v>30-34 anos</v>
      </c>
      <c r="B91" s="457" t="s">
        <v>374</v>
      </c>
    </row>
    <row r="92" spans="1:2">
      <c r="A92" s="456" t="str">
        <f>+'q17'!$A$20</f>
        <v>35-39 anos</v>
      </c>
      <c r="B92" s="457" t="s">
        <v>375</v>
      </c>
    </row>
    <row r="93" spans="1:2">
      <c r="A93" s="456" t="str">
        <f>+'q17'!$A$23</f>
        <v>40-44 anos</v>
      </c>
      <c r="B93" s="457" t="s">
        <v>376</v>
      </c>
    </row>
    <row r="94" spans="1:2">
      <c r="A94" s="456" t="str">
        <f>+'q17'!$A$26</f>
        <v>45-49 anos</v>
      </c>
      <c r="B94" s="457" t="s">
        <v>65</v>
      </c>
    </row>
    <row r="95" spans="1:2">
      <c r="A95" s="456" t="str">
        <f>+'q17'!$A$29</f>
        <v>50-54 anos</v>
      </c>
      <c r="B95" s="457" t="s">
        <v>12</v>
      </c>
    </row>
    <row r="96" spans="1:2">
      <c r="A96" s="456" t="str">
        <f>+'q17'!$A$32</f>
        <v>55-59 anos</v>
      </c>
    </row>
    <row r="97" spans="1:3">
      <c r="A97" s="456" t="str">
        <f>+'q17'!$A$35</f>
        <v>60-64 anos</v>
      </c>
    </row>
    <row r="98" spans="1:3">
      <c r="A98" s="456" t="str">
        <f>+'q17'!$A$38</f>
        <v>65 e + anos</v>
      </c>
    </row>
    <row r="103" spans="1:3">
      <c r="A103" s="457" t="s">
        <v>651</v>
      </c>
    </row>
    <row r="104" spans="1:3">
      <c r="A104" s="457" t="s">
        <v>721</v>
      </c>
    </row>
    <row r="105" spans="1:3">
      <c r="A105" s="457" t="s">
        <v>745</v>
      </c>
    </row>
    <row r="107" spans="1:3">
      <c r="A107" s="40" t="str">
        <f>+'q18'!A8</f>
        <v>Quadros superiores</v>
      </c>
      <c r="B107" s="40" t="s">
        <v>48</v>
      </c>
    </row>
    <row r="108" spans="1:3">
      <c r="A108" s="40" t="str">
        <f>+'q18'!A11</f>
        <v>Quadros médios</v>
      </c>
      <c r="B108" s="40" t="s">
        <v>49</v>
      </c>
      <c r="C108" s="456"/>
    </row>
    <row r="109" spans="1:3">
      <c r="A109" s="40" t="str">
        <f>+'q18'!A14</f>
        <v>Encar. contram. mest.e chefes</v>
      </c>
      <c r="B109" s="40" t="s">
        <v>386</v>
      </c>
    </row>
    <row r="110" spans="1:3">
      <c r="A110" s="40" t="str">
        <f>+'q18'!A17</f>
        <v>Profis. altam. qualificados</v>
      </c>
      <c r="B110" s="40" t="s">
        <v>384</v>
      </c>
    </row>
    <row r="111" spans="1:3">
      <c r="A111" s="40" t="str">
        <f>+'q18'!A20</f>
        <v>Profissionais qualificados</v>
      </c>
      <c r="B111" s="40" t="s">
        <v>50</v>
      </c>
    </row>
    <row r="112" spans="1:3">
      <c r="A112" s="40" t="str">
        <f>+'q18'!A23</f>
        <v>Profis. semi-qualificados</v>
      </c>
      <c r="B112" s="40" t="s">
        <v>385</v>
      </c>
    </row>
    <row r="113" spans="1:3">
      <c r="A113" s="40" t="str">
        <f>+'q18'!A26</f>
        <v>Profissionais não qualificados</v>
      </c>
      <c r="B113" s="40" t="s">
        <v>51</v>
      </c>
    </row>
    <row r="114" spans="1:3">
      <c r="A114" s="40" t="str">
        <f>+'q18'!A29</f>
        <v>Praticantes e aprendizes</v>
      </c>
      <c r="B114" s="40" t="s">
        <v>52</v>
      </c>
    </row>
    <row r="115" spans="1:3">
      <c r="A115" s="456" t="s">
        <v>12</v>
      </c>
      <c r="B115" s="40" t="s">
        <v>12</v>
      </c>
      <c r="C115" s="456"/>
    </row>
    <row r="119" spans="1:3">
      <c r="A119" s="457" t="s">
        <v>749</v>
      </c>
    </row>
    <row r="121" spans="1:3">
      <c r="A121" s="337" t="str">
        <f>+'q40'!$A$10</f>
        <v>&lt;1.º ciclo do ensino básico</v>
      </c>
      <c r="B121" s="545" t="s">
        <v>390</v>
      </c>
    </row>
    <row r="122" spans="1:3">
      <c r="A122" s="337" t="str">
        <f>+'q40'!$A$15</f>
        <v>Ensino básico</v>
      </c>
      <c r="B122" s="545" t="s">
        <v>191</v>
      </c>
    </row>
    <row r="123" spans="1:3">
      <c r="A123" s="337" t="str">
        <f>+'q40'!$A$20</f>
        <v>Ensino secundário + pós sec. não superior nível IV</v>
      </c>
      <c r="B123" s="545" t="s">
        <v>196</v>
      </c>
    </row>
    <row r="124" spans="1:3">
      <c r="A124" s="337" t="str">
        <f>+'q40'!$A$25</f>
        <v>Ensino superior (2)</v>
      </c>
      <c r="B124" s="545" t="s">
        <v>391</v>
      </c>
    </row>
    <row r="125" spans="1:3">
      <c r="A125" s="337" t="str">
        <f>+'q40'!$A$30</f>
        <v>Ignorado</v>
      </c>
      <c r="B125" s="545" t="s">
        <v>13</v>
      </c>
    </row>
    <row r="126" spans="1:3">
      <c r="A126" s="337" t="str">
        <f>+'q40'!$A$5</f>
        <v>Total</v>
      </c>
      <c r="B126" s="545" t="s">
        <v>12</v>
      </c>
    </row>
    <row r="130" spans="1:2">
      <c r="A130" s="457" t="s">
        <v>769</v>
      </c>
    </row>
    <row r="131" spans="1:2">
      <c r="A131" s="457" t="s">
        <v>732</v>
      </c>
    </row>
    <row r="133" spans="1:2">
      <c r="A133" t="str">
        <f>+'q21'!$A$6</f>
        <v>&lt; RMMG</v>
      </c>
      <c r="B133" s="501" t="s">
        <v>118</v>
      </c>
    </row>
    <row r="134" spans="1:2">
      <c r="A134" t="str">
        <f>+'q21'!$A$7</f>
        <v xml:space="preserve"> = RMMG</v>
      </c>
      <c r="B134" s="501" t="s">
        <v>119</v>
      </c>
    </row>
    <row r="135" spans="1:2">
      <c r="A135" s="551" t="str">
        <f>+'q21'!$A$8</f>
        <v>&gt;RMMG e &lt;= 999,99 €</v>
      </c>
      <c r="B135" s="501" t="s">
        <v>707</v>
      </c>
    </row>
    <row r="136" spans="1:2">
      <c r="A136" t="str">
        <f>+'q21'!$A$9</f>
        <v>1 000,00 - 1 499,99  €</v>
      </c>
      <c r="B136" s="501" t="s">
        <v>176</v>
      </c>
    </row>
    <row r="137" spans="1:2">
      <c r="A137" t="str">
        <f>+'q21'!$A$10</f>
        <v>1 500,00 - 2 499,99  €</v>
      </c>
      <c r="B137" s="501" t="s">
        <v>177</v>
      </c>
    </row>
    <row r="138" spans="1:2">
      <c r="A138" t="str">
        <f>+'q21'!$A$11</f>
        <v>2 500,00 - 3 749,99  €</v>
      </c>
      <c r="B138" s="501" t="s">
        <v>178</v>
      </c>
    </row>
    <row r="139" spans="1:2">
      <c r="A139" t="str">
        <f>+'q21'!$A$12</f>
        <v>3 750,00 - 4 999,99 €</v>
      </c>
      <c r="B139" s="501" t="s">
        <v>179</v>
      </c>
    </row>
    <row r="140" spans="1:2">
      <c r="A140" t="str">
        <f>+'q21'!$A$13</f>
        <v>5 000,00 e +  Euros</v>
      </c>
      <c r="B140" s="501" t="s">
        <v>180</v>
      </c>
    </row>
    <row r="146" spans="1:2">
      <c r="A146" s="457" t="s">
        <v>770</v>
      </c>
    </row>
    <row r="147" spans="1:2">
      <c r="A147" s="457" t="s">
        <v>771</v>
      </c>
    </row>
    <row r="148" spans="1:2">
      <c r="A148" s="457" t="s">
        <v>772</v>
      </c>
    </row>
    <row r="150" spans="1:2">
      <c r="A150" s="456" t="str">
        <f>+'q20'!$A$5</f>
        <v>Total</v>
      </c>
      <c r="B150" t="s">
        <v>12</v>
      </c>
    </row>
    <row r="151" spans="1:2">
      <c r="A151" s="456" t="str">
        <f>+'q20'!$A$6</f>
        <v>Contrato Coletivo de Trabalho (CCT)</v>
      </c>
      <c r="B151" t="s">
        <v>203</v>
      </c>
    </row>
    <row r="152" spans="1:2">
      <c r="A152" s="456" t="str">
        <f>+'q20'!$A$7</f>
        <v>Acordo Coletivo de Trabalho (ACT)</v>
      </c>
      <c r="B152" t="s">
        <v>204</v>
      </c>
    </row>
    <row r="153" spans="1:2">
      <c r="A153" s="456" t="str">
        <f>+'q20'!$A$8</f>
        <v>Portaria de Cond. de Trabalho (PCT)(2)</v>
      </c>
      <c r="B153" s="456" t="s">
        <v>411</v>
      </c>
    </row>
    <row r="154" spans="1:2">
      <c r="A154" s="456" t="str">
        <f>+'q20'!$A$9</f>
        <v>Acordo de Empresa (AE)</v>
      </c>
      <c r="B154" t="s">
        <v>44</v>
      </c>
    </row>
    <row r="155" spans="1:2">
      <c r="A155" s="456" t="str">
        <f>+'q20'!$A$10</f>
        <v>Não Abrangidos por Reg. Coletiva</v>
      </c>
      <c r="B155" t="s">
        <v>205</v>
      </c>
    </row>
    <row r="158" spans="1:2">
      <c r="A158" s="457" t="s">
        <v>652</v>
      </c>
    </row>
    <row r="159" spans="1:2">
      <c r="A159" s="457" t="s">
        <v>726</v>
      </c>
    </row>
    <row r="160" spans="1:2">
      <c r="A160" s="457" t="s">
        <v>727</v>
      </c>
    </row>
    <row r="161" spans="1:4">
      <c r="A161" s="457" t="s">
        <v>747</v>
      </c>
    </row>
    <row r="164" spans="1:4">
      <c r="A164" t="str">
        <f>B164&amp;" - "&amp;Aux!D164</f>
        <v>1 - Representantes do poder legislativo e de órgãos executivos, dirigentes, directores e gestores executivos</v>
      </c>
      <c r="B164">
        <f>+'q19'!$A$6</f>
        <v>1</v>
      </c>
      <c r="C164" t="str">
        <f>+'q19'!$B$6</f>
        <v>Repres. poder leg. e de órgãos exec., dirig., diret. e gestores executivos</v>
      </c>
      <c r="D164" t="s">
        <v>773</v>
      </c>
    </row>
    <row r="165" spans="1:4">
      <c r="A165" t="str">
        <f>B165&amp;" - "&amp;Aux!D165</f>
        <v>2 - Especialistas das actividades intelectuais e científicas</v>
      </c>
      <c r="B165">
        <f>+'q19'!$A$11</f>
        <v>2</v>
      </c>
      <c r="C165" t="str">
        <f>+'q19'!$B$11</f>
        <v>Especial.das ativ.intelet.e cientif.</v>
      </c>
      <c r="D165" t="s">
        <v>774</v>
      </c>
    </row>
    <row r="166" spans="1:4">
      <c r="A166" t="str">
        <f>B166&amp;" - "&amp;Aux!D166</f>
        <v>3 - Técnicos e profissões de nível intermédio</v>
      </c>
      <c r="B166">
        <f>+'q19'!$A$18</f>
        <v>3</v>
      </c>
      <c r="C166" t="str">
        <f>+'q19'!$B$18</f>
        <v>Técn. e prof. de nível intermédio</v>
      </c>
      <c r="D166" t="s">
        <v>775</v>
      </c>
    </row>
    <row r="167" spans="1:4">
      <c r="A167" t="str">
        <f>B167&amp;" - "&amp;Aux!D167</f>
        <v>4 - Pessoal administrativo</v>
      </c>
      <c r="B167">
        <f>+'q19'!$A$24</f>
        <v>4</v>
      </c>
      <c r="C167" t="str">
        <f>+'q19'!$B$24</f>
        <v>Pessoal administrativo</v>
      </c>
      <c r="D167" t="s">
        <v>672</v>
      </c>
    </row>
    <row r="168" spans="1:4">
      <c r="A168" t="str">
        <f>B168&amp;" - "&amp;Aux!D168</f>
        <v>5 - Trabalhadores dos serviços pessoais, de protecção e segurança e vendedores</v>
      </c>
      <c r="B168">
        <f>+'q19'!$A$29</f>
        <v>5</v>
      </c>
      <c r="C168" t="str">
        <f>+'q19'!$B$29</f>
        <v>Trab.dos serv.pessoais, de prot.e segur.e vendedores</v>
      </c>
      <c r="D168" t="s">
        <v>776</v>
      </c>
    </row>
    <row r="169" spans="1:4">
      <c r="A169" t="str">
        <f>B169&amp;" - "&amp;Aux!D169</f>
        <v>6 - Agricultores e trabalhadores qualificados da agricultura, da pesca e da floresta</v>
      </c>
      <c r="B169">
        <f>+'q19'!$A$34</f>
        <v>6</v>
      </c>
      <c r="C169" t="str">
        <f>+'q19'!$B$34</f>
        <v>Agric.e trab.qualif.da agric.,da pesca e da floresta</v>
      </c>
      <c r="D169" t="s">
        <v>777</v>
      </c>
    </row>
    <row r="170" spans="1:4">
      <c r="A170" t="str">
        <f>B170&amp;" - "&amp;Aux!D170</f>
        <v>7 - Trabalhadores qualificados da indústria, construção e artífices</v>
      </c>
      <c r="B170">
        <f>+'q19'!$A$37</f>
        <v>7</v>
      </c>
      <c r="C170" t="str">
        <f>+'q19'!$B$37</f>
        <v>Trab.qualif.da ind.,constr.e artific.</v>
      </c>
      <c r="D170" t="s">
        <v>778</v>
      </c>
    </row>
    <row r="171" spans="1:4">
      <c r="A171" t="str">
        <f>B171&amp;" - "&amp;Aux!D171</f>
        <v>8 - Operadores de instalações e máquinas e trabalhadores da montagem</v>
      </c>
      <c r="B171">
        <f>+'q19'!$A$43</f>
        <v>8</v>
      </c>
      <c r="C171" t="str">
        <f>+'q19'!$B$43</f>
        <v>Oper.de inst.e máq.e trab.mont.</v>
      </c>
      <c r="D171" t="s">
        <v>779</v>
      </c>
    </row>
    <row r="172" spans="1:4">
      <c r="A172" t="str">
        <f>B172&amp;" - "&amp;Aux!D172</f>
        <v xml:space="preserve">9 - Trabalhadores não qualificados </v>
      </c>
      <c r="B172">
        <f>+'q19'!$A$47</f>
        <v>9</v>
      </c>
      <c r="C172" t="str">
        <f>+'q19'!$B$47</f>
        <v>Trabalhadores não qualificados</v>
      </c>
      <c r="D172" t="s">
        <v>780</v>
      </c>
    </row>
    <row r="173" spans="1:4">
      <c r="A173" t="str">
        <f>Aux!D173</f>
        <v>Trabalhadores sem profissão atribuida</v>
      </c>
      <c r="C173" t="str">
        <f>+'q19'!$A$54</f>
        <v>Trabalhadores sem profissão atribuida</v>
      </c>
      <c r="D173" t="s">
        <v>702</v>
      </c>
    </row>
    <row r="179" spans="1:1">
      <c r="A179" s="456" t="str">
        <f>A164&amp;"; "&amp;A165&amp;"; "&amp;A166&amp;"; "&amp;A167&amp;"; "&amp;A168&amp;"; "&amp;A169&amp;"; "&amp;A170&amp;"; "&amp;A171&amp;"; "&amp;A172&amp;"; "&amp;A173</f>
        <v>1 - Representantes do poder legislativo e de órgãos executivos, dirigentes, directores e gestores executivos; 2 - Especialistas das actividades intelectuais e científicas; 3 - Técnicos e profissões de nível intermédio; 4 - Pessoal administrativo; 5 - Trabalhadores dos serviços pessoais, de protecção e segurança e vendedores; 6 - Agricultores e trabalhadores qualificados da agricultura, da pesca e da floresta; 7 - Trabalhadores qualificados da indústria, construção e artífices; 8 - Operadores de instalações e máquinas e trabalhadores da montagem; 9 - Trabalhadores não qualificados ; Trabalhadores sem profissão atribuida</v>
      </c>
    </row>
  </sheetData>
  <conditionalFormatting sqref="A107:A114">
    <cfRule type="cellIs" dxfId="956" priority="2" operator="equal">
      <formula>0</formula>
    </cfRule>
  </conditionalFormatting>
  <conditionalFormatting sqref="B107:B115">
    <cfRule type="cellIs" dxfId="955" priority="1" operator="equal">
      <formula>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940EA-DB92-4630-A80E-54E9ACD48008}">
  <sheetPr codeName="Folha13">
    <tabColor indexed="24"/>
  </sheetPr>
  <dimension ref="A2:A417"/>
  <sheetViews>
    <sheetView workbookViewId="0">
      <selection sqref="A1:L1"/>
    </sheetView>
  </sheetViews>
  <sheetFormatPr defaultRowHeight="12.75"/>
  <sheetData>
    <row r="2" spans="1:1">
      <c r="A2" s="474" t="s">
        <v>243</v>
      </c>
    </row>
    <row r="5" spans="1:1" ht="19.5">
      <c r="A5" s="475" t="s">
        <v>244</v>
      </c>
    </row>
    <row r="6" spans="1:1">
      <c r="A6" s="454"/>
    </row>
    <row r="7" spans="1:1">
      <c r="A7" s="476" t="s">
        <v>245</v>
      </c>
    </row>
    <row r="8" spans="1:1" ht="18.75">
      <c r="A8" s="475"/>
    </row>
    <row r="9" spans="1:1" ht="18.75">
      <c r="A9" s="475"/>
    </row>
    <row r="10" spans="1:1">
      <c r="A10" s="477"/>
    </row>
    <row r="11" spans="1:1">
      <c r="A11" s="477"/>
    </row>
    <row r="12" spans="1:1">
      <c r="A12" s="477"/>
    </row>
    <row r="13" spans="1:1">
      <c r="A13" s="477"/>
    </row>
    <row r="14" spans="1:1">
      <c r="A14" s="477"/>
    </row>
    <row r="15" spans="1:1">
      <c r="A15" s="477"/>
    </row>
    <row r="16" spans="1:1">
      <c r="A16" s="477"/>
    </row>
    <row r="17" spans="1:1">
      <c r="A17" s="477"/>
    </row>
    <row r="18" spans="1:1">
      <c r="A18" s="477"/>
    </row>
    <row r="19" spans="1:1">
      <c r="A19" s="477"/>
    </row>
    <row r="20" spans="1:1">
      <c r="A20" s="477"/>
    </row>
    <row r="21" spans="1:1">
      <c r="A21" s="477"/>
    </row>
    <row r="22" spans="1:1">
      <c r="A22" s="477"/>
    </row>
    <row r="23" spans="1:1">
      <c r="A23" s="477"/>
    </row>
    <row r="24" spans="1:1">
      <c r="A24" s="477"/>
    </row>
    <row r="25" spans="1:1">
      <c r="A25" s="477"/>
    </row>
    <row r="26" spans="1:1">
      <c r="A26" s="477"/>
    </row>
    <row r="27" spans="1:1">
      <c r="A27" s="454"/>
    </row>
    <row r="28" spans="1:1">
      <c r="A28" s="454"/>
    </row>
    <row r="29" spans="1:1" ht="19.5">
      <c r="A29" s="475" t="s">
        <v>246</v>
      </c>
    </row>
    <row r="30" spans="1:1" ht="18.75">
      <c r="A30" s="475"/>
    </row>
    <row r="31" spans="1:1" ht="18.75">
      <c r="A31" s="475"/>
    </row>
    <row r="32" spans="1:1">
      <c r="A32" s="477"/>
    </row>
    <row r="33" spans="1:1">
      <c r="A33" s="477"/>
    </row>
    <row r="34" spans="1:1">
      <c r="A34" s="477"/>
    </row>
    <row r="35" spans="1:1">
      <c r="A35" s="477"/>
    </row>
    <row r="36" spans="1:1">
      <c r="A36" s="477"/>
    </row>
    <row r="37" spans="1:1">
      <c r="A37" s="477"/>
    </row>
    <row r="38" spans="1:1">
      <c r="A38" s="477"/>
    </row>
    <row r="39" spans="1:1">
      <c r="A39" s="477"/>
    </row>
    <row r="40" spans="1:1">
      <c r="A40" s="477"/>
    </row>
    <row r="41" spans="1:1">
      <c r="A41" s="477"/>
    </row>
    <row r="42" spans="1:1">
      <c r="A42" s="477"/>
    </row>
    <row r="43" spans="1:1">
      <c r="A43" s="454"/>
    </row>
    <row r="44" spans="1:1">
      <c r="A44" s="454"/>
    </row>
    <row r="45" spans="1:1" ht="19.5">
      <c r="A45" s="475" t="s">
        <v>247</v>
      </c>
    </row>
    <row r="46" spans="1:1" ht="18.75">
      <c r="A46" s="475"/>
    </row>
    <row r="47" spans="1:1" ht="18.75">
      <c r="A47" s="475"/>
    </row>
    <row r="48" spans="1:1">
      <c r="A48" s="477"/>
    </row>
    <row r="49" spans="1:1">
      <c r="A49" s="477"/>
    </row>
    <row r="50" spans="1:1">
      <c r="A50" s="477"/>
    </row>
    <row r="51" spans="1:1">
      <c r="A51" s="477"/>
    </row>
    <row r="52" spans="1:1">
      <c r="A52" s="477"/>
    </row>
    <row r="53" spans="1:1">
      <c r="A53" s="477"/>
    </row>
    <row r="54" spans="1:1">
      <c r="A54" s="477"/>
    </row>
    <row r="55" spans="1:1">
      <c r="A55" s="477"/>
    </row>
    <row r="56" spans="1:1">
      <c r="A56" s="477"/>
    </row>
    <row r="57" spans="1:1">
      <c r="A57" s="477"/>
    </row>
    <row r="58" spans="1:1">
      <c r="A58" s="477"/>
    </row>
    <row r="59" spans="1:1">
      <c r="A59" s="477"/>
    </row>
    <row r="60" spans="1:1">
      <c r="A60" s="477"/>
    </row>
    <row r="61" spans="1:1">
      <c r="A61" s="477"/>
    </row>
    <row r="62" spans="1:1">
      <c r="A62" s="477"/>
    </row>
    <row r="63" spans="1:1">
      <c r="A63" s="454"/>
    </row>
    <row r="64" spans="1:1">
      <c r="A64" s="454"/>
    </row>
    <row r="65" spans="1:1" ht="19.5">
      <c r="A65" s="475" t="s">
        <v>248</v>
      </c>
    </row>
    <row r="68" spans="1:1">
      <c r="A68" s="457"/>
    </row>
    <row r="97" spans="1:1">
      <c r="A97" s="456" t="s">
        <v>249</v>
      </c>
    </row>
    <row r="121" spans="1:1">
      <c r="A121" s="456" t="s">
        <v>250</v>
      </c>
    </row>
    <row r="137" spans="1:1">
      <c r="A137" s="456" t="s">
        <v>251</v>
      </c>
    </row>
    <row r="139" spans="1:1">
      <c r="A139" s="457" t="s">
        <v>252</v>
      </c>
    </row>
    <row r="141" spans="1:1">
      <c r="A141" s="457" t="s">
        <v>253</v>
      </c>
    </row>
    <row r="158" spans="1:1">
      <c r="A158" s="457" t="s">
        <v>254</v>
      </c>
    </row>
    <row r="175" spans="1:1">
      <c r="A175" s="456" t="s">
        <v>255</v>
      </c>
    </row>
    <row r="177" spans="1:1">
      <c r="A177" s="456" t="s">
        <v>256</v>
      </c>
    </row>
    <row r="191" spans="1:1">
      <c r="A191" s="456" t="s">
        <v>257</v>
      </c>
    </row>
    <row r="208" spans="1:1">
      <c r="A208" s="456" t="s">
        <v>258</v>
      </c>
    </row>
    <row r="222" spans="1:1">
      <c r="A222" s="456" t="s">
        <v>259</v>
      </c>
    </row>
    <row r="238" spans="1:1">
      <c r="A238" s="456" t="s">
        <v>260</v>
      </c>
    </row>
    <row r="240" spans="1:1">
      <c r="A240" s="456" t="s">
        <v>261</v>
      </c>
    </row>
    <row r="251" spans="1:1">
      <c r="A251" s="474" t="s">
        <v>262</v>
      </c>
    </row>
    <row r="253" spans="1:1">
      <c r="A253" s="456" t="s">
        <v>263</v>
      </c>
    </row>
    <row r="306" spans="1:1">
      <c r="A306" s="457" t="s">
        <v>264</v>
      </c>
    </row>
    <row r="318" spans="1:1">
      <c r="A318" s="456" t="s">
        <v>265</v>
      </c>
    </row>
    <row r="330" spans="1:1">
      <c r="A330" s="456" t="s">
        <v>266</v>
      </c>
    </row>
    <row r="370" spans="1:1">
      <c r="A370" s="456" t="s">
        <v>267</v>
      </c>
    </row>
    <row r="393" spans="1:1">
      <c r="A393" s="456" t="s">
        <v>268</v>
      </c>
    </row>
    <row r="417" spans="1:1" ht="21">
      <c r="A417" s="478" t="s">
        <v>269</v>
      </c>
    </row>
  </sheetData>
  <hyperlinks>
    <hyperlink ref="A2" r:id="rId1" xr:uid="{4747131E-3D7D-450A-BAF7-4E43D1A5A98B}"/>
    <hyperlink ref="A7" r:id="rId2" display="https://ninjadoexcel.com.br/como-habilitar-a-guia-desenvolvedor-no-excel/" xr:uid="{B1B93CB5-00CA-44B8-A142-0F46475AD337}"/>
    <hyperlink ref="A251" r:id="rId3" display="https://www.youtube.com/watch?v=t-xdWIF9j7c" xr:uid="{B51A8E73-D049-4106-BAA6-E5CDFF909342}"/>
  </hyperlinks>
  <pageMargins left="0.7" right="0.7" top="0.75" bottom="0.75" header="0.3" footer="0.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31">
    <tabColor indexed="24"/>
    <pageSetUpPr fitToPage="1"/>
  </sheetPr>
  <dimension ref="A1:P51"/>
  <sheetViews>
    <sheetView showGridLines="0" zoomScaleNormal="100" workbookViewId="0">
      <selection sqref="A1:L1"/>
    </sheetView>
  </sheetViews>
  <sheetFormatPr defaultColWidth="9.140625" defaultRowHeight="11.25"/>
  <cols>
    <col min="1" max="1" width="2" style="118" customWidth="1"/>
    <col min="2" max="2" width="28.5703125" style="118" customWidth="1"/>
    <col min="3" max="13" width="6.7109375" style="118" customWidth="1"/>
    <col min="14" max="14" width="7" style="118" bestFit="1" customWidth="1"/>
    <col min="15" max="16384" width="9.140625" style="118"/>
  </cols>
  <sheetData>
    <row r="1" spans="1:15" s="129" customFormat="1" ht="28.5" customHeight="1">
      <c r="A1" s="789" t="s">
        <v>105</v>
      </c>
      <c r="B1" s="789"/>
      <c r="C1" s="789"/>
      <c r="D1" s="789"/>
      <c r="E1" s="789"/>
      <c r="F1" s="789"/>
      <c r="G1" s="789"/>
      <c r="H1" s="789"/>
      <c r="I1" s="789"/>
      <c r="J1" s="789"/>
      <c r="K1" s="789"/>
      <c r="L1" s="789"/>
      <c r="M1" s="789"/>
    </row>
    <row r="2" spans="1:15" ht="15.75" customHeight="1">
      <c r="A2" s="5"/>
      <c r="B2" s="5"/>
      <c r="C2" s="143"/>
      <c r="D2" s="143"/>
      <c r="E2" s="143"/>
      <c r="F2" s="143"/>
      <c r="G2" s="143"/>
      <c r="H2" s="143"/>
      <c r="I2" s="143"/>
      <c r="J2" s="143"/>
      <c r="K2" s="143"/>
      <c r="L2" s="143"/>
      <c r="M2" s="143"/>
    </row>
    <row r="3" spans="1:15" ht="15" customHeight="1">
      <c r="A3" s="30" t="s">
        <v>42</v>
      </c>
      <c r="B3" s="21"/>
      <c r="C3" s="143"/>
      <c r="D3" s="143"/>
      <c r="E3" s="143"/>
      <c r="F3" s="143"/>
      <c r="G3" s="143"/>
      <c r="H3" s="143"/>
      <c r="I3" s="143"/>
      <c r="J3" s="143"/>
      <c r="K3" s="143"/>
      <c r="L3" s="143"/>
      <c r="M3" s="143"/>
    </row>
    <row r="4" spans="1:15" ht="28.5" customHeight="1" thickBot="1">
      <c r="A4" s="107" t="s">
        <v>1</v>
      </c>
      <c r="B4" s="32"/>
      <c r="C4" s="6">
        <v>2013</v>
      </c>
      <c r="D4" s="172">
        <v>2014</v>
      </c>
      <c r="E4" s="172">
        <v>2015</v>
      </c>
      <c r="F4" s="172">
        <v>2016</v>
      </c>
      <c r="G4" s="172">
        <v>2017</v>
      </c>
      <c r="H4" s="172">
        <v>2018</v>
      </c>
      <c r="I4" s="172">
        <v>2019</v>
      </c>
      <c r="J4" s="172">
        <v>2020</v>
      </c>
      <c r="K4" s="172">
        <v>2021</v>
      </c>
      <c r="L4" s="172">
        <v>2022</v>
      </c>
      <c r="M4" s="172">
        <v>2023</v>
      </c>
    </row>
    <row r="5" spans="1:15" s="130" customFormat="1" ht="16.5" customHeight="1" thickTop="1">
      <c r="A5" s="34" t="s">
        <v>43</v>
      </c>
      <c r="B5" s="208"/>
      <c r="C5" s="340">
        <v>265860</v>
      </c>
      <c r="D5" s="340">
        <v>270181</v>
      </c>
      <c r="E5" s="340">
        <v>273060</v>
      </c>
      <c r="F5" s="340">
        <v>276332</v>
      </c>
      <c r="G5" s="340">
        <v>279191</v>
      </c>
      <c r="H5" s="340">
        <v>282236</v>
      </c>
      <c r="I5" s="340">
        <v>275751</v>
      </c>
      <c r="J5" s="340">
        <v>277641</v>
      </c>
      <c r="K5" s="340">
        <v>271806</v>
      </c>
      <c r="L5" s="340">
        <v>284860</v>
      </c>
      <c r="M5" s="340">
        <v>291252</v>
      </c>
      <c r="N5" s="467"/>
      <c r="O5" s="743"/>
    </row>
    <row r="6" spans="1:15" s="130" customFormat="1" ht="16.5" customHeight="1">
      <c r="A6" s="208" t="s">
        <v>73</v>
      </c>
      <c r="B6" s="326" t="s">
        <v>172</v>
      </c>
      <c r="C6" s="341">
        <v>12395</v>
      </c>
      <c r="D6" s="341">
        <v>13063</v>
      </c>
      <c r="E6" s="341">
        <v>13445</v>
      </c>
      <c r="F6" s="341">
        <v>13755</v>
      </c>
      <c r="G6" s="341">
        <v>13847</v>
      </c>
      <c r="H6" s="341">
        <v>13971</v>
      </c>
      <c r="I6" s="341">
        <v>13547</v>
      </c>
      <c r="J6" s="341">
        <v>13691</v>
      </c>
      <c r="K6" s="341">
        <v>13199</v>
      </c>
      <c r="L6" s="341">
        <v>13618</v>
      </c>
      <c r="M6" s="341">
        <v>13805</v>
      </c>
      <c r="N6" s="118"/>
    </row>
    <row r="7" spans="1:15" s="130" customFormat="1" ht="12.75" customHeight="1">
      <c r="A7" s="208" t="s">
        <v>74</v>
      </c>
      <c r="B7" s="326" t="s">
        <v>102</v>
      </c>
      <c r="C7" s="341">
        <v>589</v>
      </c>
      <c r="D7" s="341">
        <v>564</v>
      </c>
      <c r="E7" s="341">
        <v>558</v>
      </c>
      <c r="F7" s="341">
        <v>536</v>
      </c>
      <c r="G7" s="341">
        <v>542</v>
      </c>
      <c r="H7" s="341">
        <v>526</v>
      </c>
      <c r="I7" s="341">
        <v>510</v>
      </c>
      <c r="J7" s="341">
        <v>504</v>
      </c>
      <c r="K7" s="341">
        <v>486</v>
      </c>
      <c r="L7" s="341">
        <v>494</v>
      </c>
      <c r="M7" s="341">
        <v>499</v>
      </c>
      <c r="N7" s="118"/>
    </row>
    <row r="8" spans="1:15" s="130" customFormat="1" ht="12.75" customHeight="1">
      <c r="A8" s="208" t="s">
        <v>75</v>
      </c>
      <c r="B8" s="326" t="s">
        <v>101</v>
      </c>
      <c r="C8" s="341">
        <v>32643</v>
      </c>
      <c r="D8" s="341">
        <v>32895</v>
      </c>
      <c r="E8" s="341">
        <v>32998</v>
      </c>
      <c r="F8" s="341">
        <v>33278</v>
      </c>
      <c r="G8" s="341">
        <v>33315</v>
      </c>
      <c r="H8" s="341">
        <v>33177</v>
      </c>
      <c r="I8" s="341">
        <v>31905</v>
      </c>
      <c r="J8" s="341">
        <v>31715</v>
      </c>
      <c r="K8" s="341">
        <v>30818</v>
      </c>
      <c r="L8" s="341">
        <v>31733</v>
      </c>
      <c r="M8" s="341">
        <v>31551</v>
      </c>
      <c r="N8" s="118"/>
    </row>
    <row r="9" spans="1:15" s="130" customFormat="1" ht="12.75" customHeight="1">
      <c r="A9" s="106"/>
      <c r="B9" s="105" t="s">
        <v>88</v>
      </c>
      <c r="C9" s="342">
        <v>5150</v>
      </c>
      <c r="D9" s="342">
        <v>5204</v>
      </c>
      <c r="E9" s="342">
        <v>5167</v>
      </c>
      <c r="F9" s="342">
        <v>5144</v>
      </c>
      <c r="G9" s="342">
        <v>5090</v>
      </c>
      <c r="H9" s="342">
        <v>4956</v>
      </c>
      <c r="I9" s="342">
        <v>4813</v>
      </c>
      <c r="J9" s="342">
        <v>4694</v>
      </c>
      <c r="K9" s="342">
        <v>4496</v>
      </c>
      <c r="L9" s="342">
        <v>4541</v>
      </c>
      <c r="M9" s="342">
        <v>4474</v>
      </c>
    </row>
    <row r="10" spans="1:15" s="130" customFormat="1" ht="12.75" customHeight="1">
      <c r="A10" s="106"/>
      <c r="B10" s="105" t="s">
        <v>89</v>
      </c>
      <c r="C10" s="342">
        <v>541</v>
      </c>
      <c r="D10" s="342">
        <v>575</v>
      </c>
      <c r="E10" s="342">
        <v>590</v>
      </c>
      <c r="F10" s="342">
        <v>617</v>
      </c>
      <c r="G10" s="342">
        <v>628</v>
      </c>
      <c r="H10" s="342">
        <v>644</v>
      </c>
      <c r="I10" s="342">
        <v>659</v>
      </c>
      <c r="J10" s="342">
        <v>663</v>
      </c>
      <c r="K10" s="342">
        <v>651</v>
      </c>
      <c r="L10" s="342">
        <v>684</v>
      </c>
      <c r="M10" s="342">
        <v>701</v>
      </c>
    </row>
    <row r="11" spans="1:15" s="130" customFormat="1" ht="12.75" customHeight="1">
      <c r="A11" s="106"/>
      <c r="B11" s="105" t="s">
        <v>90</v>
      </c>
      <c r="C11" s="342">
        <v>1</v>
      </c>
      <c r="D11" s="342">
        <v>1</v>
      </c>
      <c r="E11" s="342">
        <v>1</v>
      </c>
      <c r="F11" s="342">
        <v>1</v>
      </c>
      <c r="G11" s="342">
        <v>1</v>
      </c>
      <c r="H11" s="342">
        <v>1</v>
      </c>
      <c r="I11" s="342">
        <v>1</v>
      </c>
      <c r="J11" s="342">
        <v>1</v>
      </c>
      <c r="K11" s="342">
        <v>1</v>
      </c>
      <c r="L11" s="342">
        <v>1</v>
      </c>
      <c r="M11" s="342">
        <v>1</v>
      </c>
    </row>
    <row r="12" spans="1:15" s="130" customFormat="1" ht="12.75" customHeight="1">
      <c r="A12" s="106"/>
      <c r="B12" s="105" t="s">
        <v>0</v>
      </c>
      <c r="C12" s="342">
        <v>1591</v>
      </c>
      <c r="D12" s="342">
        <v>1591</v>
      </c>
      <c r="E12" s="342">
        <v>1628</v>
      </c>
      <c r="F12" s="342">
        <v>1636</v>
      </c>
      <c r="G12" s="342">
        <v>1616</v>
      </c>
      <c r="H12" s="342">
        <v>1615</v>
      </c>
      <c r="I12" s="342">
        <v>1537</v>
      </c>
      <c r="J12" s="342">
        <v>1503</v>
      </c>
      <c r="K12" s="342">
        <v>1481</v>
      </c>
      <c r="L12" s="342">
        <v>1525</v>
      </c>
      <c r="M12" s="342">
        <v>1505</v>
      </c>
    </row>
    <row r="13" spans="1:15" s="130" customFormat="1" ht="12.75" customHeight="1">
      <c r="A13" s="106"/>
      <c r="B13" s="105" t="s">
        <v>91</v>
      </c>
      <c r="C13" s="342">
        <v>3747</v>
      </c>
      <c r="D13" s="342">
        <v>3881</v>
      </c>
      <c r="E13" s="342">
        <v>3923</v>
      </c>
      <c r="F13" s="342">
        <v>4005</v>
      </c>
      <c r="G13" s="342">
        <v>3968</v>
      </c>
      <c r="H13" s="342">
        <v>3830</v>
      </c>
      <c r="I13" s="342">
        <v>3482</v>
      </c>
      <c r="J13" s="342">
        <v>3384</v>
      </c>
      <c r="K13" s="342">
        <v>3263</v>
      </c>
      <c r="L13" s="342">
        <v>3333</v>
      </c>
      <c r="M13" s="342">
        <v>3166</v>
      </c>
    </row>
    <row r="14" spans="1:15" s="130" customFormat="1" ht="12.75" customHeight="1">
      <c r="A14" s="106"/>
      <c r="B14" s="105" t="s">
        <v>146</v>
      </c>
      <c r="C14" s="342">
        <v>1839</v>
      </c>
      <c r="D14" s="342">
        <v>1902</v>
      </c>
      <c r="E14" s="342">
        <v>1952</v>
      </c>
      <c r="F14" s="342">
        <v>1976</v>
      </c>
      <c r="G14" s="342">
        <v>1941</v>
      </c>
      <c r="H14" s="342">
        <v>1894</v>
      </c>
      <c r="I14" s="342">
        <v>1709</v>
      </c>
      <c r="J14" s="342">
        <v>1644</v>
      </c>
      <c r="K14" s="342">
        <v>1573</v>
      </c>
      <c r="L14" s="342">
        <v>1632</v>
      </c>
      <c r="M14" s="342">
        <v>1506</v>
      </c>
    </row>
    <row r="15" spans="1:15" s="130" customFormat="1" ht="12.75" customHeight="1">
      <c r="A15" s="106"/>
      <c r="B15" s="105" t="s">
        <v>147</v>
      </c>
      <c r="C15" s="342">
        <v>2232</v>
      </c>
      <c r="D15" s="342">
        <v>2197</v>
      </c>
      <c r="E15" s="342">
        <v>2163</v>
      </c>
      <c r="F15" s="342">
        <v>2161</v>
      </c>
      <c r="G15" s="342">
        <v>2133</v>
      </c>
      <c r="H15" s="342">
        <v>2134</v>
      </c>
      <c r="I15" s="342">
        <v>2075</v>
      </c>
      <c r="J15" s="342">
        <v>2054</v>
      </c>
      <c r="K15" s="342">
        <v>1990</v>
      </c>
      <c r="L15" s="342">
        <v>2050</v>
      </c>
      <c r="M15" s="342">
        <v>2045</v>
      </c>
    </row>
    <row r="16" spans="1:15" s="130" customFormat="1" ht="12.75" customHeight="1">
      <c r="A16" s="106"/>
      <c r="B16" s="105" t="s">
        <v>148</v>
      </c>
      <c r="C16" s="342">
        <v>313</v>
      </c>
      <c r="D16" s="342">
        <v>314</v>
      </c>
      <c r="E16" s="342">
        <v>318</v>
      </c>
      <c r="F16" s="342">
        <v>321</v>
      </c>
      <c r="G16" s="342">
        <v>309</v>
      </c>
      <c r="H16" s="342">
        <v>320</v>
      </c>
      <c r="I16" s="342">
        <v>322</v>
      </c>
      <c r="J16" s="342">
        <v>324</v>
      </c>
      <c r="K16" s="342">
        <v>321</v>
      </c>
      <c r="L16" s="342">
        <v>322</v>
      </c>
      <c r="M16" s="342">
        <v>324</v>
      </c>
    </row>
    <row r="17" spans="1:13" s="130" customFormat="1" ht="12.75" customHeight="1">
      <c r="A17" s="106"/>
      <c r="B17" s="105" t="s">
        <v>149</v>
      </c>
      <c r="C17" s="342">
        <v>1317</v>
      </c>
      <c r="D17" s="342">
        <v>1309</v>
      </c>
      <c r="E17" s="342">
        <v>1275</v>
      </c>
      <c r="F17" s="342">
        <v>1242</v>
      </c>
      <c r="G17" s="342">
        <v>1232</v>
      </c>
      <c r="H17" s="342">
        <v>1199</v>
      </c>
      <c r="I17" s="342">
        <v>1134</v>
      </c>
      <c r="J17" s="342">
        <v>1112</v>
      </c>
      <c r="K17" s="342">
        <v>1053</v>
      </c>
      <c r="L17" s="342">
        <v>1079</v>
      </c>
      <c r="M17" s="342">
        <v>1054</v>
      </c>
    </row>
    <row r="18" spans="1:13" s="130" customFormat="1" ht="12.75" customHeight="1">
      <c r="A18" s="106"/>
      <c r="B18" s="105" t="s">
        <v>150</v>
      </c>
      <c r="C18" s="342">
        <v>8</v>
      </c>
      <c r="D18" s="342">
        <v>8</v>
      </c>
      <c r="E18" s="342">
        <v>6</v>
      </c>
      <c r="F18" s="342">
        <v>9</v>
      </c>
      <c r="G18" s="342">
        <v>10</v>
      </c>
      <c r="H18" s="342">
        <v>11</v>
      </c>
      <c r="I18" s="342">
        <v>11</v>
      </c>
      <c r="J18" s="342">
        <v>10</v>
      </c>
      <c r="K18" s="342">
        <v>11</v>
      </c>
      <c r="L18" s="342">
        <v>11</v>
      </c>
      <c r="M18" s="342">
        <v>11</v>
      </c>
    </row>
    <row r="19" spans="1:13" s="130" customFormat="1" ht="12.75" customHeight="1">
      <c r="A19" s="106"/>
      <c r="B19" s="105" t="s">
        <v>151</v>
      </c>
      <c r="C19" s="342">
        <v>493</v>
      </c>
      <c r="D19" s="342">
        <v>500</v>
      </c>
      <c r="E19" s="342">
        <v>481</v>
      </c>
      <c r="F19" s="342">
        <v>481</v>
      </c>
      <c r="G19" s="342">
        <v>477</v>
      </c>
      <c r="H19" s="342">
        <v>477</v>
      </c>
      <c r="I19" s="342">
        <v>455</v>
      </c>
      <c r="J19" s="342">
        <v>450</v>
      </c>
      <c r="K19" s="342">
        <v>463</v>
      </c>
      <c r="L19" s="342">
        <v>470</v>
      </c>
      <c r="M19" s="342">
        <v>484</v>
      </c>
    </row>
    <row r="20" spans="1:13" s="130" customFormat="1" ht="12.75" customHeight="1">
      <c r="A20" s="106"/>
      <c r="B20" s="105" t="s">
        <v>160</v>
      </c>
      <c r="C20" s="342">
        <v>96</v>
      </c>
      <c r="D20" s="342">
        <v>97</v>
      </c>
      <c r="E20" s="342">
        <v>93</v>
      </c>
      <c r="F20" s="342">
        <v>94</v>
      </c>
      <c r="G20" s="342">
        <v>98</v>
      </c>
      <c r="H20" s="342">
        <v>92</v>
      </c>
      <c r="I20" s="342">
        <v>97</v>
      </c>
      <c r="J20" s="342">
        <v>98</v>
      </c>
      <c r="K20" s="342">
        <v>108</v>
      </c>
      <c r="L20" s="342">
        <v>113</v>
      </c>
      <c r="M20" s="342">
        <v>105</v>
      </c>
    </row>
    <row r="21" spans="1:13" s="130" customFormat="1" ht="12.75" customHeight="1">
      <c r="A21" s="106"/>
      <c r="B21" s="105" t="s">
        <v>152</v>
      </c>
      <c r="C21" s="342">
        <v>716</v>
      </c>
      <c r="D21" s="342">
        <v>717</v>
      </c>
      <c r="E21" s="342">
        <v>726</v>
      </c>
      <c r="F21" s="342">
        <v>740</v>
      </c>
      <c r="G21" s="342">
        <v>746</v>
      </c>
      <c r="H21" s="342">
        <v>738</v>
      </c>
      <c r="I21" s="342">
        <v>741</v>
      </c>
      <c r="J21" s="342">
        <v>749</v>
      </c>
      <c r="K21" s="342">
        <v>730</v>
      </c>
      <c r="L21" s="342">
        <v>741</v>
      </c>
      <c r="M21" s="342">
        <v>732</v>
      </c>
    </row>
    <row r="22" spans="1:13" s="130" customFormat="1" ht="12.75" customHeight="1">
      <c r="A22" s="106"/>
      <c r="B22" s="105" t="s">
        <v>159</v>
      </c>
      <c r="C22" s="342">
        <v>2076</v>
      </c>
      <c r="D22" s="342">
        <v>2033</v>
      </c>
      <c r="E22" s="342">
        <v>1991</v>
      </c>
      <c r="F22" s="342">
        <v>1989</v>
      </c>
      <c r="G22" s="342">
        <v>1999</v>
      </c>
      <c r="H22" s="342">
        <v>1960</v>
      </c>
      <c r="I22" s="342">
        <v>1878</v>
      </c>
      <c r="J22" s="342">
        <v>1879</v>
      </c>
      <c r="K22" s="342">
        <v>1854</v>
      </c>
      <c r="L22" s="342">
        <v>1898</v>
      </c>
      <c r="M22" s="342">
        <v>1907</v>
      </c>
    </row>
    <row r="23" spans="1:13" s="130" customFormat="1" ht="12.75" customHeight="1">
      <c r="A23" s="106"/>
      <c r="B23" s="105" t="s">
        <v>92</v>
      </c>
      <c r="C23" s="342">
        <v>225</v>
      </c>
      <c r="D23" s="342">
        <v>222</v>
      </c>
      <c r="E23" s="342">
        <v>215</v>
      </c>
      <c r="F23" s="342">
        <v>210</v>
      </c>
      <c r="G23" s="342">
        <v>210</v>
      </c>
      <c r="H23" s="342">
        <v>207</v>
      </c>
      <c r="I23" s="342">
        <v>208</v>
      </c>
      <c r="J23" s="342">
        <v>200</v>
      </c>
      <c r="K23" s="342">
        <v>204</v>
      </c>
      <c r="L23" s="342">
        <v>205</v>
      </c>
      <c r="M23" s="342">
        <v>213</v>
      </c>
    </row>
    <row r="24" spans="1:13" s="130" customFormat="1" ht="12.75" customHeight="1">
      <c r="A24" s="106"/>
      <c r="B24" s="105" t="s">
        <v>157</v>
      </c>
      <c r="C24" s="342">
        <v>5692</v>
      </c>
      <c r="D24" s="342">
        <v>5697</v>
      </c>
      <c r="E24" s="342">
        <v>5719</v>
      </c>
      <c r="F24" s="342">
        <v>5845</v>
      </c>
      <c r="G24" s="342">
        <v>5905</v>
      </c>
      <c r="H24" s="342">
        <v>6040</v>
      </c>
      <c r="I24" s="342">
        <v>5945</v>
      </c>
      <c r="J24" s="342">
        <v>6032</v>
      </c>
      <c r="K24" s="342">
        <v>5883</v>
      </c>
      <c r="L24" s="342">
        <v>6140</v>
      </c>
      <c r="M24" s="342">
        <v>6174</v>
      </c>
    </row>
    <row r="25" spans="1:13" s="130" customFormat="1" ht="12.75" customHeight="1">
      <c r="A25" s="106"/>
      <c r="B25" s="105" t="s">
        <v>158</v>
      </c>
      <c r="C25" s="342">
        <v>155</v>
      </c>
      <c r="D25" s="342">
        <v>166</v>
      </c>
      <c r="E25" s="342">
        <v>158</v>
      </c>
      <c r="F25" s="342">
        <v>157</v>
      </c>
      <c r="G25" s="342">
        <v>166</v>
      </c>
      <c r="H25" s="342">
        <v>175</v>
      </c>
      <c r="I25" s="342">
        <v>170</v>
      </c>
      <c r="J25" s="342">
        <v>164</v>
      </c>
      <c r="K25" s="342">
        <v>161</v>
      </c>
      <c r="L25" s="342">
        <v>168</v>
      </c>
      <c r="M25" s="342">
        <v>164</v>
      </c>
    </row>
    <row r="26" spans="1:13" s="130" customFormat="1" ht="12.75" customHeight="1">
      <c r="A26" s="106"/>
      <c r="B26" s="105" t="s">
        <v>153</v>
      </c>
      <c r="C26" s="342">
        <v>384</v>
      </c>
      <c r="D26" s="342">
        <v>371</v>
      </c>
      <c r="E26" s="342">
        <v>352</v>
      </c>
      <c r="F26" s="342">
        <v>348</v>
      </c>
      <c r="G26" s="342">
        <v>350</v>
      </c>
      <c r="H26" s="342">
        <v>353</v>
      </c>
      <c r="I26" s="342">
        <v>330</v>
      </c>
      <c r="J26" s="342">
        <v>330</v>
      </c>
      <c r="K26" s="342">
        <v>313</v>
      </c>
      <c r="L26" s="342">
        <v>331</v>
      </c>
      <c r="M26" s="342">
        <v>334</v>
      </c>
    </row>
    <row r="27" spans="1:13" s="130" customFormat="1" ht="12.75" customHeight="1">
      <c r="A27" s="106"/>
      <c r="B27" s="105" t="s">
        <v>161</v>
      </c>
      <c r="C27" s="342">
        <v>953</v>
      </c>
      <c r="D27" s="342">
        <v>958</v>
      </c>
      <c r="E27" s="342">
        <v>984</v>
      </c>
      <c r="F27" s="342">
        <v>997</v>
      </c>
      <c r="G27" s="342">
        <v>989</v>
      </c>
      <c r="H27" s="342">
        <v>988</v>
      </c>
      <c r="I27" s="342">
        <v>962</v>
      </c>
      <c r="J27" s="342">
        <v>971</v>
      </c>
      <c r="K27" s="342">
        <v>933</v>
      </c>
      <c r="L27" s="342">
        <v>952</v>
      </c>
      <c r="M27" s="342">
        <v>957</v>
      </c>
    </row>
    <row r="28" spans="1:13" s="130" customFormat="1" ht="12.75" customHeight="1">
      <c r="A28" s="106"/>
      <c r="B28" s="105" t="s">
        <v>154</v>
      </c>
      <c r="C28" s="342">
        <v>333</v>
      </c>
      <c r="D28" s="342">
        <v>339</v>
      </c>
      <c r="E28" s="342">
        <v>346</v>
      </c>
      <c r="F28" s="342">
        <v>355</v>
      </c>
      <c r="G28" s="342">
        <v>359</v>
      </c>
      <c r="H28" s="342">
        <v>372</v>
      </c>
      <c r="I28" s="342">
        <v>344</v>
      </c>
      <c r="J28" s="342">
        <v>346</v>
      </c>
      <c r="K28" s="342">
        <v>343</v>
      </c>
      <c r="L28" s="342">
        <v>351</v>
      </c>
      <c r="M28" s="342">
        <v>364</v>
      </c>
    </row>
    <row r="29" spans="1:13" s="130" customFormat="1" ht="12.75" customHeight="1">
      <c r="A29" s="106"/>
      <c r="B29" s="105" t="s">
        <v>162</v>
      </c>
      <c r="C29" s="342">
        <v>125</v>
      </c>
      <c r="D29" s="342">
        <v>119</v>
      </c>
      <c r="E29" s="342">
        <v>123</v>
      </c>
      <c r="F29" s="342">
        <v>133</v>
      </c>
      <c r="G29" s="342">
        <v>142</v>
      </c>
      <c r="H29" s="342">
        <v>134</v>
      </c>
      <c r="I29" s="342">
        <v>138</v>
      </c>
      <c r="J29" s="342">
        <v>141</v>
      </c>
      <c r="K29" s="342">
        <v>146</v>
      </c>
      <c r="L29" s="342">
        <v>156</v>
      </c>
      <c r="M29" s="342">
        <v>160</v>
      </c>
    </row>
    <row r="30" spans="1:13" s="130" customFormat="1" ht="12.75" customHeight="1">
      <c r="A30" s="106"/>
      <c r="B30" s="105" t="s">
        <v>155</v>
      </c>
      <c r="C30" s="342">
        <v>2361</v>
      </c>
      <c r="D30" s="342">
        <v>2323</v>
      </c>
      <c r="E30" s="342">
        <v>2329</v>
      </c>
      <c r="F30" s="342">
        <v>2337</v>
      </c>
      <c r="G30" s="342">
        <v>2393</v>
      </c>
      <c r="H30" s="342">
        <v>2412</v>
      </c>
      <c r="I30" s="342">
        <v>2338</v>
      </c>
      <c r="J30" s="342">
        <v>2356</v>
      </c>
      <c r="K30" s="342">
        <v>2277</v>
      </c>
      <c r="L30" s="342">
        <v>2361</v>
      </c>
      <c r="M30" s="342">
        <v>2421</v>
      </c>
    </row>
    <row r="31" spans="1:13" s="130" customFormat="1" ht="12.75" customHeight="1">
      <c r="A31" s="106"/>
      <c r="B31" s="105" t="s">
        <v>156</v>
      </c>
      <c r="C31" s="342">
        <v>1045</v>
      </c>
      <c r="D31" s="342">
        <v>1062</v>
      </c>
      <c r="E31" s="342">
        <v>1072</v>
      </c>
      <c r="F31" s="342">
        <v>1068</v>
      </c>
      <c r="G31" s="342">
        <v>1085</v>
      </c>
      <c r="H31" s="342">
        <v>1084</v>
      </c>
      <c r="I31" s="342">
        <v>1039</v>
      </c>
      <c r="J31" s="342">
        <v>1057</v>
      </c>
      <c r="K31" s="342">
        <v>997</v>
      </c>
      <c r="L31" s="342">
        <v>1049</v>
      </c>
      <c r="M31" s="342">
        <v>1048</v>
      </c>
    </row>
    <row r="32" spans="1:13" s="130" customFormat="1" ht="12.75" customHeight="1">
      <c r="A32" s="106"/>
      <c r="B32" s="105" t="s">
        <v>163</v>
      </c>
      <c r="C32" s="342">
        <v>1250</v>
      </c>
      <c r="D32" s="342">
        <v>1309</v>
      </c>
      <c r="E32" s="342">
        <v>1386</v>
      </c>
      <c r="F32" s="342">
        <v>1412</v>
      </c>
      <c r="G32" s="342">
        <v>1468</v>
      </c>
      <c r="H32" s="342">
        <v>1541</v>
      </c>
      <c r="I32" s="342">
        <v>1517</v>
      </c>
      <c r="J32" s="342">
        <v>1553</v>
      </c>
      <c r="K32" s="342">
        <v>1566</v>
      </c>
      <c r="L32" s="342">
        <v>1620</v>
      </c>
      <c r="M32" s="342">
        <v>1701</v>
      </c>
    </row>
    <row r="33" spans="1:16" s="130" customFormat="1" ht="16.5" customHeight="1">
      <c r="A33" s="208" t="s">
        <v>76</v>
      </c>
      <c r="B33" s="326" t="s">
        <v>164</v>
      </c>
      <c r="C33" s="341">
        <v>189</v>
      </c>
      <c r="D33" s="341">
        <v>193</v>
      </c>
      <c r="E33" s="341">
        <v>211</v>
      </c>
      <c r="F33" s="341">
        <v>204</v>
      </c>
      <c r="G33" s="341">
        <v>194</v>
      </c>
      <c r="H33" s="341">
        <v>183</v>
      </c>
      <c r="I33" s="341">
        <v>185</v>
      </c>
      <c r="J33" s="341">
        <v>198</v>
      </c>
      <c r="K33" s="341">
        <v>192</v>
      </c>
      <c r="L33" s="341">
        <v>209</v>
      </c>
      <c r="M33" s="341">
        <v>236</v>
      </c>
    </row>
    <row r="34" spans="1:16" s="130" customFormat="1" ht="12.75" customHeight="1">
      <c r="A34" s="208" t="s">
        <v>77</v>
      </c>
      <c r="B34" s="326" t="s">
        <v>173</v>
      </c>
      <c r="C34" s="341">
        <v>640</v>
      </c>
      <c r="D34" s="341">
        <v>637</v>
      </c>
      <c r="E34" s="341">
        <v>623</v>
      </c>
      <c r="F34" s="341">
        <v>605</v>
      </c>
      <c r="G34" s="341">
        <v>607</v>
      </c>
      <c r="H34" s="341">
        <v>602</v>
      </c>
      <c r="I34" s="341">
        <v>617</v>
      </c>
      <c r="J34" s="341">
        <v>625</v>
      </c>
      <c r="K34" s="341">
        <v>620</v>
      </c>
      <c r="L34" s="341">
        <v>636</v>
      </c>
      <c r="M34" s="341">
        <v>648</v>
      </c>
    </row>
    <row r="35" spans="1:16" s="130" customFormat="1" ht="12.75" customHeight="1">
      <c r="A35" s="208" t="s">
        <v>78</v>
      </c>
      <c r="B35" s="326" t="s">
        <v>79</v>
      </c>
      <c r="C35" s="341">
        <v>27952</v>
      </c>
      <c r="D35" s="341">
        <v>27621</v>
      </c>
      <c r="E35" s="341">
        <v>27400</v>
      </c>
      <c r="F35" s="341">
        <v>27945</v>
      </c>
      <c r="G35" s="341">
        <v>28669</v>
      </c>
      <c r="H35" s="341">
        <v>29662</v>
      </c>
      <c r="I35" s="341">
        <v>30134</v>
      </c>
      <c r="J35" s="341">
        <v>31394</v>
      </c>
      <c r="K35" s="341">
        <v>31375</v>
      </c>
      <c r="L35" s="341">
        <v>33643</v>
      </c>
      <c r="M35" s="341">
        <v>35137</v>
      </c>
      <c r="O35" s="130">
        <f>+C35/$C$5*100</f>
        <v>10.513804257880087</v>
      </c>
      <c r="P35" s="130">
        <f>+M35/$M$5*100</f>
        <v>12.064123164819469</v>
      </c>
    </row>
    <row r="36" spans="1:16" s="130" customFormat="1" ht="12.75" customHeight="1">
      <c r="A36" s="208" t="s">
        <v>80</v>
      </c>
      <c r="B36" s="326" t="s">
        <v>174</v>
      </c>
      <c r="C36" s="341">
        <v>73629</v>
      </c>
      <c r="D36" s="341">
        <v>74208</v>
      </c>
      <c r="E36" s="341">
        <v>74441</v>
      </c>
      <c r="F36" s="341">
        <v>74332</v>
      </c>
      <c r="G36" s="341">
        <v>73637</v>
      </c>
      <c r="H36" s="341">
        <v>73191</v>
      </c>
      <c r="I36" s="341">
        <v>69985</v>
      </c>
      <c r="J36" s="341">
        <v>69568</v>
      </c>
      <c r="K36" s="341">
        <v>67802</v>
      </c>
      <c r="L36" s="341">
        <v>69554</v>
      </c>
      <c r="M36" s="341">
        <v>69619</v>
      </c>
      <c r="O36" s="130">
        <f>+C36/$C$5*100</f>
        <v>27.694651320243736</v>
      </c>
      <c r="P36" s="130">
        <f>+M36/$M$5*100</f>
        <v>23.903355170093253</v>
      </c>
    </row>
    <row r="37" spans="1:16" s="130" customFormat="1" ht="12.75" customHeight="1">
      <c r="A37" s="208" t="s">
        <v>53</v>
      </c>
      <c r="B37" s="326" t="s">
        <v>93</v>
      </c>
      <c r="C37" s="341">
        <v>10641</v>
      </c>
      <c r="D37" s="341">
        <v>10632</v>
      </c>
      <c r="E37" s="341">
        <v>10537</v>
      </c>
      <c r="F37" s="341">
        <v>10462</v>
      </c>
      <c r="G37" s="341">
        <v>10490</v>
      </c>
      <c r="H37" s="341">
        <v>10497</v>
      </c>
      <c r="I37" s="341">
        <v>10339</v>
      </c>
      <c r="J37" s="341">
        <v>10288</v>
      </c>
      <c r="K37" s="341">
        <v>9821</v>
      </c>
      <c r="L37" s="341">
        <v>10445</v>
      </c>
      <c r="M37" s="341">
        <v>11013</v>
      </c>
    </row>
    <row r="38" spans="1:16" s="130" customFormat="1" ht="12.75" customHeight="1">
      <c r="A38" s="208" t="s">
        <v>10</v>
      </c>
      <c r="B38" s="326" t="s">
        <v>165</v>
      </c>
      <c r="C38" s="341">
        <v>30313</v>
      </c>
      <c r="D38" s="341">
        <v>31162</v>
      </c>
      <c r="E38" s="341">
        <v>32218</v>
      </c>
      <c r="F38" s="341">
        <v>33270</v>
      </c>
      <c r="G38" s="341">
        <v>34159</v>
      </c>
      <c r="H38" s="341">
        <v>34949</v>
      </c>
      <c r="I38" s="341">
        <v>33798</v>
      </c>
      <c r="J38" s="341">
        <v>33300</v>
      </c>
      <c r="K38" s="341">
        <v>32645</v>
      </c>
      <c r="L38" s="341">
        <v>34416</v>
      </c>
      <c r="M38" s="341">
        <v>35628</v>
      </c>
      <c r="O38" s="130">
        <f>+C38/$C$5*100</f>
        <v>11.401865643571805</v>
      </c>
      <c r="P38" s="130">
        <f>+M38/$M$5*100</f>
        <v>12.232705698158295</v>
      </c>
    </row>
    <row r="39" spans="1:16" s="130" customFormat="1" ht="12.75" customHeight="1">
      <c r="A39" s="208" t="s">
        <v>81</v>
      </c>
      <c r="B39" s="326" t="s">
        <v>171</v>
      </c>
      <c r="C39" s="341">
        <v>4362</v>
      </c>
      <c r="D39" s="341">
        <v>4637</v>
      </c>
      <c r="E39" s="341">
        <v>4749</v>
      </c>
      <c r="F39" s="341">
        <v>4883</v>
      </c>
      <c r="G39" s="341">
        <v>5130</v>
      </c>
      <c r="H39" s="341">
        <v>5304</v>
      </c>
      <c r="I39" s="341">
        <v>5356</v>
      </c>
      <c r="J39" s="341">
        <v>5633</v>
      </c>
      <c r="K39" s="341">
        <v>5723</v>
      </c>
      <c r="L39" s="341">
        <v>6314</v>
      </c>
      <c r="M39" s="341">
        <v>6698</v>
      </c>
    </row>
    <row r="40" spans="1:16" s="130" customFormat="1" ht="12.75" customHeight="1">
      <c r="A40" s="208" t="s">
        <v>82</v>
      </c>
      <c r="B40" s="326" t="s">
        <v>166</v>
      </c>
      <c r="C40" s="341">
        <v>3582</v>
      </c>
      <c r="D40" s="341">
        <v>3675</v>
      </c>
      <c r="E40" s="341">
        <v>3674</v>
      </c>
      <c r="F40" s="341">
        <v>3659</v>
      </c>
      <c r="G40" s="341">
        <v>3692</v>
      </c>
      <c r="H40" s="341">
        <v>3685</v>
      </c>
      <c r="I40" s="341">
        <v>3647</v>
      </c>
      <c r="J40" s="341">
        <v>3710</v>
      </c>
      <c r="K40" s="341">
        <v>3599</v>
      </c>
      <c r="L40" s="341">
        <v>3755</v>
      </c>
      <c r="M40" s="341">
        <v>3781</v>
      </c>
    </row>
    <row r="41" spans="1:16" s="130" customFormat="1" ht="12.75" customHeight="1">
      <c r="A41" s="208" t="s">
        <v>83</v>
      </c>
      <c r="B41" s="326" t="s">
        <v>103</v>
      </c>
      <c r="C41" s="341">
        <v>6033</v>
      </c>
      <c r="D41" s="341">
        <v>6325</v>
      </c>
      <c r="E41" s="341">
        <v>6641</v>
      </c>
      <c r="F41" s="341">
        <v>7069</v>
      </c>
      <c r="G41" s="341">
        <v>7649</v>
      </c>
      <c r="H41" s="341">
        <v>8416</v>
      </c>
      <c r="I41" s="341">
        <v>8804</v>
      </c>
      <c r="J41" s="341">
        <v>9411</v>
      </c>
      <c r="K41" s="341">
        <v>9635</v>
      </c>
      <c r="L41" s="341">
        <v>10313</v>
      </c>
      <c r="M41" s="341">
        <v>11022</v>
      </c>
    </row>
    <row r="42" spans="1:16" s="130" customFormat="1" ht="12.75" customHeight="1">
      <c r="A42" s="208" t="s">
        <v>54</v>
      </c>
      <c r="B42" s="326" t="s">
        <v>175</v>
      </c>
      <c r="C42" s="341">
        <v>20799</v>
      </c>
      <c r="D42" s="341">
        <v>21426</v>
      </c>
      <c r="E42" s="341">
        <v>21717</v>
      </c>
      <c r="F42" s="341">
        <v>22039</v>
      </c>
      <c r="G42" s="341">
        <v>22524</v>
      </c>
      <c r="H42" s="341">
        <v>23187</v>
      </c>
      <c r="I42" s="341">
        <v>22977</v>
      </c>
      <c r="J42" s="341">
        <v>23504</v>
      </c>
      <c r="K42" s="341">
        <v>23335</v>
      </c>
      <c r="L42" s="341">
        <v>24442</v>
      </c>
      <c r="M42" s="341">
        <v>25202</v>
      </c>
    </row>
    <row r="43" spans="1:16" s="130" customFormat="1" ht="12.75" customHeight="1">
      <c r="A43" s="208" t="s">
        <v>85</v>
      </c>
      <c r="B43" s="326" t="s">
        <v>169</v>
      </c>
      <c r="C43" s="341">
        <v>7258</v>
      </c>
      <c r="D43" s="341">
        <v>7438</v>
      </c>
      <c r="E43" s="341">
        <v>7568</v>
      </c>
      <c r="F43" s="341">
        <v>7855</v>
      </c>
      <c r="G43" s="341">
        <v>7959</v>
      </c>
      <c r="H43" s="341">
        <v>7811</v>
      </c>
      <c r="I43" s="341">
        <v>7970</v>
      </c>
      <c r="J43" s="341">
        <v>8005</v>
      </c>
      <c r="K43" s="341">
        <v>7640</v>
      </c>
      <c r="L43" s="341">
        <v>8560</v>
      </c>
      <c r="M43" s="341">
        <v>8903</v>
      </c>
    </row>
    <row r="44" spans="1:16" s="130" customFormat="1" ht="12.75" customHeight="1">
      <c r="A44" s="208" t="s">
        <v>86</v>
      </c>
      <c r="B44" s="326" t="s">
        <v>170</v>
      </c>
      <c r="C44" s="341">
        <v>586</v>
      </c>
      <c r="D44" s="341">
        <v>599</v>
      </c>
      <c r="E44" s="341">
        <v>596</v>
      </c>
      <c r="F44" s="341">
        <v>560</v>
      </c>
      <c r="G44" s="341">
        <v>559</v>
      </c>
      <c r="H44" s="341">
        <v>564</v>
      </c>
      <c r="I44" s="341">
        <v>546</v>
      </c>
      <c r="J44" s="341">
        <v>558</v>
      </c>
      <c r="K44" s="341">
        <v>517</v>
      </c>
      <c r="L44" s="341">
        <v>520</v>
      </c>
      <c r="M44" s="341">
        <v>534</v>
      </c>
    </row>
    <row r="45" spans="1:16" s="130" customFormat="1" ht="12.75" customHeight="1">
      <c r="A45" s="208" t="s">
        <v>94</v>
      </c>
      <c r="B45" s="326" t="s">
        <v>84</v>
      </c>
      <c r="C45" s="341">
        <v>3602</v>
      </c>
      <c r="D45" s="341">
        <v>3802</v>
      </c>
      <c r="E45" s="341">
        <v>3857</v>
      </c>
      <c r="F45" s="341">
        <v>3829</v>
      </c>
      <c r="G45" s="341">
        <v>3817</v>
      </c>
      <c r="H45" s="341">
        <v>3764</v>
      </c>
      <c r="I45" s="341">
        <v>3671</v>
      </c>
      <c r="J45" s="341">
        <v>3680</v>
      </c>
      <c r="K45" s="341">
        <v>3577</v>
      </c>
      <c r="L45" s="341">
        <v>3747</v>
      </c>
      <c r="M45" s="341">
        <v>3850</v>
      </c>
    </row>
    <row r="46" spans="1:16" s="130" customFormat="1" ht="12.75" customHeight="1">
      <c r="A46" s="208" t="s">
        <v>87</v>
      </c>
      <c r="B46" s="326" t="s">
        <v>141</v>
      </c>
      <c r="C46" s="341">
        <v>14586</v>
      </c>
      <c r="D46" s="341">
        <v>14787</v>
      </c>
      <c r="E46" s="341">
        <v>15110</v>
      </c>
      <c r="F46" s="341">
        <v>15253</v>
      </c>
      <c r="G46" s="341">
        <v>15453</v>
      </c>
      <c r="H46" s="341">
        <v>15499</v>
      </c>
      <c r="I46" s="341">
        <v>15300</v>
      </c>
      <c r="J46" s="341">
        <v>15658</v>
      </c>
      <c r="K46" s="341">
        <v>15268</v>
      </c>
      <c r="L46" s="341">
        <v>16093</v>
      </c>
      <c r="M46" s="341">
        <v>16702</v>
      </c>
    </row>
    <row r="47" spans="1:16" s="130" customFormat="1" ht="12.75" customHeight="1">
      <c r="A47" s="208" t="s">
        <v>95</v>
      </c>
      <c r="B47" s="326" t="s">
        <v>167</v>
      </c>
      <c r="C47" s="341">
        <v>2849</v>
      </c>
      <c r="D47" s="341">
        <v>3087</v>
      </c>
      <c r="E47" s="341">
        <v>3213</v>
      </c>
      <c r="F47" s="341">
        <v>3351</v>
      </c>
      <c r="G47" s="341">
        <v>3605</v>
      </c>
      <c r="H47" s="341">
        <v>3886</v>
      </c>
      <c r="I47" s="341">
        <v>3917</v>
      </c>
      <c r="J47" s="341">
        <v>3922</v>
      </c>
      <c r="K47" s="341">
        <v>3932</v>
      </c>
      <c r="L47" s="341">
        <v>4293</v>
      </c>
      <c r="M47" s="341">
        <v>4544</v>
      </c>
    </row>
    <row r="48" spans="1:16" ht="12.75" customHeight="1">
      <c r="A48" s="208" t="s">
        <v>96</v>
      </c>
      <c r="B48" s="326" t="s">
        <v>104</v>
      </c>
      <c r="C48" s="341">
        <v>13201</v>
      </c>
      <c r="D48" s="341">
        <v>13415</v>
      </c>
      <c r="E48" s="341">
        <v>13491</v>
      </c>
      <c r="F48" s="341">
        <v>13431</v>
      </c>
      <c r="G48" s="341">
        <v>13330</v>
      </c>
      <c r="H48" s="341">
        <v>13348</v>
      </c>
      <c r="I48" s="341">
        <v>12528</v>
      </c>
      <c r="J48" s="341">
        <v>12260</v>
      </c>
      <c r="K48" s="341">
        <v>11606</v>
      </c>
      <c r="L48" s="341">
        <v>12060</v>
      </c>
      <c r="M48" s="341">
        <v>11864</v>
      </c>
    </row>
    <row r="49" spans="1:13" ht="12.75" customHeight="1">
      <c r="A49" s="36" t="s">
        <v>97</v>
      </c>
      <c r="B49" s="37" t="s">
        <v>168</v>
      </c>
      <c r="C49" s="343">
        <v>11</v>
      </c>
      <c r="D49" s="343">
        <v>15</v>
      </c>
      <c r="E49" s="343">
        <v>13</v>
      </c>
      <c r="F49" s="343">
        <v>16</v>
      </c>
      <c r="G49" s="343">
        <v>13</v>
      </c>
      <c r="H49" s="343">
        <v>14</v>
      </c>
      <c r="I49" s="343">
        <v>15</v>
      </c>
      <c r="J49" s="343">
        <v>17</v>
      </c>
      <c r="K49" s="343">
        <v>16</v>
      </c>
      <c r="L49" s="343">
        <v>15</v>
      </c>
      <c r="M49" s="343">
        <v>16</v>
      </c>
    </row>
    <row r="50" spans="1:13" ht="15" customHeight="1">
      <c r="A50" s="21" t="s">
        <v>139</v>
      </c>
      <c r="B50" s="10"/>
      <c r="E50" s="200"/>
      <c r="F50" s="200"/>
      <c r="G50" s="200"/>
      <c r="H50" s="200"/>
      <c r="I50" s="200"/>
      <c r="J50" s="200"/>
      <c r="K50" s="200"/>
      <c r="L50" s="200"/>
      <c r="M50" s="200"/>
    </row>
    <row r="51" spans="1:13" ht="19.5" customHeight="1">
      <c r="B51" s="209"/>
    </row>
  </sheetData>
  <mergeCells count="1">
    <mergeCell ref="A1:M1"/>
  </mergeCells>
  <phoneticPr fontId="25" type="noConversion"/>
  <conditionalFormatting sqref="E4:F4 G2:G3 G51:G1048576 C2:D4 C50:D1048576 C5:J49">
    <cfRule type="cellIs" dxfId="954" priority="48" operator="equal">
      <formula>0</formula>
    </cfRule>
  </conditionalFormatting>
  <conditionalFormatting sqref="E2:F3 E51:F1048576">
    <cfRule type="cellIs" dxfId="953" priority="47" operator="equal">
      <formula>0</formula>
    </cfRule>
  </conditionalFormatting>
  <conditionalFormatting sqref="G4">
    <cfRule type="cellIs" dxfId="952" priority="39" operator="equal">
      <formula>0</formula>
    </cfRule>
  </conditionalFormatting>
  <conditionalFormatting sqref="J4">
    <cfRule type="cellIs" dxfId="951" priority="30" operator="equal">
      <formula>0</formula>
    </cfRule>
  </conditionalFormatting>
  <conditionalFormatting sqref="J2:J3 J51:J1048576">
    <cfRule type="cellIs" dxfId="950" priority="31" operator="equal">
      <formula>0</formula>
    </cfRule>
  </conditionalFormatting>
  <conditionalFormatting sqref="H4">
    <cfRule type="cellIs" dxfId="949" priority="28" operator="equal">
      <formula>0</formula>
    </cfRule>
  </conditionalFormatting>
  <conditionalFormatting sqref="H2:H3 H51:H1048576">
    <cfRule type="cellIs" dxfId="948" priority="29" operator="equal">
      <formula>0</formula>
    </cfRule>
  </conditionalFormatting>
  <conditionalFormatting sqref="I4">
    <cfRule type="cellIs" dxfId="947" priority="25" operator="equal">
      <formula>0</formula>
    </cfRule>
  </conditionalFormatting>
  <conditionalFormatting sqref="I2:I3 I51:I1048576">
    <cfRule type="cellIs" dxfId="946" priority="26" operator="equal">
      <formula>0</formula>
    </cfRule>
  </conditionalFormatting>
  <conditionalFormatting sqref="K4">
    <cfRule type="cellIs" dxfId="945" priority="22" operator="equal">
      <formula>0</formula>
    </cfRule>
  </conditionalFormatting>
  <conditionalFormatting sqref="K5:K49">
    <cfRule type="cellIs" dxfId="944" priority="24" operator="equal">
      <formula>0</formula>
    </cfRule>
  </conditionalFormatting>
  <conditionalFormatting sqref="K2:K3 K51:K1048576">
    <cfRule type="cellIs" dxfId="943" priority="23" operator="equal">
      <formula>0</formula>
    </cfRule>
  </conditionalFormatting>
  <conditionalFormatting sqref="L4">
    <cfRule type="cellIs" dxfId="942" priority="19" operator="equal">
      <formula>0</formula>
    </cfRule>
  </conditionalFormatting>
  <conditionalFormatting sqref="L5:L49">
    <cfRule type="cellIs" dxfId="941" priority="21" operator="equal">
      <formula>0</formula>
    </cfRule>
  </conditionalFormatting>
  <conditionalFormatting sqref="L2:L3 L51:L1048576">
    <cfRule type="cellIs" dxfId="940" priority="20" operator="equal">
      <formula>0</formula>
    </cfRule>
  </conditionalFormatting>
  <conditionalFormatting sqref="M4">
    <cfRule type="cellIs" dxfId="939" priority="10" operator="equal">
      <formula>0</formula>
    </cfRule>
  </conditionalFormatting>
  <conditionalFormatting sqref="M5:M49">
    <cfRule type="cellIs" dxfId="938" priority="12" operator="equal">
      <formula>0</formula>
    </cfRule>
  </conditionalFormatting>
  <conditionalFormatting sqref="M2:M3 M51:M1048576">
    <cfRule type="cellIs" dxfId="937" priority="11" operator="equal">
      <formula>0</formula>
    </cfRule>
  </conditionalFormatting>
  <printOptions horizontalCentered="1"/>
  <pageMargins left="0.27559055118110237" right="0.27559055118110237" top="1.7716535433070868" bottom="0.47244094488188981" header="0.19685039370078741" footer="0.19685039370078741"/>
  <pageSetup paperSize="9" scale="96" orientation="portrait" r:id="rId1"/>
  <headerFooter>
    <oddHeader>&amp;C&amp;G</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41">
    <tabColor indexed="24"/>
    <pageSetUpPr fitToPage="1"/>
  </sheetPr>
  <dimension ref="A1:N29"/>
  <sheetViews>
    <sheetView showGridLines="0" workbookViewId="0">
      <selection sqref="A1:L1"/>
    </sheetView>
  </sheetViews>
  <sheetFormatPr defaultColWidth="9.140625" defaultRowHeight="11.25"/>
  <cols>
    <col min="1" max="1" width="17.140625" style="8" customWidth="1"/>
    <col min="2" max="2" width="7.5703125" style="8" customWidth="1"/>
    <col min="3" max="12" width="7.5703125" style="29" customWidth="1"/>
    <col min="13" max="13" width="5.85546875" style="8" bestFit="1" customWidth="1"/>
    <col min="14" max="14" width="8" style="8" bestFit="1" customWidth="1"/>
    <col min="15" max="16384" width="9.140625" style="8"/>
  </cols>
  <sheetData>
    <row r="1" spans="1:14" s="23" customFormat="1" ht="28.5" customHeight="1">
      <c r="A1" s="790" t="s">
        <v>192</v>
      </c>
      <c r="B1" s="790"/>
      <c r="C1" s="790"/>
      <c r="D1" s="790"/>
      <c r="E1" s="790"/>
      <c r="F1" s="790"/>
      <c r="G1" s="790"/>
      <c r="H1" s="790"/>
      <c r="I1" s="790"/>
      <c r="J1" s="790"/>
      <c r="K1" s="790"/>
      <c r="L1" s="790"/>
    </row>
    <row r="2" spans="1:14" ht="15" customHeight="1">
      <c r="A2" s="156"/>
      <c r="B2" s="156"/>
      <c r="C2" s="156"/>
      <c r="D2" s="156"/>
      <c r="E2" s="156"/>
      <c r="F2" s="156"/>
      <c r="G2" s="156"/>
      <c r="H2" s="156"/>
      <c r="I2" s="156"/>
      <c r="J2" s="156"/>
      <c r="K2" s="156"/>
      <c r="L2" s="156"/>
    </row>
    <row r="3" spans="1:14" ht="15" customHeight="1">
      <c r="A3" s="219" t="s">
        <v>14</v>
      </c>
      <c r="B3" s="156"/>
      <c r="C3" s="156"/>
      <c r="D3" s="156"/>
      <c r="E3" s="156"/>
      <c r="F3" s="156"/>
      <c r="G3" s="156"/>
      <c r="H3" s="156"/>
      <c r="I3" s="156"/>
      <c r="J3" s="156"/>
      <c r="K3" s="156"/>
      <c r="L3" s="156"/>
    </row>
    <row r="4" spans="1:14" ht="28.5" customHeight="1" thickBot="1">
      <c r="A4" s="173"/>
      <c r="B4" s="173">
        <v>2013</v>
      </c>
      <c r="C4" s="173">
        <v>2014</v>
      </c>
      <c r="D4" s="173">
        <v>2015</v>
      </c>
      <c r="E4" s="173">
        <v>2016</v>
      </c>
      <c r="F4" s="173">
        <v>2017</v>
      </c>
      <c r="G4" s="173">
        <v>2018</v>
      </c>
      <c r="H4" s="173">
        <v>2019</v>
      </c>
      <c r="I4" s="173">
        <v>2020</v>
      </c>
      <c r="J4" s="173">
        <v>2021</v>
      </c>
      <c r="K4" s="173">
        <v>2022</v>
      </c>
      <c r="L4" s="173">
        <v>2023</v>
      </c>
    </row>
    <row r="5" spans="1:14" ht="20.25" customHeight="1" thickTop="1">
      <c r="A5" s="225" t="s">
        <v>12</v>
      </c>
      <c r="B5" s="344">
        <v>265860</v>
      </c>
      <c r="C5" s="344">
        <v>270181</v>
      </c>
      <c r="D5" s="344">
        <v>273060</v>
      </c>
      <c r="E5" s="344">
        <v>276332</v>
      </c>
      <c r="F5" s="344">
        <v>279191</v>
      </c>
      <c r="G5" s="344">
        <v>282236</v>
      </c>
      <c r="H5" s="344">
        <v>275751</v>
      </c>
      <c r="I5" s="344">
        <v>277641</v>
      </c>
      <c r="J5" s="344">
        <v>271806</v>
      </c>
      <c r="K5" s="344">
        <v>284860</v>
      </c>
      <c r="L5" s="344">
        <v>291252</v>
      </c>
      <c r="N5" s="643">
        <f>+(L5/B5-1)*100</f>
        <v>9.5508914466260428</v>
      </c>
    </row>
    <row r="6" spans="1:14" ht="20.25" customHeight="1">
      <c r="A6" s="171" t="s">
        <v>32</v>
      </c>
      <c r="B6" s="345">
        <v>181486</v>
      </c>
      <c r="C6" s="345">
        <v>183708</v>
      </c>
      <c r="D6" s="345">
        <v>184117</v>
      </c>
      <c r="E6" s="345">
        <v>184891</v>
      </c>
      <c r="F6" s="345">
        <v>184468</v>
      </c>
      <c r="G6" s="345">
        <v>184590</v>
      </c>
      <c r="H6" s="345">
        <v>177502</v>
      </c>
      <c r="I6" s="345">
        <v>180016</v>
      </c>
      <c r="J6" s="345">
        <v>174874</v>
      </c>
      <c r="K6" s="345">
        <v>181535</v>
      </c>
      <c r="L6" s="345">
        <v>184032</v>
      </c>
    </row>
    <row r="7" spans="1:14" ht="15" customHeight="1">
      <c r="A7" s="171" t="s">
        <v>33</v>
      </c>
      <c r="B7" s="345">
        <v>44774</v>
      </c>
      <c r="C7" s="345">
        <v>45735</v>
      </c>
      <c r="D7" s="345">
        <v>46893</v>
      </c>
      <c r="E7" s="345">
        <v>48126</v>
      </c>
      <c r="F7" s="345">
        <v>49422</v>
      </c>
      <c r="G7" s="345">
        <v>50470</v>
      </c>
      <c r="H7" s="345">
        <v>50421</v>
      </c>
      <c r="I7" s="345">
        <v>50026</v>
      </c>
      <c r="J7" s="345">
        <v>49427</v>
      </c>
      <c r="K7" s="345">
        <v>52248</v>
      </c>
      <c r="L7" s="345">
        <v>53724</v>
      </c>
    </row>
    <row r="8" spans="1:14" ht="15" customHeight="1">
      <c r="A8" s="171" t="s">
        <v>34</v>
      </c>
      <c r="B8" s="345">
        <v>20254</v>
      </c>
      <c r="C8" s="345">
        <v>20894</v>
      </c>
      <c r="D8" s="345">
        <v>21666</v>
      </c>
      <c r="E8" s="345">
        <v>22135</v>
      </c>
      <c r="F8" s="345">
        <v>23259</v>
      </c>
      <c r="G8" s="345">
        <v>24296</v>
      </c>
      <c r="H8" s="345">
        <v>24600</v>
      </c>
      <c r="I8" s="345">
        <v>24208</v>
      </c>
      <c r="J8" s="345">
        <v>24150</v>
      </c>
      <c r="K8" s="345">
        <v>25798</v>
      </c>
      <c r="L8" s="345">
        <v>26941</v>
      </c>
    </row>
    <row r="9" spans="1:14" ht="15" customHeight="1">
      <c r="A9" s="171" t="s">
        <v>35</v>
      </c>
      <c r="B9" s="345">
        <v>11687</v>
      </c>
      <c r="C9" s="345">
        <v>12067</v>
      </c>
      <c r="D9" s="345">
        <v>12480</v>
      </c>
      <c r="E9" s="345">
        <v>12961</v>
      </c>
      <c r="F9" s="345">
        <v>13502</v>
      </c>
      <c r="G9" s="345">
        <v>14010</v>
      </c>
      <c r="H9" s="345">
        <v>14160</v>
      </c>
      <c r="I9" s="345">
        <v>14026</v>
      </c>
      <c r="J9" s="345">
        <v>14098</v>
      </c>
      <c r="K9" s="345">
        <v>15272</v>
      </c>
      <c r="L9" s="345">
        <v>16091</v>
      </c>
    </row>
    <row r="10" spans="1:14" ht="15" customHeight="1">
      <c r="A10" s="171" t="s">
        <v>36</v>
      </c>
      <c r="B10" s="345">
        <v>3554</v>
      </c>
      <c r="C10" s="345">
        <v>3638</v>
      </c>
      <c r="D10" s="345">
        <v>3751</v>
      </c>
      <c r="E10" s="345">
        <v>3911</v>
      </c>
      <c r="F10" s="345">
        <v>4102</v>
      </c>
      <c r="G10" s="345">
        <v>4255</v>
      </c>
      <c r="H10" s="345">
        <v>4363</v>
      </c>
      <c r="I10" s="345">
        <v>4318</v>
      </c>
      <c r="J10" s="345">
        <v>4365</v>
      </c>
      <c r="K10" s="345">
        <v>4808</v>
      </c>
      <c r="L10" s="345">
        <v>5062</v>
      </c>
    </row>
    <row r="11" spans="1:14" ht="15" customHeight="1">
      <c r="A11" s="171" t="s">
        <v>37</v>
      </c>
      <c r="B11" s="345">
        <v>1084</v>
      </c>
      <c r="C11" s="345">
        <v>1128</v>
      </c>
      <c r="D11" s="345">
        <v>1158</v>
      </c>
      <c r="E11" s="345">
        <v>1196</v>
      </c>
      <c r="F11" s="345">
        <v>1276</v>
      </c>
      <c r="G11" s="345">
        <v>1343</v>
      </c>
      <c r="H11" s="345">
        <v>1340</v>
      </c>
      <c r="I11" s="345">
        <v>1304</v>
      </c>
      <c r="J11" s="345">
        <v>1387</v>
      </c>
      <c r="K11" s="345">
        <v>1481</v>
      </c>
      <c r="L11" s="345">
        <v>1536</v>
      </c>
    </row>
    <row r="12" spans="1:14" ht="15" customHeight="1">
      <c r="A12" s="171" t="s">
        <v>38</v>
      </c>
      <c r="B12" s="345">
        <v>541</v>
      </c>
      <c r="C12" s="345">
        <v>530</v>
      </c>
      <c r="D12" s="345">
        <v>531</v>
      </c>
      <c r="E12" s="345">
        <v>558</v>
      </c>
      <c r="F12" s="345">
        <v>569</v>
      </c>
      <c r="G12" s="345">
        <v>599</v>
      </c>
      <c r="H12" s="345">
        <v>611</v>
      </c>
      <c r="I12" s="345">
        <v>595</v>
      </c>
      <c r="J12" s="345">
        <v>608</v>
      </c>
      <c r="K12" s="345">
        <v>665</v>
      </c>
      <c r="L12" s="345">
        <v>715</v>
      </c>
    </row>
    <row r="13" spans="1:14" ht="15" customHeight="1">
      <c r="A13" s="171" t="s">
        <v>39</v>
      </c>
      <c r="B13" s="345">
        <v>261</v>
      </c>
      <c r="C13" s="345">
        <v>300</v>
      </c>
      <c r="D13" s="345">
        <v>309</v>
      </c>
      <c r="E13" s="345">
        <v>316</v>
      </c>
      <c r="F13" s="345">
        <v>324</v>
      </c>
      <c r="G13" s="345">
        <v>363</v>
      </c>
      <c r="H13" s="345">
        <v>365</v>
      </c>
      <c r="I13" s="345">
        <v>349</v>
      </c>
      <c r="J13" s="345">
        <v>368</v>
      </c>
      <c r="K13" s="345">
        <v>394</v>
      </c>
      <c r="L13" s="345">
        <v>403</v>
      </c>
    </row>
    <row r="14" spans="1:14" ht="15" customHeight="1">
      <c r="A14" s="171" t="s">
        <v>40</v>
      </c>
      <c r="B14" s="345">
        <v>463</v>
      </c>
      <c r="C14" s="345">
        <v>462</v>
      </c>
      <c r="D14" s="345">
        <v>483</v>
      </c>
      <c r="E14" s="345">
        <v>516</v>
      </c>
      <c r="F14" s="345">
        <v>560</v>
      </c>
      <c r="G14" s="345">
        <v>582</v>
      </c>
      <c r="H14" s="345">
        <v>600</v>
      </c>
      <c r="I14" s="345">
        <v>570</v>
      </c>
      <c r="J14" s="345">
        <v>581</v>
      </c>
      <c r="K14" s="345">
        <v>633</v>
      </c>
      <c r="L14" s="345">
        <v>703</v>
      </c>
    </row>
    <row r="15" spans="1:14" ht="15" customHeight="1">
      <c r="A15" s="171" t="s">
        <v>41</v>
      </c>
      <c r="B15" s="345">
        <v>180</v>
      </c>
      <c r="C15" s="345">
        <v>190</v>
      </c>
      <c r="D15" s="345">
        <v>206</v>
      </c>
      <c r="E15" s="345">
        <v>221</v>
      </c>
      <c r="F15" s="345">
        <v>219</v>
      </c>
      <c r="G15" s="345">
        <v>239</v>
      </c>
      <c r="H15" s="345">
        <v>265</v>
      </c>
      <c r="I15" s="345">
        <v>258</v>
      </c>
      <c r="J15" s="345">
        <v>248</v>
      </c>
      <c r="K15" s="345">
        <v>282</v>
      </c>
      <c r="L15" s="345">
        <v>296</v>
      </c>
    </row>
    <row r="16" spans="1:14" ht="15" customHeight="1">
      <c r="A16" s="220" t="s">
        <v>142</v>
      </c>
      <c r="B16" s="346">
        <v>155</v>
      </c>
      <c r="C16" s="346">
        <v>161</v>
      </c>
      <c r="D16" s="346">
        <v>158</v>
      </c>
      <c r="E16" s="346">
        <v>165</v>
      </c>
      <c r="F16" s="346">
        <v>179</v>
      </c>
      <c r="G16" s="346">
        <v>190</v>
      </c>
      <c r="H16" s="346">
        <v>190</v>
      </c>
      <c r="I16" s="346">
        <v>191</v>
      </c>
      <c r="J16" s="346">
        <v>204</v>
      </c>
      <c r="K16" s="346">
        <v>221</v>
      </c>
      <c r="L16" s="346">
        <v>231</v>
      </c>
    </row>
    <row r="17" spans="1:12" ht="15" customHeight="1">
      <c r="A17" s="171" t="s">
        <v>199</v>
      </c>
      <c r="B17" s="221"/>
      <c r="C17" s="156"/>
      <c r="D17" s="174"/>
      <c r="E17" s="174"/>
      <c r="F17" s="174"/>
      <c r="G17" s="174"/>
      <c r="H17" s="174"/>
      <c r="I17" s="174"/>
      <c r="J17" s="174"/>
      <c r="K17" s="174"/>
      <c r="L17" s="174"/>
    </row>
    <row r="18" spans="1:12" s="4" customFormat="1" ht="13.5" customHeight="1">
      <c r="A18" s="222" t="s">
        <v>138</v>
      </c>
      <c r="B18" s="143"/>
      <c r="C18" s="143"/>
      <c r="D18" s="174"/>
      <c r="E18" s="174"/>
      <c r="F18" s="174"/>
      <c r="G18" s="174"/>
      <c r="H18" s="174"/>
      <c r="I18" s="174"/>
      <c r="J18" s="174"/>
      <c r="K18" s="174"/>
      <c r="L18" s="174"/>
    </row>
    <row r="21" spans="1:12">
      <c r="B21" s="641">
        <f>SUM(B6:B9)</f>
        <v>258201</v>
      </c>
      <c r="C21" s="641">
        <f t="shared" ref="C21:L21" si="0">SUM(C6:C9)</f>
        <v>262404</v>
      </c>
      <c r="D21" s="641">
        <f t="shared" si="0"/>
        <v>265156</v>
      </c>
      <c r="E21" s="641">
        <f t="shared" si="0"/>
        <v>268113</v>
      </c>
      <c r="F21" s="641">
        <f t="shared" si="0"/>
        <v>270651</v>
      </c>
      <c r="G21" s="641">
        <f t="shared" si="0"/>
        <v>273366</v>
      </c>
      <c r="H21" s="641">
        <f t="shared" si="0"/>
        <v>266683</v>
      </c>
      <c r="I21" s="641">
        <f t="shared" si="0"/>
        <v>268276</v>
      </c>
      <c r="J21" s="641">
        <f t="shared" si="0"/>
        <v>262549</v>
      </c>
      <c r="K21" s="641">
        <f t="shared" si="0"/>
        <v>274853</v>
      </c>
      <c r="L21" s="641">
        <f t="shared" si="0"/>
        <v>280788</v>
      </c>
    </row>
    <row r="22" spans="1:12">
      <c r="B22" s="642">
        <f>+B21/B5*100</f>
        <v>97.119160460392678</v>
      </c>
      <c r="C22" s="642">
        <f t="shared" ref="C22:L22" si="1">+C21/C5*100</f>
        <v>97.121559251020614</v>
      </c>
      <c r="D22" s="642">
        <f t="shared" si="1"/>
        <v>97.105398081007834</v>
      </c>
      <c r="E22" s="642">
        <f t="shared" si="1"/>
        <v>97.02567925538844</v>
      </c>
      <c r="F22" s="642">
        <f t="shared" si="1"/>
        <v>96.941162143478834</v>
      </c>
      <c r="G22" s="642">
        <f t="shared" si="1"/>
        <v>96.857240040250005</v>
      </c>
      <c r="H22" s="642">
        <f t="shared" si="1"/>
        <v>96.711525978146952</v>
      </c>
      <c r="I22" s="642">
        <f t="shared" si="1"/>
        <v>96.626939104815207</v>
      </c>
      <c r="J22" s="642">
        <f t="shared" si="1"/>
        <v>96.594262083986365</v>
      </c>
      <c r="K22" s="642">
        <f t="shared" si="1"/>
        <v>96.48704626834234</v>
      </c>
      <c r="L22" s="642">
        <f t="shared" si="1"/>
        <v>96.407234971777029</v>
      </c>
    </row>
    <row r="23" spans="1:12">
      <c r="C23" s="8"/>
      <c r="D23" s="8"/>
      <c r="E23" s="8"/>
      <c r="F23" s="8"/>
      <c r="G23" s="8"/>
      <c r="H23" s="8"/>
      <c r="I23" s="8"/>
      <c r="J23" s="8"/>
      <c r="K23" s="8"/>
      <c r="L23" s="8"/>
    </row>
    <row r="24" spans="1:12">
      <c r="B24" s="641">
        <f>+B6+B7</f>
        <v>226260</v>
      </c>
      <c r="C24" s="641">
        <f t="shared" ref="C24:L24" si="2">+C6+C7</f>
        <v>229443</v>
      </c>
      <c r="D24" s="641">
        <f t="shared" si="2"/>
        <v>231010</v>
      </c>
      <c r="E24" s="641">
        <f t="shared" si="2"/>
        <v>233017</v>
      </c>
      <c r="F24" s="641">
        <f t="shared" si="2"/>
        <v>233890</v>
      </c>
      <c r="G24" s="641">
        <f t="shared" si="2"/>
        <v>235060</v>
      </c>
      <c r="H24" s="641">
        <f t="shared" si="2"/>
        <v>227923</v>
      </c>
      <c r="I24" s="641">
        <f t="shared" si="2"/>
        <v>230042</v>
      </c>
      <c r="J24" s="641">
        <f t="shared" si="2"/>
        <v>224301</v>
      </c>
      <c r="K24" s="641">
        <f t="shared" si="2"/>
        <v>233783</v>
      </c>
      <c r="L24" s="641">
        <f t="shared" si="2"/>
        <v>237756</v>
      </c>
    </row>
    <row r="25" spans="1:12">
      <c r="B25" s="642">
        <f>+B24/B5*100</f>
        <v>85.10494245091401</v>
      </c>
      <c r="C25" s="642">
        <f t="shared" ref="C25:L25" si="3">+C24/C5*100</f>
        <v>84.921959723296609</v>
      </c>
      <c r="D25" s="642">
        <f t="shared" si="3"/>
        <v>84.600454112649231</v>
      </c>
      <c r="E25" s="642">
        <f t="shared" si="3"/>
        <v>84.325014837224785</v>
      </c>
      <c r="F25" s="642">
        <f t="shared" si="3"/>
        <v>83.77419042877456</v>
      </c>
      <c r="G25" s="642">
        <f t="shared" si="3"/>
        <v>83.284910500432261</v>
      </c>
      <c r="H25" s="642">
        <f t="shared" si="3"/>
        <v>82.655366616984168</v>
      </c>
      <c r="I25" s="642">
        <f t="shared" si="3"/>
        <v>82.855918254148335</v>
      </c>
      <c r="J25" s="642">
        <f t="shared" si="3"/>
        <v>82.522460872828418</v>
      </c>
      <c r="K25" s="642">
        <f t="shared" si="3"/>
        <v>82.069437618479256</v>
      </c>
      <c r="L25" s="642">
        <f t="shared" si="3"/>
        <v>81.632400807548095</v>
      </c>
    </row>
    <row r="28" spans="1:12">
      <c r="B28" s="641">
        <f>+B8+B9</f>
        <v>31941</v>
      </c>
      <c r="C28" s="641">
        <f t="shared" ref="C28:L28" si="4">+C8+C9</f>
        <v>32961</v>
      </c>
      <c r="D28" s="641">
        <f t="shared" si="4"/>
        <v>34146</v>
      </c>
      <c r="E28" s="641">
        <f t="shared" si="4"/>
        <v>35096</v>
      </c>
      <c r="F28" s="641">
        <f t="shared" si="4"/>
        <v>36761</v>
      </c>
      <c r="G28" s="641">
        <f t="shared" si="4"/>
        <v>38306</v>
      </c>
      <c r="H28" s="641">
        <f t="shared" si="4"/>
        <v>38760</v>
      </c>
      <c r="I28" s="641">
        <f t="shared" si="4"/>
        <v>38234</v>
      </c>
      <c r="J28" s="641">
        <f t="shared" si="4"/>
        <v>38248</v>
      </c>
      <c r="K28" s="641">
        <f t="shared" si="4"/>
        <v>41070</v>
      </c>
      <c r="L28" s="641">
        <f t="shared" si="4"/>
        <v>43032</v>
      </c>
    </row>
    <row r="29" spans="1:12">
      <c r="B29" s="642">
        <f>+B28/B5*100</f>
        <v>12.014218009478673</v>
      </c>
      <c r="C29" s="642">
        <f t="shared" ref="C29:L29" si="5">+C28/C5*100</f>
        <v>12.199599527724008</v>
      </c>
      <c r="D29" s="642">
        <f t="shared" si="5"/>
        <v>12.504943968358603</v>
      </c>
      <c r="E29" s="642">
        <f t="shared" si="5"/>
        <v>12.700664418163656</v>
      </c>
      <c r="F29" s="642">
        <f t="shared" si="5"/>
        <v>13.166971714704271</v>
      </c>
      <c r="G29" s="642">
        <f t="shared" si="5"/>
        <v>13.572329539817741</v>
      </c>
      <c r="H29" s="642">
        <f t="shared" si="5"/>
        <v>14.056159361162788</v>
      </c>
      <c r="I29" s="642">
        <f t="shared" si="5"/>
        <v>13.771020850666869</v>
      </c>
      <c r="J29" s="642">
        <f t="shared" si="5"/>
        <v>14.071801211157958</v>
      </c>
      <c r="K29" s="642">
        <f t="shared" si="5"/>
        <v>14.417608649863089</v>
      </c>
      <c r="L29" s="642">
        <f t="shared" si="5"/>
        <v>14.774834164228915</v>
      </c>
    </row>
  </sheetData>
  <mergeCells count="1">
    <mergeCell ref="A1:L1"/>
  </mergeCells>
  <phoneticPr fontId="25" type="noConversion"/>
  <conditionalFormatting sqref="D17:F18 I17:I18 B5:I16">
    <cfRule type="cellIs" dxfId="936" priority="27" operator="equal">
      <formula>0</formula>
    </cfRule>
  </conditionalFormatting>
  <conditionalFormatting sqref="G17:G18">
    <cfRule type="cellIs" dxfId="935" priority="16" operator="equal">
      <formula>0</formula>
    </cfRule>
  </conditionalFormatting>
  <conditionalFormatting sqref="H17:H18">
    <cfRule type="cellIs" dxfId="934" priority="13" operator="equal">
      <formula>0</formula>
    </cfRule>
  </conditionalFormatting>
  <conditionalFormatting sqref="J17:J18">
    <cfRule type="cellIs" dxfId="933" priority="10" operator="equal">
      <formula>0</formula>
    </cfRule>
  </conditionalFormatting>
  <conditionalFormatting sqref="J16">
    <cfRule type="cellIs" dxfId="932" priority="9" operator="equal">
      <formula>0</formula>
    </cfRule>
  </conditionalFormatting>
  <conditionalFormatting sqref="J5:J15">
    <cfRule type="cellIs" dxfId="931" priority="8" operator="equal">
      <formula>0</formula>
    </cfRule>
  </conditionalFormatting>
  <conditionalFormatting sqref="K17:K18">
    <cfRule type="cellIs" dxfId="930" priority="7" operator="equal">
      <formula>0</formula>
    </cfRule>
  </conditionalFormatting>
  <conditionalFormatting sqref="K16">
    <cfRule type="cellIs" dxfId="929" priority="6" operator="equal">
      <formula>0</formula>
    </cfRule>
  </conditionalFormatting>
  <conditionalFormatting sqref="K5:K15">
    <cfRule type="cellIs" dxfId="928" priority="5" operator="equal">
      <formula>0</formula>
    </cfRule>
  </conditionalFormatting>
  <conditionalFormatting sqref="L17:L18">
    <cfRule type="cellIs" dxfId="927" priority="4" operator="equal">
      <formula>0</formula>
    </cfRule>
  </conditionalFormatting>
  <conditionalFormatting sqref="L16">
    <cfRule type="cellIs" dxfId="926" priority="3" operator="equal">
      <formula>0</formula>
    </cfRule>
  </conditionalFormatting>
  <conditionalFormatting sqref="L5:L15">
    <cfRule type="cellIs" dxfId="925" priority="2" operator="equal">
      <formula>0</formula>
    </cfRule>
  </conditionalFormatting>
  <conditionalFormatting sqref="N5">
    <cfRule type="cellIs" dxfId="92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51">
    <tabColor indexed="24"/>
    <pageSetUpPr fitToPage="1"/>
  </sheetPr>
  <dimension ref="A1:AK25"/>
  <sheetViews>
    <sheetView showGridLines="0" workbookViewId="0">
      <selection sqref="A1:L1"/>
    </sheetView>
  </sheetViews>
  <sheetFormatPr defaultColWidth="9.140625" defaultRowHeight="11.25"/>
  <cols>
    <col min="1" max="1" width="17.140625" style="4" customWidth="1"/>
    <col min="2" max="2" width="7.5703125" style="22" customWidth="1"/>
    <col min="3" max="12" width="7.5703125" style="4" customWidth="1"/>
    <col min="13" max="14" width="5.85546875" style="4" bestFit="1" customWidth="1"/>
    <col min="15" max="16384" width="9.140625" style="4"/>
  </cols>
  <sheetData>
    <row r="1" spans="1:37" s="3" customFormat="1" ht="29.25" customHeight="1">
      <c r="A1" s="791" t="s">
        <v>193</v>
      </c>
      <c r="B1" s="791"/>
      <c r="C1" s="791"/>
      <c r="D1" s="791"/>
      <c r="E1" s="791"/>
      <c r="F1" s="791"/>
      <c r="G1" s="791"/>
      <c r="H1" s="791"/>
      <c r="I1" s="791"/>
      <c r="J1" s="791"/>
      <c r="K1" s="791"/>
      <c r="L1" s="791"/>
    </row>
    <row r="2" spans="1:37" ht="15" customHeight="1">
      <c r="A2" s="11"/>
      <c r="B2" s="12"/>
      <c r="C2" s="176"/>
      <c r="D2" s="176"/>
      <c r="E2" s="176"/>
      <c r="F2" s="176"/>
      <c r="G2" s="176"/>
      <c r="H2" s="176"/>
      <c r="I2" s="176"/>
      <c r="J2" s="176"/>
      <c r="K2" s="176"/>
      <c r="L2" s="176"/>
    </row>
    <row r="3" spans="1:37" ht="15" customHeight="1">
      <c r="A3" s="13" t="s">
        <v>42</v>
      </c>
      <c r="B3" s="14"/>
      <c r="C3" s="176"/>
      <c r="D3" s="176"/>
      <c r="E3" s="176"/>
      <c r="F3" s="176"/>
      <c r="G3" s="176"/>
      <c r="H3" s="176"/>
      <c r="I3" s="176"/>
      <c r="J3" s="176"/>
      <c r="K3" s="176"/>
      <c r="L3" s="176"/>
    </row>
    <row r="4" spans="1:37" ht="28.5" customHeight="1" thickBot="1">
      <c r="A4" s="15"/>
      <c r="B4" s="16">
        <v>2013</v>
      </c>
      <c r="C4" s="16">
        <v>2014</v>
      </c>
      <c r="D4" s="16">
        <v>2015</v>
      </c>
      <c r="E4" s="16">
        <v>2016</v>
      </c>
      <c r="F4" s="16">
        <v>2017</v>
      </c>
      <c r="G4" s="16">
        <v>2018</v>
      </c>
      <c r="H4" s="16">
        <v>2019</v>
      </c>
      <c r="I4" s="16">
        <v>2020</v>
      </c>
      <c r="J4" s="16">
        <v>2021</v>
      </c>
      <c r="K4" s="16">
        <v>2022</v>
      </c>
      <c r="L4" s="16">
        <v>2023</v>
      </c>
      <c r="O4" s="448"/>
      <c r="P4" s="648">
        <f>+B4</f>
        <v>2013</v>
      </c>
      <c r="Q4" s="648">
        <f t="shared" ref="Q4:W4" si="0">+C4</f>
        <v>2014</v>
      </c>
      <c r="R4" s="648">
        <f t="shared" si="0"/>
        <v>2015</v>
      </c>
      <c r="S4" s="648">
        <f t="shared" si="0"/>
        <v>2016</v>
      </c>
      <c r="T4" s="648">
        <f t="shared" si="0"/>
        <v>2017</v>
      </c>
      <c r="U4" s="648">
        <f t="shared" si="0"/>
        <v>2018</v>
      </c>
      <c r="V4" s="648">
        <f t="shared" si="0"/>
        <v>2019</v>
      </c>
      <c r="W4" s="648">
        <f t="shared" si="0"/>
        <v>2020</v>
      </c>
      <c r="X4" s="648">
        <f>+J4</f>
        <v>2021</v>
      </c>
      <c r="Y4" s="648">
        <f t="shared" ref="Y4" si="1">+K4</f>
        <v>2022</v>
      </c>
      <c r="Z4" s="648">
        <f t="shared" ref="Z4" si="2">+L4</f>
        <v>2023</v>
      </c>
      <c r="AA4" s="648">
        <f>+B4</f>
        <v>2013</v>
      </c>
      <c r="AB4" s="648">
        <f t="shared" ref="AB4:AJ4" si="3">+C4</f>
        <v>2014</v>
      </c>
      <c r="AC4" s="648">
        <f t="shared" si="3"/>
        <v>2015</v>
      </c>
      <c r="AD4" s="648">
        <f t="shared" si="3"/>
        <v>2016</v>
      </c>
      <c r="AE4" s="648">
        <f t="shared" si="3"/>
        <v>2017</v>
      </c>
      <c r="AF4" s="648">
        <f t="shared" si="3"/>
        <v>2018</v>
      </c>
      <c r="AG4" s="648">
        <f t="shared" si="3"/>
        <v>2019</v>
      </c>
      <c r="AH4" s="648">
        <f t="shared" si="3"/>
        <v>2020</v>
      </c>
      <c r="AI4" s="648">
        <f t="shared" si="3"/>
        <v>2021</v>
      </c>
      <c r="AJ4" s="648">
        <f t="shared" si="3"/>
        <v>2022</v>
      </c>
      <c r="AK4" s="648">
        <f>+L4</f>
        <v>2023</v>
      </c>
    </row>
    <row r="5" spans="1:37" ht="20.25" customHeight="1" thickTop="1">
      <c r="A5" s="116" t="s">
        <v>12</v>
      </c>
      <c r="B5" s="347">
        <v>265860</v>
      </c>
      <c r="C5" s="347">
        <v>270181</v>
      </c>
      <c r="D5" s="347">
        <v>273060</v>
      </c>
      <c r="E5" s="347">
        <v>276332</v>
      </c>
      <c r="F5" s="347">
        <v>279191</v>
      </c>
      <c r="G5" s="347">
        <v>282236</v>
      </c>
      <c r="H5" s="347">
        <v>275751</v>
      </c>
      <c r="I5" s="347">
        <v>277641</v>
      </c>
      <c r="J5" s="347">
        <v>271806</v>
      </c>
      <c r="K5" s="347">
        <v>284860</v>
      </c>
      <c r="L5" s="347">
        <v>291252</v>
      </c>
    </row>
    <row r="6" spans="1:37" ht="20.25" customHeight="1">
      <c r="A6" s="17" t="s">
        <v>15</v>
      </c>
      <c r="B6" s="348">
        <v>19183</v>
      </c>
      <c r="C6" s="348">
        <v>19346</v>
      </c>
      <c r="D6" s="348">
        <v>19511</v>
      </c>
      <c r="E6" s="348">
        <v>19753</v>
      </c>
      <c r="F6" s="348">
        <v>19926</v>
      </c>
      <c r="G6" s="348">
        <v>20182</v>
      </c>
      <c r="H6" s="348">
        <v>19828</v>
      </c>
      <c r="I6" s="348">
        <v>19735</v>
      </c>
      <c r="J6" s="348">
        <v>19227</v>
      </c>
      <c r="K6" s="348">
        <v>19850</v>
      </c>
      <c r="L6" s="348">
        <v>19949</v>
      </c>
      <c r="N6" s="647">
        <f>+(L6/B6-1)*100</f>
        <v>3.993118907365889</v>
      </c>
      <c r="O6" s="497">
        <f t="shared" ref="O6:O10" si="4">+L6-B6</f>
        <v>766</v>
      </c>
      <c r="P6" s="647">
        <f>B6*100/B$5</f>
        <v>7.2154517415180921</v>
      </c>
      <c r="Q6" s="647">
        <f t="shared" ref="Q6:Z6" si="5">C6*100/C$5</f>
        <v>7.1603850751903355</v>
      </c>
      <c r="R6" s="647">
        <f t="shared" si="5"/>
        <v>7.1453160477550721</v>
      </c>
      <c r="S6" s="647">
        <f t="shared" si="5"/>
        <v>7.1482853958282062</v>
      </c>
      <c r="T6" s="647">
        <f t="shared" si="5"/>
        <v>7.1370495467260762</v>
      </c>
      <c r="U6" s="647">
        <f t="shared" si="5"/>
        <v>7.1507532703127881</v>
      </c>
      <c r="V6" s="647">
        <f t="shared" si="5"/>
        <v>7.1905450932181569</v>
      </c>
      <c r="W6" s="647">
        <f t="shared" si="5"/>
        <v>7.108100028454011</v>
      </c>
      <c r="X6" s="647">
        <f t="shared" si="5"/>
        <v>7.0737952804573849</v>
      </c>
      <c r="Y6" s="647">
        <f t="shared" si="5"/>
        <v>6.9683353226146174</v>
      </c>
      <c r="Z6" s="647">
        <f t="shared" si="5"/>
        <v>6.8493950256135578</v>
      </c>
      <c r="AA6" s="4">
        <f>+RANK(B6,B$6:B$23,0)</f>
        <v>4</v>
      </c>
      <c r="AB6" s="4">
        <f t="shared" ref="AB6:AK21" si="6">+RANK(C6,C$6:C$23,0)</f>
        <v>4</v>
      </c>
      <c r="AC6" s="4">
        <f t="shared" si="6"/>
        <v>4</v>
      </c>
      <c r="AD6" s="4">
        <f t="shared" si="6"/>
        <v>4</v>
      </c>
      <c r="AE6" s="4">
        <f t="shared" si="6"/>
        <v>4</v>
      </c>
      <c r="AF6" s="4">
        <f t="shared" si="6"/>
        <v>4</v>
      </c>
      <c r="AG6" s="4">
        <f t="shared" si="6"/>
        <v>4</v>
      </c>
      <c r="AH6" s="4">
        <f t="shared" si="6"/>
        <v>4</v>
      </c>
      <c r="AI6" s="4">
        <f t="shared" si="6"/>
        <v>4</v>
      </c>
      <c r="AJ6" s="4">
        <f t="shared" si="6"/>
        <v>4</v>
      </c>
      <c r="AK6" s="4">
        <f>+RANK(L6,L$6:L$23,0)</f>
        <v>4</v>
      </c>
    </row>
    <row r="7" spans="1:37" ht="15" customHeight="1">
      <c r="A7" s="17" t="s">
        <v>16</v>
      </c>
      <c r="B7" s="348">
        <v>4027</v>
      </c>
      <c r="C7" s="348">
        <v>4126</v>
      </c>
      <c r="D7" s="348">
        <v>4182</v>
      </c>
      <c r="E7" s="348">
        <v>4271</v>
      </c>
      <c r="F7" s="348">
        <v>4352</v>
      </c>
      <c r="G7" s="348">
        <v>4398</v>
      </c>
      <c r="H7" s="348">
        <v>4357</v>
      </c>
      <c r="I7" s="348">
        <v>4387</v>
      </c>
      <c r="J7" s="348">
        <v>4403</v>
      </c>
      <c r="K7" s="348">
        <v>4593</v>
      </c>
      <c r="L7" s="348">
        <v>4837</v>
      </c>
      <c r="N7" s="647">
        <f t="shared" ref="N7:N23" si="7">+(L7/B7-1)*100</f>
        <v>20.114228954556744</v>
      </c>
      <c r="O7" s="497">
        <f t="shared" si="4"/>
        <v>810</v>
      </c>
      <c r="P7" s="647">
        <f t="shared" ref="P7:P23" si="8">B7*100/B$5</f>
        <v>1.5147069886406379</v>
      </c>
      <c r="Q7" s="647">
        <f t="shared" ref="Q7:Q23" si="9">C7*100/C$5</f>
        <v>1.5271244091923561</v>
      </c>
      <c r="R7" s="647">
        <f t="shared" ref="R7:R23" si="10">D7*100/D$5</f>
        <v>1.5315315315315314</v>
      </c>
      <c r="S7" s="647">
        <f t="shared" ref="S7:S23" si="11">E7*100/E$5</f>
        <v>1.5456045626275638</v>
      </c>
      <c r="T7" s="647">
        <f t="shared" ref="T7:T23" si="12">F7*100/F$5</f>
        <v>1.5587895025269438</v>
      </c>
      <c r="U7" s="647">
        <f t="shared" ref="U7:U23" si="13">G7*100/G$5</f>
        <v>1.558270383650562</v>
      </c>
      <c r="V7" s="647">
        <f t="shared" ref="V7:V23" si="14">H7*100/H$5</f>
        <v>1.580048667094589</v>
      </c>
      <c r="W7" s="647">
        <f t="shared" ref="W7:W23" si="15">I7*100/I$5</f>
        <v>1.5800980402750315</v>
      </c>
      <c r="X7" s="647">
        <f t="shared" ref="X7:X23" si="16">J7*100/J$5</f>
        <v>1.6199053736856435</v>
      </c>
      <c r="Y7" s="647">
        <f t="shared" ref="Y7:Y23" si="17">K7*100/K$5</f>
        <v>1.612370989257881</v>
      </c>
      <c r="Z7" s="647">
        <f t="shared" ref="Z7:Z23" si="18">L7*100/L$5</f>
        <v>1.6607611278205814</v>
      </c>
      <c r="AA7" s="4">
        <f t="shared" ref="AA7:AA23" si="19">+RANK(B7,B$6:B$23,0)</f>
        <v>16</v>
      </c>
      <c r="AB7" s="4">
        <f t="shared" si="6"/>
        <v>16</v>
      </c>
      <c r="AC7" s="4">
        <f t="shared" si="6"/>
        <v>16</v>
      </c>
      <c r="AD7" s="4">
        <f t="shared" si="6"/>
        <v>16</v>
      </c>
      <c r="AE7" s="4">
        <f t="shared" si="6"/>
        <v>16</v>
      </c>
      <c r="AF7" s="4">
        <f t="shared" si="6"/>
        <v>15</v>
      </c>
      <c r="AG7" s="4">
        <f t="shared" si="6"/>
        <v>15</v>
      </c>
      <c r="AH7" s="4">
        <f t="shared" si="6"/>
        <v>15</v>
      </c>
      <c r="AI7" s="4">
        <f t="shared" si="6"/>
        <v>15</v>
      </c>
      <c r="AJ7" s="4">
        <f t="shared" si="6"/>
        <v>15</v>
      </c>
      <c r="AK7" s="4">
        <f t="shared" si="6"/>
        <v>14</v>
      </c>
    </row>
    <row r="8" spans="1:37" ht="15" customHeight="1">
      <c r="A8" s="17" t="s">
        <v>66</v>
      </c>
      <c r="B8" s="348">
        <v>25389</v>
      </c>
      <c r="C8" s="348">
        <v>26240</v>
      </c>
      <c r="D8" s="348">
        <v>26600</v>
      </c>
      <c r="E8" s="348">
        <v>27141</v>
      </c>
      <c r="F8" s="348">
        <v>27607</v>
      </c>
      <c r="G8" s="348">
        <v>27722</v>
      </c>
      <c r="H8" s="348">
        <v>26943</v>
      </c>
      <c r="I8" s="348">
        <v>27215</v>
      </c>
      <c r="J8" s="348">
        <v>26761</v>
      </c>
      <c r="K8" s="348">
        <v>28579</v>
      </c>
      <c r="L8" s="348">
        <v>29169</v>
      </c>
      <c r="N8" s="647">
        <f t="shared" si="7"/>
        <v>14.888337468982638</v>
      </c>
      <c r="O8" s="497">
        <f t="shared" si="4"/>
        <v>3780</v>
      </c>
      <c r="P8" s="647">
        <f t="shared" si="8"/>
        <v>9.5497630331753562</v>
      </c>
      <c r="Q8" s="647">
        <f t="shared" si="9"/>
        <v>9.7120078762015094</v>
      </c>
      <c r="R8" s="647">
        <f t="shared" si="10"/>
        <v>9.7414487658390101</v>
      </c>
      <c r="S8" s="647">
        <f t="shared" si="11"/>
        <v>9.8218809258428266</v>
      </c>
      <c r="T8" s="647">
        <f t="shared" si="12"/>
        <v>9.8882127289203456</v>
      </c>
      <c r="U8" s="647">
        <f t="shared" si="13"/>
        <v>9.8222763928060211</v>
      </c>
      <c r="V8" s="647">
        <f t="shared" si="14"/>
        <v>9.7707714568578172</v>
      </c>
      <c r="W8" s="647">
        <f t="shared" si="15"/>
        <v>9.8022266163859086</v>
      </c>
      <c r="X8" s="647">
        <f t="shared" si="16"/>
        <v>9.8456251885536012</v>
      </c>
      <c r="Y8" s="647">
        <f t="shared" si="17"/>
        <v>10.032647616372955</v>
      </c>
      <c r="Z8" s="647">
        <f t="shared" si="18"/>
        <v>10.015038523340612</v>
      </c>
      <c r="AA8" s="4">
        <f t="shared" si="19"/>
        <v>3</v>
      </c>
      <c r="AB8" s="4">
        <f t="shared" si="6"/>
        <v>3</v>
      </c>
      <c r="AC8" s="4">
        <f t="shared" si="6"/>
        <v>3</v>
      </c>
      <c r="AD8" s="4">
        <f t="shared" si="6"/>
        <v>3</v>
      </c>
      <c r="AE8" s="4">
        <f t="shared" si="6"/>
        <v>3</v>
      </c>
      <c r="AF8" s="4">
        <f t="shared" si="6"/>
        <v>3</v>
      </c>
      <c r="AG8" s="4">
        <f t="shared" si="6"/>
        <v>3</v>
      </c>
      <c r="AH8" s="4">
        <f t="shared" si="6"/>
        <v>3</v>
      </c>
      <c r="AI8" s="4">
        <f t="shared" si="6"/>
        <v>3</v>
      </c>
      <c r="AJ8" s="4">
        <f t="shared" si="6"/>
        <v>3</v>
      </c>
      <c r="AK8" s="4">
        <f t="shared" si="6"/>
        <v>3</v>
      </c>
    </row>
    <row r="9" spans="1:37" ht="15" customHeight="1">
      <c r="A9" s="17" t="s">
        <v>17</v>
      </c>
      <c r="B9" s="348">
        <v>3580</v>
      </c>
      <c r="C9" s="348">
        <v>3603</v>
      </c>
      <c r="D9" s="348">
        <v>3624</v>
      </c>
      <c r="E9" s="348">
        <v>3653</v>
      </c>
      <c r="F9" s="348">
        <v>3691</v>
      </c>
      <c r="G9" s="348">
        <v>3714</v>
      </c>
      <c r="H9" s="348">
        <v>3441</v>
      </c>
      <c r="I9" s="348">
        <v>3474</v>
      </c>
      <c r="J9" s="348">
        <v>3568</v>
      </c>
      <c r="K9" s="348">
        <v>3640</v>
      </c>
      <c r="L9" s="348">
        <v>3729</v>
      </c>
      <c r="N9" s="647">
        <f t="shared" si="7"/>
        <v>4.1620111731843545</v>
      </c>
      <c r="O9" s="497">
        <f t="shared" si="4"/>
        <v>149</v>
      </c>
      <c r="P9" s="647">
        <f t="shared" si="8"/>
        <v>1.3465733844880765</v>
      </c>
      <c r="Q9" s="647">
        <f t="shared" si="9"/>
        <v>1.3335504717208093</v>
      </c>
      <c r="R9" s="647">
        <f t="shared" si="10"/>
        <v>1.3271808393759614</v>
      </c>
      <c r="S9" s="647">
        <f t="shared" si="11"/>
        <v>1.3219605402197356</v>
      </c>
      <c r="T9" s="647">
        <f t="shared" si="12"/>
        <v>1.3220340197212661</v>
      </c>
      <c r="U9" s="647">
        <f t="shared" si="13"/>
        <v>1.3159200102042263</v>
      </c>
      <c r="V9" s="647">
        <f t="shared" si="14"/>
        <v>1.2478649216140649</v>
      </c>
      <c r="W9" s="647">
        <f t="shared" si="15"/>
        <v>1.2512561185127558</v>
      </c>
      <c r="X9" s="647">
        <f t="shared" si="16"/>
        <v>1.3127009705451682</v>
      </c>
      <c r="Y9" s="647">
        <f t="shared" si="17"/>
        <v>1.2778206838446957</v>
      </c>
      <c r="Z9" s="647">
        <f t="shared" si="18"/>
        <v>1.2803345556425363</v>
      </c>
      <c r="AA9" s="4">
        <f t="shared" si="19"/>
        <v>17</v>
      </c>
      <c r="AB9" s="4">
        <f t="shared" si="6"/>
        <v>17</v>
      </c>
      <c r="AC9" s="4">
        <f t="shared" si="6"/>
        <v>17</v>
      </c>
      <c r="AD9" s="4">
        <f t="shared" si="6"/>
        <v>17</v>
      </c>
      <c r="AE9" s="4">
        <f t="shared" si="6"/>
        <v>17</v>
      </c>
      <c r="AF9" s="4">
        <f t="shared" si="6"/>
        <v>17</v>
      </c>
      <c r="AG9" s="4">
        <f t="shared" si="6"/>
        <v>17</v>
      </c>
      <c r="AH9" s="4">
        <f t="shared" si="6"/>
        <v>17</v>
      </c>
      <c r="AI9" s="4">
        <f t="shared" si="6"/>
        <v>17</v>
      </c>
      <c r="AJ9" s="4">
        <f t="shared" si="6"/>
        <v>17</v>
      </c>
      <c r="AK9" s="4">
        <f t="shared" si="6"/>
        <v>17</v>
      </c>
    </row>
    <row r="10" spans="1:37" ht="15" customHeight="1">
      <c r="A10" s="17" t="s">
        <v>18</v>
      </c>
      <c r="B10" s="348">
        <v>4611</v>
      </c>
      <c r="C10" s="348">
        <v>4726</v>
      </c>
      <c r="D10" s="348">
        <v>4738</v>
      </c>
      <c r="E10" s="348">
        <v>4744</v>
      </c>
      <c r="F10" s="348">
        <v>4692</v>
      </c>
      <c r="G10" s="348">
        <v>4696</v>
      </c>
      <c r="H10" s="348">
        <v>4527</v>
      </c>
      <c r="I10" s="348">
        <v>4500</v>
      </c>
      <c r="J10" s="348">
        <v>4479</v>
      </c>
      <c r="K10" s="348">
        <v>4718</v>
      </c>
      <c r="L10" s="348">
        <v>4717</v>
      </c>
      <c r="N10" s="647">
        <f t="shared" si="7"/>
        <v>2.2988505747126409</v>
      </c>
      <c r="O10" s="497">
        <f t="shared" si="4"/>
        <v>106</v>
      </c>
      <c r="P10" s="647">
        <f t="shared" si="8"/>
        <v>1.7343714737079665</v>
      </c>
      <c r="Q10" s="647">
        <f t="shared" si="9"/>
        <v>1.7491977600201347</v>
      </c>
      <c r="R10" s="647">
        <f t="shared" si="10"/>
        <v>1.7351497839302716</v>
      </c>
      <c r="S10" s="647">
        <f t="shared" si="11"/>
        <v>1.7167754729817755</v>
      </c>
      <c r="T10" s="647">
        <f t="shared" si="12"/>
        <v>1.6805699324118615</v>
      </c>
      <c r="U10" s="647">
        <f t="shared" si="13"/>
        <v>1.6638557802689948</v>
      </c>
      <c r="V10" s="647">
        <f t="shared" si="14"/>
        <v>1.6416984888540749</v>
      </c>
      <c r="W10" s="647">
        <f t="shared" si="15"/>
        <v>1.6207980809750722</v>
      </c>
      <c r="X10" s="647">
        <f t="shared" si="16"/>
        <v>1.6478664930133993</v>
      </c>
      <c r="Y10" s="647">
        <f t="shared" si="17"/>
        <v>1.6562521940602402</v>
      </c>
      <c r="Z10" s="647">
        <f t="shared" si="18"/>
        <v>1.6195596940106849</v>
      </c>
      <c r="AA10" s="4">
        <f t="shared" si="19"/>
        <v>14</v>
      </c>
      <c r="AB10" s="4">
        <f t="shared" si="6"/>
        <v>14</v>
      </c>
      <c r="AC10" s="4">
        <f t="shared" si="6"/>
        <v>14</v>
      </c>
      <c r="AD10" s="4">
        <f t="shared" si="6"/>
        <v>14</v>
      </c>
      <c r="AE10" s="4">
        <f t="shared" si="6"/>
        <v>14</v>
      </c>
      <c r="AF10" s="4">
        <f t="shared" si="6"/>
        <v>14</v>
      </c>
      <c r="AG10" s="4">
        <f t="shared" si="6"/>
        <v>14</v>
      </c>
      <c r="AH10" s="4">
        <f t="shared" si="6"/>
        <v>14</v>
      </c>
      <c r="AI10" s="4">
        <f t="shared" si="6"/>
        <v>14</v>
      </c>
      <c r="AJ10" s="4">
        <f t="shared" si="6"/>
        <v>14</v>
      </c>
      <c r="AK10" s="4">
        <f t="shared" si="6"/>
        <v>15</v>
      </c>
    </row>
    <row r="11" spans="1:37" ht="15" customHeight="1">
      <c r="A11" s="17" t="s">
        <v>19</v>
      </c>
      <c r="B11" s="348">
        <v>9990</v>
      </c>
      <c r="C11" s="348">
        <v>10077</v>
      </c>
      <c r="D11" s="348">
        <v>10100</v>
      </c>
      <c r="E11" s="348">
        <v>10154</v>
      </c>
      <c r="F11" s="348">
        <v>10202</v>
      </c>
      <c r="G11" s="348">
        <v>10207</v>
      </c>
      <c r="H11" s="348">
        <v>9886</v>
      </c>
      <c r="I11" s="348">
        <v>9993</v>
      </c>
      <c r="J11" s="348">
        <v>9818</v>
      </c>
      <c r="K11" s="348">
        <v>10273</v>
      </c>
      <c r="L11" s="348">
        <v>10326</v>
      </c>
      <c r="N11" s="647">
        <f t="shared" si="7"/>
        <v>3.3633633633633586</v>
      </c>
      <c r="O11" s="497">
        <f t="shared" ref="O11:O23" si="20">+L11-B11</f>
        <v>336</v>
      </c>
      <c r="P11" s="647">
        <f t="shared" si="8"/>
        <v>3.7576167907921461</v>
      </c>
      <c r="Q11" s="647">
        <f t="shared" si="9"/>
        <v>3.7297219271525384</v>
      </c>
      <c r="R11" s="647">
        <f t="shared" si="10"/>
        <v>3.6988207719915036</v>
      </c>
      <c r="S11" s="647">
        <f t="shared" si="11"/>
        <v>3.6745653778787837</v>
      </c>
      <c r="T11" s="647">
        <f t="shared" si="12"/>
        <v>3.654129252017436</v>
      </c>
      <c r="U11" s="647">
        <f t="shared" si="13"/>
        <v>3.6164769908870591</v>
      </c>
      <c r="V11" s="647">
        <f t="shared" si="14"/>
        <v>3.5851184583192808</v>
      </c>
      <c r="W11" s="647">
        <f t="shared" si="15"/>
        <v>3.5992522718186435</v>
      </c>
      <c r="X11" s="647">
        <f t="shared" si="16"/>
        <v>3.6121351257882459</v>
      </c>
      <c r="Y11" s="647">
        <f t="shared" si="17"/>
        <v>3.6063329354770763</v>
      </c>
      <c r="Z11" s="647">
        <f t="shared" si="18"/>
        <v>3.545383379341601</v>
      </c>
      <c r="AA11" s="4">
        <f t="shared" si="19"/>
        <v>9</v>
      </c>
      <c r="AB11" s="4">
        <f t="shared" si="6"/>
        <v>9</v>
      </c>
      <c r="AC11" s="4">
        <f t="shared" si="6"/>
        <v>9</v>
      </c>
      <c r="AD11" s="4">
        <f t="shared" si="6"/>
        <v>9</v>
      </c>
      <c r="AE11" s="4">
        <f t="shared" si="6"/>
        <v>9</v>
      </c>
      <c r="AF11" s="4">
        <f t="shared" si="6"/>
        <v>9</v>
      </c>
      <c r="AG11" s="4">
        <f t="shared" si="6"/>
        <v>9</v>
      </c>
      <c r="AH11" s="4">
        <f t="shared" si="6"/>
        <v>9</v>
      </c>
      <c r="AI11" s="4">
        <f t="shared" si="6"/>
        <v>9</v>
      </c>
      <c r="AJ11" s="4">
        <f t="shared" si="6"/>
        <v>9</v>
      </c>
      <c r="AK11" s="4">
        <f t="shared" si="6"/>
        <v>9</v>
      </c>
    </row>
    <row r="12" spans="1:37" ht="15" customHeight="1">
      <c r="A12" s="17" t="s">
        <v>20</v>
      </c>
      <c r="B12" s="348">
        <v>4860</v>
      </c>
      <c r="C12" s="348">
        <v>5026</v>
      </c>
      <c r="D12" s="348">
        <v>5065</v>
      </c>
      <c r="E12" s="348">
        <v>5038</v>
      </c>
      <c r="F12" s="348">
        <v>5034</v>
      </c>
      <c r="G12" s="348">
        <v>4966</v>
      </c>
      <c r="H12" s="348">
        <v>4869</v>
      </c>
      <c r="I12" s="348">
        <v>4904</v>
      </c>
      <c r="J12" s="348">
        <v>4640</v>
      </c>
      <c r="K12" s="348">
        <v>5048</v>
      </c>
      <c r="L12" s="348">
        <v>5107</v>
      </c>
      <c r="N12" s="647">
        <f t="shared" si="7"/>
        <v>5.0823045267489819</v>
      </c>
      <c r="O12" s="497">
        <f t="shared" si="20"/>
        <v>247</v>
      </c>
      <c r="P12" s="647">
        <f t="shared" si="8"/>
        <v>1.8280297901150981</v>
      </c>
      <c r="Q12" s="647">
        <f t="shared" si="9"/>
        <v>1.8602344354340239</v>
      </c>
      <c r="R12" s="647">
        <f t="shared" si="10"/>
        <v>1.8549036841719768</v>
      </c>
      <c r="S12" s="647">
        <f t="shared" si="11"/>
        <v>1.8231692312146259</v>
      </c>
      <c r="T12" s="647">
        <f t="shared" si="12"/>
        <v>1.8030667177666901</v>
      </c>
      <c r="U12" s="647">
        <f t="shared" si="13"/>
        <v>1.7595204013662324</v>
      </c>
      <c r="V12" s="647">
        <f t="shared" si="14"/>
        <v>1.7657234243937465</v>
      </c>
      <c r="W12" s="647">
        <f t="shared" si="15"/>
        <v>1.7663097309115008</v>
      </c>
      <c r="X12" s="647">
        <f t="shared" si="16"/>
        <v>1.707099916852461</v>
      </c>
      <c r="Y12" s="647">
        <f t="shared" si="17"/>
        <v>1.7720985747384681</v>
      </c>
      <c r="Z12" s="647">
        <f t="shared" si="18"/>
        <v>1.7534643538928487</v>
      </c>
      <c r="AA12" s="4">
        <f t="shared" si="19"/>
        <v>13</v>
      </c>
      <c r="AB12" s="4">
        <f t="shared" si="6"/>
        <v>12</v>
      </c>
      <c r="AC12" s="4">
        <f t="shared" si="6"/>
        <v>12</v>
      </c>
      <c r="AD12" s="4">
        <f t="shared" si="6"/>
        <v>12</v>
      </c>
      <c r="AE12" s="4">
        <f t="shared" si="6"/>
        <v>13</v>
      </c>
      <c r="AF12" s="4">
        <f t="shared" si="6"/>
        <v>13</v>
      </c>
      <c r="AG12" s="4">
        <f t="shared" si="6"/>
        <v>13</v>
      </c>
      <c r="AH12" s="4">
        <f t="shared" si="6"/>
        <v>13</v>
      </c>
      <c r="AI12" s="4">
        <f t="shared" si="6"/>
        <v>13</v>
      </c>
      <c r="AJ12" s="4">
        <f t="shared" si="6"/>
        <v>13</v>
      </c>
      <c r="AK12" s="4">
        <f t="shared" si="6"/>
        <v>13</v>
      </c>
    </row>
    <row r="13" spans="1:37" ht="15" customHeight="1">
      <c r="A13" s="17" t="s">
        <v>21</v>
      </c>
      <c r="B13" s="348">
        <v>15012</v>
      </c>
      <c r="C13" s="348">
        <v>15485</v>
      </c>
      <c r="D13" s="348">
        <v>15831</v>
      </c>
      <c r="E13" s="348">
        <v>16300</v>
      </c>
      <c r="F13" s="348">
        <v>16481</v>
      </c>
      <c r="G13" s="348">
        <v>17081</v>
      </c>
      <c r="H13" s="348">
        <v>17191</v>
      </c>
      <c r="I13" s="348">
        <v>16775</v>
      </c>
      <c r="J13" s="348">
        <v>16329</v>
      </c>
      <c r="K13" s="348">
        <v>17066</v>
      </c>
      <c r="L13" s="348">
        <v>18237</v>
      </c>
      <c r="N13" s="647">
        <f t="shared" si="7"/>
        <v>21.482813749000805</v>
      </c>
      <c r="O13" s="497">
        <f t="shared" si="20"/>
        <v>3225</v>
      </c>
      <c r="P13" s="647">
        <f t="shared" si="8"/>
        <v>5.646580907244414</v>
      </c>
      <c r="Q13" s="647">
        <f t="shared" si="9"/>
        <v>5.7313430626135808</v>
      </c>
      <c r="R13" s="647">
        <f t="shared" si="10"/>
        <v>5.7976268951878707</v>
      </c>
      <c r="S13" s="647">
        <f t="shared" si="11"/>
        <v>5.8987015618893217</v>
      </c>
      <c r="T13" s="647">
        <f t="shared" si="12"/>
        <v>5.903127249803898</v>
      </c>
      <c r="U13" s="647">
        <f t="shared" si="13"/>
        <v>6.0520273813404382</v>
      </c>
      <c r="V13" s="647">
        <f t="shared" si="14"/>
        <v>6.2342475639254253</v>
      </c>
      <c r="W13" s="647">
        <f t="shared" si="15"/>
        <v>6.0419750685237412</v>
      </c>
      <c r="X13" s="647">
        <f t="shared" si="16"/>
        <v>6.0075936513542745</v>
      </c>
      <c r="Y13" s="647">
        <f t="shared" si="17"/>
        <v>5.9910131292564772</v>
      </c>
      <c r="Z13" s="647">
        <f t="shared" si="18"/>
        <v>6.2615879032590334</v>
      </c>
      <c r="AA13" s="4">
        <f t="shared" si="19"/>
        <v>6</v>
      </c>
      <c r="AB13" s="4">
        <f t="shared" si="6"/>
        <v>6</v>
      </c>
      <c r="AC13" s="4">
        <f t="shared" si="6"/>
        <v>5</v>
      </c>
      <c r="AD13" s="4">
        <f t="shared" si="6"/>
        <v>5</v>
      </c>
      <c r="AE13" s="4">
        <f t="shared" si="6"/>
        <v>5</v>
      </c>
      <c r="AF13" s="4">
        <f t="shared" si="6"/>
        <v>5</v>
      </c>
      <c r="AG13" s="4">
        <f t="shared" si="6"/>
        <v>5</v>
      </c>
      <c r="AH13" s="4">
        <f t="shared" si="6"/>
        <v>5</v>
      </c>
      <c r="AI13" s="4">
        <f t="shared" si="6"/>
        <v>5</v>
      </c>
      <c r="AJ13" s="4">
        <f t="shared" si="6"/>
        <v>5</v>
      </c>
      <c r="AK13" s="4">
        <f t="shared" si="6"/>
        <v>5</v>
      </c>
    </row>
    <row r="14" spans="1:37" ht="15" customHeight="1">
      <c r="A14" s="17" t="s">
        <v>22</v>
      </c>
      <c r="B14" s="348">
        <v>4293</v>
      </c>
      <c r="C14" s="348">
        <v>4352</v>
      </c>
      <c r="D14" s="348">
        <v>4323</v>
      </c>
      <c r="E14" s="348">
        <v>4348</v>
      </c>
      <c r="F14" s="348">
        <v>4380</v>
      </c>
      <c r="G14" s="348">
        <v>4347</v>
      </c>
      <c r="H14" s="348">
        <v>4183</v>
      </c>
      <c r="I14" s="348">
        <v>4178</v>
      </c>
      <c r="J14" s="348">
        <v>4076</v>
      </c>
      <c r="K14" s="348">
        <v>4127</v>
      </c>
      <c r="L14" s="348">
        <v>4169</v>
      </c>
      <c r="N14" s="647">
        <f t="shared" si="7"/>
        <v>-2.8884230142091738</v>
      </c>
      <c r="O14" s="497">
        <f t="shared" si="20"/>
        <v>-124</v>
      </c>
      <c r="P14" s="647">
        <f t="shared" si="8"/>
        <v>1.6147596479350035</v>
      </c>
      <c r="Q14" s="647">
        <f t="shared" si="9"/>
        <v>1.6107720380041528</v>
      </c>
      <c r="R14" s="647">
        <f t="shared" si="10"/>
        <v>1.5831685343880466</v>
      </c>
      <c r="S14" s="647">
        <f t="shared" si="11"/>
        <v>1.5734695945456914</v>
      </c>
      <c r="T14" s="647">
        <f t="shared" si="12"/>
        <v>1.5688184791057018</v>
      </c>
      <c r="U14" s="647">
        <f t="shared" si="13"/>
        <v>1.5402003996655282</v>
      </c>
      <c r="V14" s="647">
        <f t="shared" si="14"/>
        <v>1.5169482612937033</v>
      </c>
      <c r="W14" s="647">
        <f t="shared" si="15"/>
        <v>1.5048209738475224</v>
      </c>
      <c r="X14" s="647">
        <f t="shared" si="16"/>
        <v>1.4995989786833257</v>
      </c>
      <c r="Y14" s="647">
        <f t="shared" si="17"/>
        <v>1.4487818577546865</v>
      </c>
      <c r="Z14" s="647">
        <f t="shared" si="18"/>
        <v>1.4314064796121573</v>
      </c>
      <c r="AA14" s="4">
        <f t="shared" si="19"/>
        <v>15</v>
      </c>
      <c r="AB14" s="4">
        <f t="shared" si="6"/>
        <v>15</v>
      </c>
      <c r="AC14" s="4">
        <f t="shared" si="6"/>
        <v>15</v>
      </c>
      <c r="AD14" s="4">
        <f t="shared" si="6"/>
        <v>15</v>
      </c>
      <c r="AE14" s="4">
        <f t="shared" si="6"/>
        <v>15</v>
      </c>
      <c r="AF14" s="4">
        <f t="shared" si="6"/>
        <v>16</v>
      </c>
      <c r="AG14" s="4">
        <f t="shared" si="6"/>
        <v>16</v>
      </c>
      <c r="AH14" s="4">
        <f t="shared" si="6"/>
        <v>16</v>
      </c>
      <c r="AI14" s="4">
        <f t="shared" si="6"/>
        <v>16</v>
      </c>
      <c r="AJ14" s="4">
        <f t="shared" si="6"/>
        <v>16</v>
      </c>
      <c r="AK14" s="4">
        <f t="shared" si="6"/>
        <v>16</v>
      </c>
    </row>
    <row r="15" spans="1:37" ht="15" customHeight="1">
      <c r="A15" s="17" t="s">
        <v>23</v>
      </c>
      <c r="B15" s="348">
        <v>15459</v>
      </c>
      <c r="C15" s="348">
        <v>15521</v>
      </c>
      <c r="D15" s="348">
        <v>15665</v>
      </c>
      <c r="E15" s="348">
        <v>15801</v>
      </c>
      <c r="F15" s="348">
        <v>15981</v>
      </c>
      <c r="G15" s="348">
        <v>15931</v>
      </c>
      <c r="H15" s="348">
        <v>15567</v>
      </c>
      <c r="I15" s="348">
        <v>15528</v>
      </c>
      <c r="J15" s="348">
        <v>15232</v>
      </c>
      <c r="K15" s="348">
        <v>15824</v>
      </c>
      <c r="L15" s="348">
        <v>16175</v>
      </c>
      <c r="N15" s="647">
        <f t="shared" si="7"/>
        <v>4.631606184099879</v>
      </c>
      <c r="O15" s="497">
        <f t="shared" si="20"/>
        <v>716</v>
      </c>
      <c r="P15" s="647">
        <f t="shared" si="8"/>
        <v>5.8147145113969758</v>
      </c>
      <c r="Q15" s="647">
        <f t="shared" si="9"/>
        <v>5.744667463663248</v>
      </c>
      <c r="R15" s="647">
        <f t="shared" si="10"/>
        <v>5.7368343953709804</v>
      </c>
      <c r="S15" s="647">
        <f t="shared" si="11"/>
        <v>5.7181216797185996</v>
      </c>
      <c r="T15" s="647">
        <f t="shared" si="12"/>
        <v>5.7240383823260776</v>
      </c>
      <c r="U15" s="647">
        <f t="shared" si="13"/>
        <v>5.6445669581484994</v>
      </c>
      <c r="V15" s="647">
        <f t="shared" si="14"/>
        <v>5.6453104431171601</v>
      </c>
      <c r="W15" s="647">
        <f t="shared" si="15"/>
        <v>5.5928339114179826</v>
      </c>
      <c r="X15" s="647">
        <f t="shared" si="16"/>
        <v>5.60399696842601</v>
      </c>
      <c r="Y15" s="647">
        <f t="shared" si="17"/>
        <v>5.5550094783402377</v>
      </c>
      <c r="Z15" s="647">
        <f t="shared" si="18"/>
        <v>5.5536099322923107</v>
      </c>
      <c r="AA15" s="4">
        <f t="shared" si="19"/>
        <v>5</v>
      </c>
      <c r="AB15" s="4">
        <f t="shared" si="6"/>
        <v>5</v>
      </c>
      <c r="AC15" s="4">
        <f t="shared" si="6"/>
        <v>6</v>
      </c>
      <c r="AD15" s="4">
        <f t="shared" si="6"/>
        <v>6</v>
      </c>
      <c r="AE15" s="4">
        <f t="shared" si="6"/>
        <v>6</v>
      </c>
      <c r="AF15" s="4">
        <f t="shared" si="6"/>
        <v>6</v>
      </c>
      <c r="AG15" s="4">
        <f t="shared" si="6"/>
        <v>6</v>
      </c>
      <c r="AH15" s="4">
        <f t="shared" si="6"/>
        <v>7</v>
      </c>
      <c r="AI15" s="4">
        <f t="shared" si="6"/>
        <v>7</v>
      </c>
      <c r="AJ15" s="4">
        <f t="shared" si="6"/>
        <v>7</v>
      </c>
      <c r="AK15" s="4">
        <f t="shared" si="6"/>
        <v>7</v>
      </c>
    </row>
    <row r="16" spans="1:37" ht="15" customHeight="1">
      <c r="A16" s="17" t="s">
        <v>24</v>
      </c>
      <c r="B16" s="348">
        <v>59109</v>
      </c>
      <c r="C16" s="348">
        <v>59911</v>
      </c>
      <c r="D16" s="348">
        <v>60537</v>
      </c>
      <c r="E16" s="348">
        <v>60939</v>
      </c>
      <c r="F16" s="348">
        <v>61816</v>
      </c>
      <c r="G16" s="348">
        <v>62991</v>
      </c>
      <c r="H16" s="348">
        <v>61257</v>
      </c>
      <c r="I16" s="348">
        <v>62466</v>
      </c>
      <c r="J16" s="348">
        <v>60609</v>
      </c>
      <c r="K16" s="348">
        <v>63924</v>
      </c>
      <c r="L16" s="348">
        <v>65753</v>
      </c>
      <c r="N16" s="647">
        <f t="shared" si="7"/>
        <v>11.240251061598073</v>
      </c>
      <c r="O16" s="497">
        <f t="shared" si="20"/>
        <v>6644</v>
      </c>
      <c r="P16" s="647">
        <f t="shared" si="8"/>
        <v>22.233130218912208</v>
      </c>
      <c r="Q16" s="647">
        <f t="shared" si="9"/>
        <v>22.174394202405054</v>
      </c>
      <c r="R16" s="647">
        <f t="shared" si="10"/>
        <v>22.169852779608878</v>
      </c>
      <c r="S16" s="647">
        <f t="shared" si="11"/>
        <v>22.052820520243763</v>
      </c>
      <c r="T16" s="647">
        <f t="shared" si="12"/>
        <v>22.141114864017823</v>
      </c>
      <c r="U16" s="647">
        <f t="shared" si="13"/>
        <v>22.318556101985571</v>
      </c>
      <c r="V16" s="647">
        <f t="shared" si="14"/>
        <v>22.214606656004875</v>
      </c>
      <c r="W16" s="647">
        <f t="shared" si="15"/>
        <v>22.498838428041967</v>
      </c>
      <c r="X16" s="647">
        <f t="shared" si="16"/>
        <v>22.298624754420434</v>
      </c>
      <c r="Y16" s="647">
        <f t="shared" si="17"/>
        <v>22.440497086288001</v>
      </c>
      <c r="Z16" s="647">
        <f t="shared" si="18"/>
        <v>22.575982310851085</v>
      </c>
      <c r="AA16" s="4">
        <f t="shared" si="19"/>
        <v>1</v>
      </c>
      <c r="AB16" s="4">
        <f t="shared" si="6"/>
        <v>1</v>
      </c>
      <c r="AC16" s="4">
        <f t="shared" si="6"/>
        <v>1</v>
      </c>
      <c r="AD16" s="4">
        <f t="shared" si="6"/>
        <v>1</v>
      </c>
      <c r="AE16" s="4">
        <f t="shared" si="6"/>
        <v>1</v>
      </c>
      <c r="AF16" s="4">
        <f t="shared" si="6"/>
        <v>1</v>
      </c>
      <c r="AG16" s="4">
        <f t="shared" si="6"/>
        <v>1</v>
      </c>
      <c r="AH16" s="4">
        <f t="shared" si="6"/>
        <v>1</v>
      </c>
      <c r="AI16" s="4">
        <f t="shared" si="6"/>
        <v>1</v>
      </c>
      <c r="AJ16" s="4">
        <f t="shared" si="6"/>
        <v>1</v>
      </c>
      <c r="AK16" s="4">
        <f t="shared" si="6"/>
        <v>1</v>
      </c>
    </row>
    <row r="17" spans="1:37" ht="15" customHeight="1">
      <c r="A17" s="17" t="s">
        <v>25</v>
      </c>
      <c r="B17" s="348">
        <v>2880</v>
      </c>
      <c r="C17" s="348">
        <v>2917</v>
      </c>
      <c r="D17" s="348">
        <v>2906</v>
      </c>
      <c r="E17" s="348">
        <v>2929</v>
      </c>
      <c r="F17" s="348">
        <v>2901</v>
      </c>
      <c r="G17" s="348">
        <v>2878</v>
      </c>
      <c r="H17" s="348">
        <v>2783</v>
      </c>
      <c r="I17" s="348">
        <v>2770</v>
      </c>
      <c r="J17" s="348">
        <v>2634</v>
      </c>
      <c r="K17" s="348">
        <v>2877</v>
      </c>
      <c r="L17" s="348">
        <v>2865</v>
      </c>
      <c r="N17" s="647">
        <f t="shared" si="7"/>
        <v>-0.52083333333333703</v>
      </c>
      <c r="O17" s="497">
        <f t="shared" si="20"/>
        <v>-15</v>
      </c>
      <c r="P17" s="647">
        <f t="shared" si="8"/>
        <v>1.0832769126607988</v>
      </c>
      <c r="Q17" s="647">
        <f t="shared" si="9"/>
        <v>1.0796466072743827</v>
      </c>
      <c r="R17" s="647">
        <f t="shared" si="10"/>
        <v>1.064234966673991</v>
      </c>
      <c r="S17" s="647">
        <f t="shared" si="11"/>
        <v>1.0599568634830565</v>
      </c>
      <c r="T17" s="647">
        <f t="shared" si="12"/>
        <v>1.0390736091063106</v>
      </c>
      <c r="U17" s="647">
        <f t="shared" si="13"/>
        <v>1.0197139982142605</v>
      </c>
      <c r="V17" s="647">
        <f t="shared" si="14"/>
        <v>1.0092438468038194</v>
      </c>
      <c r="W17" s="647">
        <f t="shared" si="15"/>
        <v>0.99769126317798884</v>
      </c>
      <c r="X17" s="647">
        <f t="shared" si="16"/>
        <v>0.9690735303856427</v>
      </c>
      <c r="Y17" s="647">
        <f t="shared" si="17"/>
        <v>1.0099698097310961</v>
      </c>
      <c r="Z17" s="647">
        <f t="shared" si="18"/>
        <v>0.98368423221128098</v>
      </c>
      <c r="AA17" s="4">
        <f t="shared" si="19"/>
        <v>18</v>
      </c>
      <c r="AB17" s="4">
        <f t="shared" si="6"/>
        <v>18</v>
      </c>
      <c r="AC17" s="4">
        <f t="shared" si="6"/>
        <v>18</v>
      </c>
      <c r="AD17" s="4">
        <f t="shared" si="6"/>
        <v>18</v>
      </c>
      <c r="AE17" s="4">
        <f t="shared" si="6"/>
        <v>18</v>
      </c>
      <c r="AF17" s="4">
        <f t="shared" si="6"/>
        <v>18</v>
      </c>
      <c r="AG17" s="4">
        <f t="shared" si="6"/>
        <v>18</v>
      </c>
      <c r="AH17" s="4">
        <f t="shared" si="6"/>
        <v>18</v>
      </c>
      <c r="AI17" s="4">
        <f t="shared" si="6"/>
        <v>18</v>
      </c>
      <c r="AJ17" s="4">
        <f t="shared" si="6"/>
        <v>18</v>
      </c>
      <c r="AK17" s="4">
        <f t="shared" si="6"/>
        <v>18</v>
      </c>
    </row>
    <row r="18" spans="1:37" ht="15" customHeight="1">
      <c r="A18" s="17" t="s">
        <v>26</v>
      </c>
      <c r="B18" s="348">
        <v>49445</v>
      </c>
      <c r="C18" s="348">
        <v>50528</v>
      </c>
      <c r="D18" s="348">
        <v>51144</v>
      </c>
      <c r="E18" s="348">
        <v>51885</v>
      </c>
      <c r="F18" s="348">
        <v>52500</v>
      </c>
      <c r="G18" s="348">
        <v>53324</v>
      </c>
      <c r="H18" s="348">
        <v>52245</v>
      </c>
      <c r="I18" s="348">
        <v>52499</v>
      </c>
      <c r="J18" s="348">
        <v>51434</v>
      </c>
      <c r="K18" s="348">
        <v>53630</v>
      </c>
      <c r="L18" s="348">
        <v>54733</v>
      </c>
      <c r="N18" s="647">
        <f t="shared" si="7"/>
        <v>10.694711295378712</v>
      </c>
      <c r="O18" s="497">
        <f t="shared" si="20"/>
        <v>5288</v>
      </c>
      <c r="P18" s="647">
        <f t="shared" si="8"/>
        <v>18.598134356428194</v>
      </c>
      <c r="Q18" s="647">
        <f t="shared" si="9"/>
        <v>18.701537117709979</v>
      </c>
      <c r="R18" s="647">
        <f t="shared" si="10"/>
        <v>18.72994946165678</v>
      </c>
      <c r="S18" s="647">
        <f t="shared" si="11"/>
        <v>18.776327026909659</v>
      </c>
      <c r="T18" s="647">
        <f t="shared" si="12"/>
        <v>18.804331085171082</v>
      </c>
      <c r="U18" s="647">
        <f t="shared" si="13"/>
        <v>18.89340835329299</v>
      </c>
      <c r="V18" s="647">
        <f t="shared" si="14"/>
        <v>18.946440810731421</v>
      </c>
      <c r="W18" s="647">
        <f t="shared" si="15"/>
        <v>18.908950767357847</v>
      </c>
      <c r="X18" s="647">
        <f t="shared" si="16"/>
        <v>18.923055414523596</v>
      </c>
      <c r="Y18" s="647">
        <f t="shared" si="17"/>
        <v>18.826792108404128</v>
      </c>
      <c r="Z18" s="647">
        <f t="shared" si="18"/>
        <v>18.79231730597558</v>
      </c>
      <c r="AA18" s="4">
        <f t="shared" si="19"/>
        <v>2</v>
      </c>
      <c r="AB18" s="4">
        <f t="shared" si="6"/>
        <v>2</v>
      </c>
      <c r="AC18" s="4">
        <f t="shared" si="6"/>
        <v>2</v>
      </c>
      <c r="AD18" s="4">
        <f t="shared" si="6"/>
        <v>2</v>
      </c>
      <c r="AE18" s="4">
        <f t="shared" si="6"/>
        <v>2</v>
      </c>
      <c r="AF18" s="4">
        <f t="shared" si="6"/>
        <v>2</v>
      </c>
      <c r="AG18" s="4">
        <f t="shared" si="6"/>
        <v>2</v>
      </c>
      <c r="AH18" s="4">
        <f t="shared" si="6"/>
        <v>2</v>
      </c>
      <c r="AI18" s="4">
        <f t="shared" si="6"/>
        <v>2</v>
      </c>
      <c r="AJ18" s="4">
        <f t="shared" si="6"/>
        <v>2</v>
      </c>
      <c r="AK18" s="4">
        <f t="shared" si="6"/>
        <v>2</v>
      </c>
    </row>
    <row r="19" spans="1:37" ht="15" customHeight="1">
      <c r="A19" s="17" t="s">
        <v>27</v>
      </c>
      <c r="B19" s="348">
        <v>11981</v>
      </c>
      <c r="C19" s="348">
        <v>11954</v>
      </c>
      <c r="D19" s="348">
        <v>12046</v>
      </c>
      <c r="E19" s="348">
        <v>12047</v>
      </c>
      <c r="F19" s="348">
        <v>12029</v>
      </c>
      <c r="G19" s="348">
        <v>11936</v>
      </c>
      <c r="H19" s="348">
        <v>11616</v>
      </c>
      <c r="I19" s="348">
        <v>11534</v>
      </c>
      <c r="J19" s="348">
        <v>11335</v>
      </c>
      <c r="K19" s="348">
        <v>11687</v>
      </c>
      <c r="L19" s="348">
        <v>11869</v>
      </c>
      <c r="N19" s="647">
        <f t="shared" si="7"/>
        <v>-0.93481345463650722</v>
      </c>
      <c r="O19" s="497">
        <f t="shared" si="20"/>
        <v>-112</v>
      </c>
      <c r="P19" s="647">
        <f t="shared" si="8"/>
        <v>4.5065071842323023</v>
      </c>
      <c r="Q19" s="647">
        <f t="shared" si="9"/>
        <v>4.4244413929921054</v>
      </c>
      <c r="R19" s="647">
        <f t="shared" si="10"/>
        <v>4.4114846553870946</v>
      </c>
      <c r="S19" s="647">
        <f t="shared" si="11"/>
        <v>4.3596109028270345</v>
      </c>
      <c r="T19" s="647">
        <f t="shared" si="12"/>
        <v>4.3085199737813902</v>
      </c>
      <c r="U19" s="647">
        <f t="shared" si="13"/>
        <v>4.229084879320852</v>
      </c>
      <c r="V19" s="647">
        <f t="shared" si="14"/>
        <v>4.2124960562246372</v>
      </c>
      <c r="W19" s="647">
        <f t="shared" si="15"/>
        <v>4.1542855702147738</v>
      </c>
      <c r="X19" s="647">
        <f t="shared" si="16"/>
        <v>4.170253783948846</v>
      </c>
      <c r="Y19" s="647">
        <f t="shared" si="17"/>
        <v>4.1027171242013623</v>
      </c>
      <c r="Z19" s="647">
        <f t="shared" si="18"/>
        <v>4.0751651490805214</v>
      </c>
      <c r="AA19" s="4">
        <f t="shared" si="19"/>
        <v>8</v>
      </c>
      <c r="AB19" s="4">
        <f t="shared" si="6"/>
        <v>8</v>
      </c>
      <c r="AC19" s="4">
        <f t="shared" si="6"/>
        <v>8</v>
      </c>
      <c r="AD19" s="4">
        <f t="shared" si="6"/>
        <v>8</v>
      </c>
      <c r="AE19" s="4">
        <f t="shared" si="6"/>
        <v>8</v>
      </c>
      <c r="AF19" s="4">
        <f t="shared" si="6"/>
        <v>8</v>
      </c>
      <c r="AG19" s="4">
        <f t="shared" si="6"/>
        <v>8</v>
      </c>
      <c r="AH19" s="4">
        <f t="shared" si="6"/>
        <v>8</v>
      </c>
      <c r="AI19" s="4">
        <f t="shared" si="6"/>
        <v>8</v>
      </c>
      <c r="AJ19" s="4">
        <f t="shared" si="6"/>
        <v>8</v>
      </c>
      <c r="AK19" s="4">
        <f t="shared" si="6"/>
        <v>8</v>
      </c>
    </row>
    <row r="20" spans="1:37" ht="15" customHeight="1">
      <c r="A20" s="17" t="s">
        <v>28</v>
      </c>
      <c r="B20" s="348">
        <v>14860</v>
      </c>
      <c r="C20" s="348">
        <v>14912</v>
      </c>
      <c r="D20" s="348">
        <v>15034</v>
      </c>
      <c r="E20" s="348">
        <v>15272</v>
      </c>
      <c r="F20" s="348">
        <v>15474</v>
      </c>
      <c r="G20" s="348">
        <v>15628</v>
      </c>
      <c r="H20" s="348">
        <v>15397</v>
      </c>
      <c r="I20" s="348">
        <v>15843</v>
      </c>
      <c r="J20" s="348">
        <v>15594</v>
      </c>
      <c r="K20" s="348">
        <v>16564</v>
      </c>
      <c r="L20" s="348">
        <v>16783</v>
      </c>
      <c r="N20" s="647">
        <f t="shared" si="7"/>
        <v>12.940780619111703</v>
      </c>
      <c r="O20" s="497">
        <f t="shared" si="20"/>
        <v>1923</v>
      </c>
      <c r="P20" s="647">
        <f t="shared" si="8"/>
        <v>5.5894079590762056</v>
      </c>
      <c r="Q20" s="647">
        <f t="shared" si="9"/>
        <v>5.5192630125730533</v>
      </c>
      <c r="R20" s="647">
        <f t="shared" si="10"/>
        <v>5.5057496520911151</v>
      </c>
      <c r="S20" s="647">
        <f t="shared" si="11"/>
        <v>5.5266852916057498</v>
      </c>
      <c r="T20" s="647">
        <f t="shared" si="12"/>
        <v>5.5424422707035683</v>
      </c>
      <c r="U20" s="647">
        <f t="shared" si="13"/>
        <v>5.5372099944727111</v>
      </c>
      <c r="V20" s="647">
        <f t="shared" si="14"/>
        <v>5.5836606213576738</v>
      </c>
      <c r="W20" s="647">
        <f t="shared" si="15"/>
        <v>5.7062897770862371</v>
      </c>
      <c r="X20" s="647">
        <f t="shared" si="16"/>
        <v>5.7371801946976886</v>
      </c>
      <c r="Y20" s="647">
        <f t="shared" si="17"/>
        <v>5.8147862107702029</v>
      </c>
      <c r="Z20" s="647">
        <f t="shared" si="18"/>
        <v>5.7623638635957866</v>
      </c>
      <c r="AA20" s="4">
        <f t="shared" si="19"/>
        <v>7</v>
      </c>
      <c r="AB20" s="4">
        <f t="shared" si="6"/>
        <v>7</v>
      </c>
      <c r="AC20" s="4">
        <f t="shared" si="6"/>
        <v>7</v>
      </c>
      <c r="AD20" s="4">
        <f t="shared" si="6"/>
        <v>7</v>
      </c>
      <c r="AE20" s="4">
        <f t="shared" si="6"/>
        <v>7</v>
      </c>
      <c r="AF20" s="4">
        <f t="shared" si="6"/>
        <v>7</v>
      </c>
      <c r="AG20" s="4">
        <f t="shared" si="6"/>
        <v>7</v>
      </c>
      <c r="AH20" s="4">
        <f t="shared" si="6"/>
        <v>6</v>
      </c>
      <c r="AI20" s="4">
        <f t="shared" si="6"/>
        <v>6</v>
      </c>
      <c r="AJ20" s="4">
        <f t="shared" si="6"/>
        <v>6</v>
      </c>
      <c r="AK20" s="4">
        <f t="shared" si="6"/>
        <v>6</v>
      </c>
    </row>
    <row r="21" spans="1:37" ht="15" customHeight="1">
      <c r="A21" s="17" t="s">
        <v>29</v>
      </c>
      <c r="B21" s="348">
        <v>7051</v>
      </c>
      <c r="C21" s="348">
        <v>7129</v>
      </c>
      <c r="D21" s="348">
        <v>7173</v>
      </c>
      <c r="E21" s="348">
        <v>7291</v>
      </c>
      <c r="F21" s="348">
        <v>7270</v>
      </c>
      <c r="G21" s="348">
        <v>7341</v>
      </c>
      <c r="H21" s="348">
        <v>7045</v>
      </c>
      <c r="I21" s="348">
        <v>7037</v>
      </c>
      <c r="J21" s="348">
        <v>6974</v>
      </c>
      <c r="K21" s="348">
        <v>7227</v>
      </c>
      <c r="L21" s="348">
        <v>7381</v>
      </c>
      <c r="N21" s="647">
        <f t="shared" si="7"/>
        <v>4.6801872074883066</v>
      </c>
      <c r="O21" s="497">
        <f t="shared" si="20"/>
        <v>330</v>
      </c>
      <c r="P21" s="647">
        <f t="shared" si="8"/>
        <v>2.6521477469344767</v>
      </c>
      <c r="Q21" s="647">
        <f t="shared" si="9"/>
        <v>2.6386015300853871</v>
      </c>
      <c r="R21" s="647">
        <f t="shared" si="10"/>
        <v>2.6268951878707978</v>
      </c>
      <c r="S21" s="647">
        <f t="shared" si="11"/>
        <v>2.6384928274684074</v>
      </c>
      <c r="T21" s="647">
        <f t="shared" si="12"/>
        <v>2.6039521331275006</v>
      </c>
      <c r="U21" s="647">
        <f t="shared" si="13"/>
        <v>2.6010147536104538</v>
      </c>
      <c r="V21" s="647">
        <f t="shared" si="14"/>
        <v>2.5548411429151661</v>
      </c>
      <c r="W21" s="647">
        <f t="shared" si="15"/>
        <v>2.5345680212936852</v>
      </c>
      <c r="X21" s="647">
        <f t="shared" si="16"/>
        <v>2.5658006077864357</v>
      </c>
      <c r="Y21" s="647">
        <f t="shared" si="17"/>
        <v>2.5370357368531908</v>
      </c>
      <c r="Z21" s="647">
        <f t="shared" si="18"/>
        <v>2.534231524590389</v>
      </c>
      <c r="AA21" s="4">
        <f t="shared" si="19"/>
        <v>11</v>
      </c>
      <c r="AB21" s="4">
        <f t="shared" si="6"/>
        <v>11</v>
      </c>
      <c r="AC21" s="4">
        <f t="shared" si="6"/>
        <v>11</v>
      </c>
      <c r="AD21" s="4">
        <f t="shared" si="6"/>
        <v>11</v>
      </c>
      <c r="AE21" s="4">
        <f t="shared" si="6"/>
        <v>11</v>
      </c>
      <c r="AF21" s="4">
        <f t="shared" si="6"/>
        <v>11</v>
      </c>
      <c r="AG21" s="4">
        <f t="shared" si="6"/>
        <v>11</v>
      </c>
      <c r="AH21" s="4">
        <f t="shared" si="6"/>
        <v>11</v>
      </c>
      <c r="AI21" s="4">
        <f t="shared" si="6"/>
        <v>11</v>
      </c>
      <c r="AJ21" s="4">
        <f t="shared" si="6"/>
        <v>11</v>
      </c>
      <c r="AK21" s="4">
        <f t="shared" si="6"/>
        <v>11</v>
      </c>
    </row>
    <row r="22" spans="1:37" ht="15" customHeight="1">
      <c r="A22" s="17" t="s">
        <v>30</v>
      </c>
      <c r="B22" s="348">
        <v>4874</v>
      </c>
      <c r="C22" s="348">
        <v>4930</v>
      </c>
      <c r="D22" s="348">
        <v>4976</v>
      </c>
      <c r="E22" s="348">
        <v>5034</v>
      </c>
      <c r="F22" s="348">
        <v>5076</v>
      </c>
      <c r="G22" s="348">
        <v>5093</v>
      </c>
      <c r="H22" s="348">
        <v>5005</v>
      </c>
      <c r="I22" s="348">
        <v>5085</v>
      </c>
      <c r="J22" s="348">
        <v>5019</v>
      </c>
      <c r="K22" s="348">
        <v>5152</v>
      </c>
      <c r="L22" s="348">
        <v>5186</v>
      </c>
      <c r="N22" s="647">
        <f t="shared" si="7"/>
        <v>6.4013130898645798</v>
      </c>
      <c r="O22" s="497">
        <f t="shared" si="20"/>
        <v>312</v>
      </c>
      <c r="P22" s="647">
        <f t="shared" si="8"/>
        <v>1.8332957195516437</v>
      </c>
      <c r="Q22" s="647">
        <f t="shared" si="9"/>
        <v>1.8247026993015794</v>
      </c>
      <c r="R22" s="647">
        <f t="shared" si="10"/>
        <v>1.8223101149930419</v>
      </c>
      <c r="S22" s="647">
        <f t="shared" si="11"/>
        <v>1.8217216970890089</v>
      </c>
      <c r="T22" s="647">
        <f t="shared" si="12"/>
        <v>1.8181101826348272</v>
      </c>
      <c r="U22" s="647">
        <f t="shared" si="13"/>
        <v>1.8045182046230814</v>
      </c>
      <c r="V22" s="647">
        <f t="shared" si="14"/>
        <v>1.8150432818013353</v>
      </c>
      <c r="W22" s="647">
        <f t="shared" si="15"/>
        <v>1.8315018315018314</v>
      </c>
      <c r="X22" s="647">
        <f t="shared" si="16"/>
        <v>1.8465376040264012</v>
      </c>
      <c r="Y22" s="647">
        <f t="shared" si="17"/>
        <v>1.8086077371340308</v>
      </c>
      <c r="Z22" s="647">
        <f t="shared" si="18"/>
        <v>1.7805886311510308</v>
      </c>
      <c r="AA22" s="4">
        <f t="shared" si="19"/>
        <v>12</v>
      </c>
      <c r="AB22" s="4">
        <f t="shared" ref="AB22:AB23" si="21">+RANK(C22,C$6:C$23,0)</f>
        <v>13</v>
      </c>
      <c r="AC22" s="4">
        <f t="shared" ref="AC22:AC23" si="22">+RANK(D22,D$6:D$23,0)</f>
        <v>13</v>
      </c>
      <c r="AD22" s="4">
        <f t="shared" ref="AD22:AD23" si="23">+RANK(E22,E$6:E$23,0)</f>
        <v>13</v>
      </c>
      <c r="AE22" s="4">
        <f t="shared" ref="AE22:AE23" si="24">+RANK(F22,F$6:F$23,0)</f>
        <v>12</v>
      </c>
      <c r="AF22" s="4">
        <f t="shared" ref="AF22:AF23" si="25">+RANK(G22,G$6:G$23,0)</f>
        <v>12</v>
      </c>
      <c r="AG22" s="4">
        <f t="shared" ref="AG22:AG23" si="26">+RANK(H22,H$6:H$23,0)</f>
        <v>12</v>
      </c>
      <c r="AH22" s="4">
        <f t="shared" ref="AH22:AH23" si="27">+RANK(I22,I$6:I$23,0)</f>
        <v>12</v>
      </c>
      <c r="AI22" s="4">
        <f t="shared" ref="AI22:AI23" si="28">+RANK(J22,J$6:J$23,0)</f>
        <v>12</v>
      </c>
      <c r="AJ22" s="4">
        <f t="shared" ref="AJ22:AK23" si="29">+RANK(K22,K$6:K$23,0)</f>
        <v>12</v>
      </c>
      <c r="AK22" s="4">
        <f t="shared" si="29"/>
        <v>12</v>
      </c>
    </row>
    <row r="23" spans="1:37" s="20" customFormat="1" ht="15" customHeight="1">
      <c r="A23" s="19" t="s">
        <v>31</v>
      </c>
      <c r="B23" s="349">
        <v>9256</v>
      </c>
      <c r="C23" s="349">
        <v>9398</v>
      </c>
      <c r="D23" s="349">
        <v>9605</v>
      </c>
      <c r="E23" s="349">
        <v>9732</v>
      </c>
      <c r="F23" s="349">
        <v>9779</v>
      </c>
      <c r="G23" s="349">
        <v>9801</v>
      </c>
      <c r="H23" s="349">
        <v>9611</v>
      </c>
      <c r="I23" s="349">
        <v>9718</v>
      </c>
      <c r="J23" s="349">
        <v>9674</v>
      </c>
      <c r="K23" s="349">
        <v>10081</v>
      </c>
      <c r="L23" s="349">
        <v>10267</v>
      </c>
      <c r="N23" s="647">
        <f t="shared" si="7"/>
        <v>10.922644770959389</v>
      </c>
      <c r="O23" s="497">
        <f t="shared" si="20"/>
        <v>1011</v>
      </c>
      <c r="P23" s="647">
        <f t="shared" si="8"/>
        <v>3.4815316331904009</v>
      </c>
      <c r="Q23" s="647">
        <f t="shared" si="9"/>
        <v>3.4784089184657692</v>
      </c>
      <c r="R23" s="647">
        <f t="shared" si="10"/>
        <v>3.5175419321760786</v>
      </c>
      <c r="S23" s="647">
        <f t="shared" si="11"/>
        <v>3.5218505276261887</v>
      </c>
      <c r="T23" s="647">
        <f t="shared" si="12"/>
        <v>3.5026200701312007</v>
      </c>
      <c r="U23" s="647">
        <f t="shared" si="13"/>
        <v>3.4726257458297312</v>
      </c>
      <c r="V23" s="647">
        <f t="shared" si="14"/>
        <v>3.4853908054730538</v>
      </c>
      <c r="W23" s="647">
        <f t="shared" si="15"/>
        <v>3.5002035002035004</v>
      </c>
      <c r="X23" s="647">
        <f t="shared" si="16"/>
        <v>3.5591561628514454</v>
      </c>
      <c r="Y23" s="647">
        <f t="shared" si="17"/>
        <v>3.5389314049006528</v>
      </c>
      <c r="Z23" s="647">
        <f t="shared" si="18"/>
        <v>3.5251260077184021</v>
      </c>
      <c r="AA23" s="4">
        <f t="shared" si="19"/>
        <v>10</v>
      </c>
      <c r="AB23" s="4">
        <f t="shared" si="21"/>
        <v>10</v>
      </c>
      <c r="AC23" s="4">
        <f t="shared" si="22"/>
        <v>10</v>
      </c>
      <c r="AD23" s="4">
        <f t="shared" si="23"/>
        <v>10</v>
      </c>
      <c r="AE23" s="4">
        <f t="shared" si="24"/>
        <v>10</v>
      </c>
      <c r="AF23" s="4">
        <f t="shared" si="25"/>
        <v>10</v>
      </c>
      <c r="AG23" s="4">
        <f t="shared" si="26"/>
        <v>10</v>
      </c>
      <c r="AH23" s="4">
        <f t="shared" si="27"/>
        <v>10</v>
      </c>
      <c r="AI23" s="4">
        <f t="shared" si="28"/>
        <v>10</v>
      </c>
      <c r="AJ23" s="4">
        <f t="shared" si="29"/>
        <v>10</v>
      </c>
      <c r="AK23" s="4">
        <f t="shared" si="29"/>
        <v>10</v>
      </c>
    </row>
    <row r="24" spans="1:37" ht="15" customHeight="1">
      <c r="A24" s="21" t="s">
        <v>138</v>
      </c>
      <c r="B24" s="108"/>
      <c r="D24" s="18"/>
      <c r="E24" s="18"/>
      <c r="F24" s="18"/>
      <c r="G24" s="18"/>
      <c r="H24" s="18"/>
      <c r="I24" s="18"/>
      <c r="J24" s="18"/>
      <c r="K24" s="18"/>
      <c r="L24" s="18"/>
    </row>
    <row r="25" spans="1:37">
      <c r="B25" s="109"/>
    </row>
  </sheetData>
  <mergeCells count="1">
    <mergeCell ref="A1:L1"/>
  </mergeCells>
  <phoneticPr fontId="25" type="noConversion"/>
  <conditionalFormatting sqref="D24:E24 B5:I23">
    <cfRule type="cellIs" dxfId="923" priority="22" operator="equal">
      <formula>0</formula>
    </cfRule>
  </conditionalFormatting>
  <conditionalFormatting sqref="F24">
    <cfRule type="cellIs" dxfId="922" priority="16" operator="equal">
      <formula>0</formula>
    </cfRule>
  </conditionalFormatting>
  <conditionalFormatting sqref="I24">
    <cfRule type="cellIs" dxfId="921" priority="12" operator="equal">
      <formula>0</formula>
    </cfRule>
  </conditionalFormatting>
  <conditionalFormatting sqref="G24">
    <cfRule type="cellIs" dxfId="920" priority="10" operator="equal">
      <formula>0</formula>
    </cfRule>
  </conditionalFormatting>
  <conditionalFormatting sqref="H24">
    <cfRule type="cellIs" dxfId="919" priority="7" operator="equal">
      <formula>0</formula>
    </cfRule>
  </conditionalFormatting>
  <conditionalFormatting sqref="J5:J23">
    <cfRule type="cellIs" dxfId="918" priority="6" operator="equal">
      <formula>0</formula>
    </cfRule>
  </conditionalFormatting>
  <conditionalFormatting sqref="J24">
    <cfRule type="cellIs" dxfId="917" priority="5" operator="equal">
      <formula>0</formula>
    </cfRule>
  </conditionalFormatting>
  <conditionalFormatting sqref="K5:K23">
    <cfRule type="cellIs" dxfId="916" priority="4" operator="equal">
      <formula>0</formula>
    </cfRule>
  </conditionalFormatting>
  <conditionalFormatting sqref="K24">
    <cfRule type="cellIs" dxfId="915" priority="3" operator="equal">
      <formula>0</formula>
    </cfRule>
  </conditionalFormatting>
  <conditionalFormatting sqref="L5:L23">
    <cfRule type="cellIs" dxfId="914" priority="2" operator="equal">
      <formula>0</formula>
    </cfRule>
  </conditionalFormatting>
  <conditionalFormatting sqref="L24">
    <cfRule type="cellIs" dxfId="913"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4BF3E-1E46-43DB-BA5F-790DBE5B1B4C}">
  <sheetPr>
    <tabColor indexed="24"/>
    <pageSetUpPr fitToPage="1"/>
  </sheetPr>
  <dimension ref="A1:N52"/>
  <sheetViews>
    <sheetView showGridLines="0" workbookViewId="0">
      <selection sqref="A1:L1"/>
    </sheetView>
  </sheetViews>
  <sheetFormatPr defaultColWidth="9.140625" defaultRowHeight="11.25"/>
  <cols>
    <col min="1" max="1" width="24.140625" style="4" customWidth="1"/>
    <col min="2" max="12" width="7.5703125" style="4" customWidth="1"/>
    <col min="13" max="14" width="5.85546875" style="4" bestFit="1" customWidth="1"/>
    <col min="15" max="16384" width="9.140625" style="4"/>
  </cols>
  <sheetData>
    <row r="1" spans="1:12" s="3" customFormat="1" ht="29.25" customHeight="1">
      <c r="A1" s="792" t="s">
        <v>628</v>
      </c>
      <c r="B1" s="792"/>
      <c r="C1" s="792"/>
      <c r="D1" s="792"/>
      <c r="E1" s="792"/>
      <c r="F1" s="792"/>
      <c r="G1" s="792"/>
      <c r="H1" s="792"/>
      <c r="I1" s="792"/>
      <c r="J1" s="792"/>
      <c r="K1" s="792"/>
      <c r="L1" s="792"/>
    </row>
    <row r="2" spans="1:12" ht="15" customHeight="1">
      <c r="A2" s="11"/>
      <c r="B2" s="176"/>
      <c r="C2" s="176"/>
      <c r="D2" s="176"/>
      <c r="E2" s="176"/>
      <c r="F2" s="176"/>
      <c r="G2" s="176"/>
      <c r="H2" s="176"/>
      <c r="I2" s="176"/>
      <c r="J2" s="176"/>
      <c r="K2" s="176"/>
      <c r="L2" s="176"/>
    </row>
    <row r="3" spans="1:12" ht="15" customHeight="1">
      <c r="A3" s="13" t="s">
        <v>42</v>
      </c>
      <c r="B3" s="176"/>
      <c r="C3" s="176"/>
      <c r="D3" s="176"/>
      <c r="E3" s="176"/>
      <c r="F3" s="176"/>
      <c r="G3" s="176"/>
      <c r="H3" s="176"/>
      <c r="I3" s="176"/>
      <c r="J3" s="176"/>
      <c r="K3" s="176"/>
      <c r="L3" s="176"/>
    </row>
    <row r="4" spans="1:12" ht="28.5" customHeight="1" thickBot="1">
      <c r="A4" s="15"/>
      <c r="B4" s="16">
        <v>2013</v>
      </c>
      <c r="C4" s="16">
        <v>2014</v>
      </c>
      <c r="D4" s="16">
        <v>2015</v>
      </c>
      <c r="E4" s="16">
        <v>2016</v>
      </c>
      <c r="F4" s="16">
        <v>2017</v>
      </c>
      <c r="G4" s="16">
        <v>2018</v>
      </c>
      <c r="H4" s="16">
        <v>2019</v>
      </c>
      <c r="I4" s="16">
        <v>2020</v>
      </c>
      <c r="J4" s="16">
        <v>2021</v>
      </c>
      <c r="K4" s="16">
        <v>2022</v>
      </c>
      <c r="L4" s="16">
        <v>2023</v>
      </c>
    </row>
    <row r="5" spans="1:12" ht="20.25" customHeight="1" thickTop="1">
      <c r="A5" s="116" t="s">
        <v>12</v>
      </c>
      <c r="B5" s="347">
        <v>265860</v>
      </c>
      <c r="C5" s="347">
        <v>270181</v>
      </c>
      <c r="D5" s="347">
        <v>273060</v>
      </c>
      <c r="E5" s="347">
        <v>276332</v>
      </c>
      <c r="F5" s="347">
        <v>279191</v>
      </c>
      <c r="G5" s="347">
        <v>282236</v>
      </c>
      <c r="H5" s="347">
        <v>275751</v>
      </c>
      <c r="I5" s="347">
        <v>277641</v>
      </c>
      <c r="J5" s="347">
        <v>271806</v>
      </c>
      <c r="K5" s="347">
        <v>284860</v>
      </c>
      <c r="L5" s="347">
        <v>291252.00000000017</v>
      </c>
    </row>
    <row r="6" spans="1:12" ht="20.25" customHeight="1">
      <c r="A6" s="17" t="s">
        <v>551</v>
      </c>
      <c r="B6" s="347">
        <v>102545</v>
      </c>
      <c r="C6" s="347">
        <v>104739</v>
      </c>
      <c r="D6" s="347">
        <v>105959</v>
      </c>
      <c r="E6" s="347">
        <v>107496</v>
      </c>
      <c r="F6" s="347">
        <v>108796</v>
      </c>
      <c r="G6" s="347">
        <v>109936</v>
      </c>
      <c r="H6" s="347">
        <v>107137</v>
      </c>
      <c r="I6" s="347">
        <v>107805</v>
      </c>
      <c r="J6" s="347">
        <v>106036</v>
      </c>
      <c r="K6" s="347">
        <v>110941</v>
      </c>
      <c r="L6" s="347">
        <v>112985.99999999999</v>
      </c>
    </row>
    <row r="7" spans="1:12" ht="20.25" customHeight="1">
      <c r="A7" s="661" t="s">
        <v>552</v>
      </c>
      <c r="B7" s="348">
        <v>7051</v>
      </c>
      <c r="C7" s="348">
        <v>7129</v>
      </c>
      <c r="D7" s="348">
        <v>7173</v>
      </c>
      <c r="E7" s="348">
        <v>7291</v>
      </c>
      <c r="F7" s="348">
        <v>7270</v>
      </c>
      <c r="G7" s="348">
        <v>7341</v>
      </c>
      <c r="H7" s="348">
        <v>7045</v>
      </c>
      <c r="I7" s="348">
        <v>7037</v>
      </c>
      <c r="J7" s="348">
        <v>6974</v>
      </c>
      <c r="K7" s="348">
        <v>7227</v>
      </c>
      <c r="L7" s="348">
        <v>7381</v>
      </c>
    </row>
    <row r="8" spans="1:12" ht="15" customHeight="1">
      <c r="A8" s="661" t="s">
        <v>553</v>
      </c>
      <c r="B8" s="348">
        <v>12746</v>
      </c>
      <c r="C8" s="348">
        <v>13169</v>
      </c>
      <c r="D8" s="348">
        <v>13373</v>
      </c>
      <c r="E8" s="348">
        <v>13613</v>
      </c>
      <c r="F8" s="348">
        <v>13840</v>
      </c>
      <c r="G8" s="348">
        <v>13932</v>
      </c>
      <c r="H8" s="348">
        <v>13662</v>
      </c>
      <c r="I8" s="348">
        <v>13781</v>
      </c>
      <c r="J8" s="348">
        <v>13588</v>
      </c>
      <c r="K8" s="348">
        <v>14557</v>
      </c>
      <c r="L8" s="348">
        <v>15022.000000000002</v>
      </c>
    </row>
    <row r="9" spans="1:12" ht="15" customHeight="1">
      <c r="A9" s="661" t="s">
        <v>554</v>
      </c>
      <c r="B9" s="348">
        <v>12356</v>
      </c>
      <c r="C9" s="348">
        <v>12761</v>
      </c>
      <c r="D9" s="348">
        <v>12914</v>
      </c>
      <c r="E9" s="348">
        <v>13247</v>
      </c>
      <c r="F9" s="348">
        <v>13507</v>
      </c>
      <c r="G9" s="348">
        <v>13505</v>
      </c>
      <c r="H9" s="348">
        <v>13001</v>
      </c>
      <c r="I9" s="348">
        <v>13164</v>
      </c>
      <c r="J9" s="348">
        <v>12897</v>
      </c>
      <c r="K9" s="348">
        <v>13716</v>
      </c>
      <c r="L9" s="348">
        <v>13849.999999999998</v>
      </c>
    </row>
    <row r="10" spans="1:12" ht="15" customHeight="1">
      <c r="A10" s="661" t="s">
        <v>555</v>
      </c>
      <c r="B10" s="348">
        <v>48330</v>
      </c>
      <c r="C10" s="348">
        <v>49118</v>
      </c>
      <c r="D10" s="348">
        <v>49590</v>
      </c>
      <c r="E10" s="348">
        <v>50179</v>
      </c>
      <c r="F10" s="348">
        <v>50743</v>
      </c>
      <c r="G10" s="348">
        <v>51437</v>
      </c>
      <c r="H10" s="348">
        <v>50377</v>
      </c>
      <c r="I10" s="348">
        <v>50550</v>
      </c>
      <c r="J10" s="348">
        <v>49104</v>
      </c>
      <c r="K10" s="348">
        <v>51243</v>
      </c>
      <c r="L10" s="348">
        <v>52107</v>
      </c>
    </row>
    <row r="11" spans="1:12" ht="15" customHeight="1">
      <c r="A11" s="661" t="s">
        <v>556</v>
      </c>
      <c r="B11" s="348">
        <v>2093</v>
      </c>
      <c r="C11" s="348">
        <v>2147</v>
      </c>
      <c r="D11" s="348">
        <v>2205</v>
      </c>
      <c r="E11" s="348">
        <v>2256</v>
      </c>
      <c r="F11" s="348">
        <v>2272</v>
      </c>
      <c r="G11" s="348">
        <v>2316</v>
      </c>
      <c r="H11" s="348">
        <v>2252</v>
      </c>
      <c r="I11" s="348">
        <v>2299</v>
      </c>
      <c r="J11" s="348">
        <v>2298</v>
      </c>
      <c r="K11" s="348">
        <v>2409</v>
      </c>
      <c r="L11" s="348">
        <v>2397</v>
      </c>
    </row>
    <row r="12" spans="1:12" ht="15" customHeight="1">
      <c r="A12" s="661" t="s">
        <v>557</v>
      </c>
      <c r="B12" s="348">
        <v>11652</v>
      </c>
      <c r="C12" s="348">
        <v>12069</v>
      </c>
      <c r="D12" s="348">
        <v>12343</v>
      </c>
      <c r="E12" s="348">
        <v>12490</v>
      </c>
      <c r="F12" s="348">
        <v>12646</v>
      </c>
      <c r="G12" s="348">
        <v>12900</v>
      </c>
      <c r="H12" s="348">
        <v>12658</v>
      </c>
      <c r="I12" s="348">
        <v>12707</v>
      </c>
      <c r="J12" s="348">
        <v>12875</v>
      </c>
      <c r="K12" s="348">
        <v>13294</v>
      </c>
      <c r="L12" s="348">
        <v>13558</v>
      </c>
    </row>
    <row r="13" spans="1:12" ht="15" customHeight="1">
      <c r="A13" s="661" t="s">
        <v>558</v>
      </c>
      <c r="B13" s="348">
        <v>5147</v>
      </c>
      <c r="C13" s="348">
        <v>5153</v>
      </c>
      <c r="D13" s="348">
        <v>5162</v>
      </c>
      <c r="E13" s="348">
        <v>5182</v>
      </c>
      <c r="F13" s="348">
        <v>5243</v>
      </c>
      <c r="G13" s="348">
        <v>5223</v>
      </c>
      <c r="H13" s="348">
        <v>5096</v>
      </c>
      <c r="I13" s="348">
        <v>5195</v>
      </c>
      <c r="J13" s="348">
        <v>5144</v>
      </c>
      <c r="K13" s="348">
        <v>5301</v>
      </c>
      <c r="L13" s="348">
        <v>5412.9999999999991</v>
      </c>
    </row>
    <row r="14" spans="1:12" ht="15" customHeight="1">
      <c r="A14" s="661" t="s">
        <v>559</v>
      </c>
      <c r="B14" s="348">
        <v>3170</v>
      </c>
      <c r="C14" s="348">
        <v>3193</v>
      </c>
      <c r="D14" s="348">
        <v>3199</v>
      </c>
      <c r="E14" s="348">
        <v>3238</v>
      </c>
      <c r="F14" s="348">
        <v>3275</v>
      </c>
      <c r="G14" s="348">
        <v>3282</v>
      </c>
      <c r="H14" s="348">
        <v>3046</v>
      </c>
      <c r="I14" s="348">
        <v>3072</v>
      </c>
      <c r="J14" s="348">
        <v>3156</v>
      </c>
      <c r="K14" s="348">
        <v>3194</v>
      </c>
      <c r="L14" s="348">
        <v>3258</v>
      </c>
    </row>
    <row r="15" spans="1:12" ht="15" customHeight="1">
      <c r="A15" s="17" t="s">
        <v>560</v>
      </c>
      <c r="B15" s="347">
        <v>45322</v>
      </c>
      <c r="C15" s="347">
        <v>45766</v>
      </c>
      <c r="D15" s="347">
        <v>46049</v>
      </c>
      <c r="E15" s="347">
        <v>46552</v>
      </c>
      <c r="F15" s="347">
        <v>46657</v>
      </c>
      <c r="G15" s="347">
        <v>46766</v>
      </c>
      <c r="H15" s="347">
        <v>45574</v>
      </c>
      <c r="I15" s="347">
        <v>45616</v>
      </c>
      <c r="J15" s="347">
        <v>44838</v>
      </c>
      <c r="K15" s="347">
        <v>46520</v>
      </c>
      <c r="L15" s="347">
        <v>47066.000000000007</v>
      </c>
    </row>
    <row r="16" spans="1:12" ht="15" customHeight="1">
      <c r="A16" s="661" t="s">
        <v>561</v>
      </c>
      <c r="B16" s="348">
        <v>9095</v>
      </c>
      <c r="C16" s="348">
        <v>9205</v>
      </c>
      <c r="D16" s="348">
        <v>9320</v>
      </c>
      <c r="E16" s="348">
        <v>9561</v>
      </c>
      <c r="F16" s="348">
        <v>9662</v>
      </c>
      <c r="G16" s="348">
        <v>9814</v>
      </c>
      <c r="H16" s="348">
        <v>9682</v>
      </c>
      <c r="I16" s="348">
        <v>9658</v>
      </c>
      <c r="J16" s="348">
        <v>9380</v>
      </c>
      <c r="K16" s="348">
        <v>9676</v>
      </c>
      <c r="L16" s="348">
        <v>9766</v>
      </c>
    </row>
    <row r="17" spans="1:14" ht="15" customHeight="1">
      <c r="A17" s="661" t="s">
        <v>562</v>
      </c>
      <c r="B17" s="348">
        <v>10767</v>
      </c>
      <c r="C17" s="348">
        <v>10830</v>
      </c>
      <c r="D17" s="348">
        <v>10841</v>
      </c>
      <c r="E17" s="348">
        <v>10913</v>
      </c>
      <c r="F17" s="348">
        <v>10920</v>
      </c>
      <c r="G17" s="348">
        <v>10935</v>
      </c>
      <c r="H17" s="348">
        <v>10620</v>
      </c>
      <c r="I17" s="348">
        <v>10718</v>
      </c>
      <c r="J17" s="348">
        <v>10509</v>
      </c>
      <c r="K17" s="348">
        <v>11014</v>
      </c>
      <c r="L17" s="348">
        <v>11047.999999999998</v>
      </c>
    </row>
    <row r="18" spans="1:14" ht="15" customHeight="1">
      <c r="A18" s="661" t="s">
        <v>563</v>
      </c>
      <c r="B18" s="348">
        <v>10195</v>
      </c>
      <c r="C18" s="348">
        <v>10176</v>
      </c>
      <c r="D18" s="348">
        <v>10214</v>
      </c>
      <c r="E18" s="348">
        <v>10313</v>
      </c>
      <c r="F18" s="348">
        <v>10330</v>
      </c>
      <c r="G18" s="348">
        <v>10275</v>
      </c>
      <c r="H18" s="348">
        <v>9997</v>
      </c>
      <c r="I18" s="348">
        <v>9987</v>
      </c>
      <c r="J18" s="348">
        <v>9844</v>
      </c>
      <c r="K18" s="348">
        <v>10184</v>
      </c>
      <c r="L18" s="348">
        <v>10426</v>
      </c>
    </row>
    <row r="19" spans="1:14" ht="15" customHeight="1">
      <c r="A19" s="661" t="s">
        <v>564</v>
      </c>
      <c r="B19" s="348">
        <v>6734</v>
      </c>
      <c r="C19" s="348">
        <v>6859</v>
      </c>
      <c r="D19" s="348">
        <v>6980</v>
      </c>
      <c r="E19" s="348">
        <v>7045</v>
      </c>
      <c r="F19" s="348">
        <v>7065</v>
      </c>
      <c r="G19" s="348">
        <v>7093</v>
      </c>
      <c r="H19" s="348">
        <v>6962</v>
      </c>
      <c r="I19" s="348">
        <v>6975</v>
      </c>
      <c r="J19" s="348">
        <v>6950</v>
      </c>
      <c r="K19" s="348">
        <v>7226</v>
      </c>
      <c r="L19" s="348">
        <v>7366</v>
      </c>
    </row>
    <row r="20" spans="1:14" ht="15" customHeight="1">
      <c r="A20" s="661" t="s">
        <v>565</v>
      </c>
      <c r="B20" s="348">
        <v>2644</v>
      </c>
      <c r="C20" s="348">
        <v>2688</v>
      </c>
      <c r="D20" s="348">
        <v>2715</v>
      </c>
      <c r="E20" s="348">
        <v>2717</v>
      </c>
      <c r="F20" s="348">
        <v>2654</v>
      </c>
      <c r="G20" s="348">
        <v>2682</v>
      </c>
      <c r="H20" s="348">
        <v>2637</v>
      </c>
      <c r="I20" s="348">
        <v>2619</v>
      </c>
      <c r="J20" s="348">
        <v>2630</v>
      </c>
      <c r="K20" s="348">
        <v>2733</v>
      </c>
      <c r="L20" s="348">
        <v>2743</v>
      </c>
    </row>
    <row r="21" spans="1:14" ht="15" customHeight="1">
      <c r="A21" s="661" t="s">
        <v>566</v>
      </c>
      <c r="B21" s="348">
        <v>5887</v>
      </c>
      <c r="C21" s="348">
        <v>6008</v>
      </c>
      <c r="D21" s="348">
        <v>5979</v>
      </c>
      <c r="E21" s="348">
        <v>6003</v>
      </c>
      <c r="F21" s="348">
        <v>6026</v>
      </c>
      <c r="G21" s="348">
        <v>5967</v>
      </c>
      <c r="H21" s="348">
        <v>5676</v>
      </c>
      <c r="I21" s="348">
        <v>5659</v>
      </c>
      <c r="J21" s="348">
        <v>5525</v>
      </c>
      <c r="K21" s="348">
        <v>5687</v>
      </c>
      <c r="L21" s="348">
        <v>5716.9999999999991</v>
      </c>
    </row>
    <row r="22" spans="1:14" ht="15" customHeight="1">
      <c r="A22" s="17" t="s">
        <v>567</v>
      </c>
      <c r="B22" s="347">
        <v>22669</v>
      </c>
      <c r="C22" s="347">
        <v>22795</v>
      </c>
      <c r="D22" s="347">
        <v>23005</v>
      </c>
      <c r="E22" s="347">
        <v>23120</v>
      </c>
      <c r="F22" s="347">
        <v>23388</v>
      </c>
      <c r="G22" s="347">
        <v>23374</v>
      </c>
      <c r="H22" s="347">
        <v>22884</v>
      </c>
      <c r="I22" s="347">
        <v>22898</v>
      </c>
      <c r="J22" s="347">
        <v>22539</v>
      </c>
      <c r="K22" s="347">
        <v>23397</v>
      </c>
      <c r="L22" s="347">
        <v>23798</v>
      </c>
    </row>
    <row r="23" spans="1:14" ht="15" customHeight="1">
      <c r="A23" s="661" t="s">
        <v>568</v>
      </c>
      <c r="B23" s="348">
        <v>10311</v>
      </c>
      <c r="C23" s="348">
        <v>10433</v>
      </c>
      <c r="D23" s="348">
        <v>10563</v>
      </c>
      <c r="E23" s="348">
        <v>10676</v>
      </c>
      <c r="F23" s="348">
        <v>10940</v>
      </c>
      <c r="G23" s="348">
        <v>11025</v>
      </c>
      <c r="H23" s="348">
        <v>10864</v>
      </c>
      <c r="I23" s="348">
        <v>10952</v>
      </c>
      <c r="J23" s="348">
        <v>10812</v>
      </c>
      <c r="K23" s="348">
        <v>11295</v>
      </c>
      <c r="L23" s="348">
        <v>11504</v>
      </c>
    </row>
    <row r="24" spans="1:14" ht="15" customHeight="1">
      <c r="A24" s="661" t="s">
        <v>569</v>
      </c>
      <c r="B24" s="348">
        <v>6080</v>
      </c>
      <c r="C24" s="348">
        <v>6017</v>
      </c>
      <c r="D24" s="348">
        <v>6079</v>
      </c>
      <c r="E24" s="348">
        <v>6040</v>
      </c>
      <c r="F24" s="348">
        <v>6030</v>
      </c>
      <c r="G24" s="348">
        <v>5964</v>
      </c>
      <c r="H24" s="348">
        <v>5812</v>
      </c>
      <c r="I24" s="348">
        <v>5778</v>
      </c>
      <c r="J24" s="348">
        <v>5770</v>
      </c>
      <c r="K24" s="348">
        <v>5900</v>
      </c>
      <c r="L24" s="348">
        <v>6010</v>
      </c>
    </row>
    <row r="25" spans="1:14" ht="15" customHeight="1">
      <c r="A25" s="661" t="s">
        <v>570</v>
      </c>
      <c r="B25" s="348">
        <v>6278</v>
      </c>
      <c r="C25" s="348">
        <v>6345</v>
      </c>
      <c r="D25" s="348">
        <v>6363</v>
      </c>
      <c r="E25" s="348">
        <v>6404</v>
      </c>
      <c r="F25" s="348">
        <v>6418</v>
      </c>
      <c r="G25" s="348">
        <v>6385</v>
      </c>
      <c r="H25" s="348">
        <v>6208</v>
      </c>
      <c r="I25" s="348">
        <v>6168</v>
      </c>
      <c r="J25" s="348">
        <v>5957</v>
      </c>
      <c r="K25" s="348">
        <v>6202</v>
      </c>
      <c r="L25" s="348">
        <v>6284</v>
      </c>
    </row>
    <row r="26" spans="1:14" ht="15" customHeight="1">
      <c r="A26" s="17" t="s">
        <v>571</v>
      </c>
      <c r="B26" s="347">
        <v>53685</v>
      </c>
      <c r="C26" s="347">
        <v>54415</v>
      </c>
      <c r="D26" s="347">
        <v>55029</v>
      </c>
      <c r="E26" s="347">
        <v>55354</v>
      </c>
      <c r="F26" s="347">
        <v>56108</v>
      </c>
      <c r="G26" s="347">
        <v>57209</v>
      </c>
      <c r="H26" s="347">
        <v>55559</v>
      </c>
      <c r="I26" s="347">
        <v>56643</v>
      </c>
      <c r="J26" s="347">
        <v>54793</v>
      </c>
      <c r="K26" s="347">
        <v>57854</v>
      </c>
      <c r="L26" s="347">
        <v>59573</v>
      </c>
      <c r="N26" s="662"/>
    </row>
    <row r="27" spans="1:14" ht="15" customHeight="1">
      <c r="A27" s="17" t="s">
        <v>572</v>
      </c>
      <c r="B27" s="347">
        <v>13094</v>
      </c>
      <c r="C27" s="347">
        <v>13124</v>
      </c>
      <c r="D27" s="347">
        <v>13250</v>
      </c>
      <c r="E27" s="347">
        <v>13484</v>
      </c>
      <c r="F27" s="347">
        <v>13666</v>
      </c>
      <c r="G27" s="347">
        <v>13850</v>
      </c>
      <c r="H27" s="347">
        <v>13653</v>
      </c>
      <c r="I27" s="347">
        <v>14047</v>
      </c>
      <c r="J27" s="347">
        <v>13853</v>
      </c>
      <c r="K27" s="347">
        <v>14699</v>
      </c>
      <c r="L27" s="347">
        <v>14910</v>
      </c>
      <c r="N27" s="662"/>
    </row>
    <row r="28" spans="1:14" ht="15" customHeight="1">
      <c r="A28" s="17" t="s">
        <v>573</v>
      </c>
      <c r="B28" s="347">
        <v>13533</v>
      </c>
      <c r="C28" s="347">
        <v>13857</v>
      </c>
      <c r="D28" s="347">
        <v>13937</v>
      </c>
      <c r="E28" s="347">
        <v>14026</v>
      </c>
      <c r="F28" s="347">
        <v>14095</v>
      </c>
      <c r="G28" s="347">
        <v>14020</v>
      </c>
      <c r="H28" s="347">
        <v>13753</v>
      </c>
      <c r="I28" s="347">
        <v>13857</v>
      </c>
      <c r="J28" s="347">
        <v>13418</v>
      </c>
      <c r="K28" s="347">
        <v>14383</v>
      </c>
      <c r="L28" s="347">
        <v>14681.999999999998</v>
      </c>
      <c r="N28" s="662"/>
    </row>
    <row r="29" spans="1:14" ht="15" customHeight="1">
      <c r="A29" s="661" t="s">
        <v>574</v>
      </c>
      <c r="B29" s="348">
        <v>2468</v>
      </c>
      <c r="C29" s="348">
        <v>2495</v>
      </c>
      <c r="D29" s="348">
        <v>2491</v>
      </c>
      <c r="E29" s="348">
        <v>2550</v>
      </c>
      <c r="F29" s="348">
        <v>2586</v>
      </c>
      <c r="G29" s="348">
        <v>2592</v>
      </c>
      <c r="H29" s="348">
        <v>2596</v>
      </c>
      <c r="I29" s="348">
        <v>2681</v>
      </c>
      <c r="J29" s="348">
        <v>2645</v>
      </c>
      <c r="K29" s="348">
        <v>2804</v>
      </c>
      <c r="L29" s="348">
        <v>2854</v>
      </c>
      <c r="N29" s="662"/>
    </row>
    <row r="30" spans="1:14" ht="15" customHeight="1">
      <c r="A30" s="661" t="s">
        <v>575</v>
      </c>
      <c r="B30" s="348">
        <v>3325</v>
      </c>
      <c r="C30" s="348">
        <v>3419</v>
      </c>
      <c r="D30" s="348">
        <v>3475</v>
      </c>
      <c r="E30" s="348">
        <v>3509</v>
      </c>
      <c r="F30" s="348">
        <v>3574</v>
      </c>
      <c r="G30" s="348">
        <v>3584</v>
      </c>
      <c r="H30" s="348">
        <v>3505</v>
      </c>
      <c r="I30" s="348">
        <v>3502</v>
      </c>
      <c r="J30" s="348">
        <v>3499</v>
      </c>
      <c r="K30" s="348">
        <v>3654</v>
      </c>
      <c r="L30" s="348">
        <v>3855.9999999999995</v>
      </c>
      <c r="N30" s="662"/>
    </row>
    <row r="31" spans="1:14" ht="15" customHeight="1">
      <c r="A31" s="661" t="s">
        <v>576</v>
      </c>
      <c r="B31" s="348">
        <v>2880</v>
      </c>
      <c r="C31" s="348">
        <v>2917</v>
      </c>
      <c r="D31" s="348">
        <v>2906</v>
      </c>
      <c r="E31" s="348">
        <v>2929</v>
      </c>
      <c r="F31" s="348">
        <v>2901</v>
      </c>
      <c r="G31" s="348">
        <v>2878</v>
      </c>
      <c r="H31" s="348">
        <v>2783</v>
      </c>
      <c r="I31" s="348">
        <v>2770</v>
      </c>
      <c r="J31" s="348">
        <v>2634</v>
      </c>
      <c r="K31" s="348">
        <v>2877</v>
      </c>
      <c r="L31" s="348">
        <v>2865</v>
      </c>
      <c r="N31" s="662"/>
    </row>
    <row r="32" spans="1:14" ht="15" customHeight="1">
      <c r="A32" s="661" t="s">
        <v>577</v>
      </c>
      <c r="B32" s="348">
        <v>4860</v>
      </c>
      <c r="C32" s="348">
        <v>5026</v>
      </c>
      <c r="D32" s="348">
        <v>5065</v>
      </c>
      <c r="E32" s="348">
        <v>5038</v>
      </c>
      <c r="F32" s="348">
        <v>5034</v>
      </c>
      <c r="G32" s="348">
        <v>4966</v>
      </c>
      <c r="H32" s="348">
        <v>4869</v>
      </c>
      <c r="I32" s="348">
        <v>4904</v>
      </c>
      <c r="J32" s="348">
        <v>4640</v>
      </c>
      <c r="K32" s="348">
        <v>5048</v>
      </c>
      <c r="L32" s="348">
        <v>5107.0000000000009</v>
      </c>
    </row>
    <row r="33" spans="1:12" s="20" customFormat="1" ht="15" customHeight="1">
      <c r="A33" s="19" t="s">
        <v>578</v>
      </c>
      <c r="B33" s="663">
        <v>15012</v>
      </c>
      <c r="C33" s="663">
        <v>15485</v>
      </c>
      <c r="D33" s="663">
        <v>15831</v>
      </c>
      <c r="E33" s="663">
        <v>16300</v>
      </c>
      <c r="F33" s="663">
        <v>16481</v>
      </c>
      <c r="G33" s="663">
        <v>17081</v>
      </c>
      <c r="H33" s="663">
        <v>17191</v>
      </c>
      <c r="I33" s="663">
        <v>16775</v>
      </c>
      <c r="J33" s="663">
        <v>16329</v>
      </c>
      <c r="K33" s="663">
        <v>17066</v>
      </c>
      <c r="L33" s="663">
        <v>18237.000000000004</v>
      </c>
    </row>
    <row r="34" spans="1:12" ht="15" customHeight="1">
      <c r="A34" s="21" t="s">
        <v>138</v>
      </c>
      <c r="C34" s="18"/>
      <c r="D34" s="18"/>
      <c r="E34" s="18"/>
      <c r="F34" s="18"/>
      <c r="G34" s="18"/>
      <c r="H34" s="18"/>
      <c r="I34" s="18"/>
      <c r="J34" s="18"/>
      <c r="K34" s="18"/>
      <c r="L34" s="18"/>
    </row>
    <row r="52" spans="9:10">
      <c r="I52" s="497"/>
      <c r="J52" s="497"/>
    </row>
  </sheetData>
  <mergeCells count="1">
    <mergeCell ref="A1:L1"/>
  </mergeCells>
  <conditionalFormatting sqref="C34:D34 B5:L33">
    <cfRule type="cellIs" dxfId="912" priority="9" operator="equal">
      <formula>0</formula>
    </cfRule>
  </conditionalFormatting>
  <conditionalFormatting sqref="E34">
    <cfRule type="cellIs" dxfId="911" priority="8" operator="equal">
      <formula>0</formula>
    </cfRule>
  </conditionalFormatting>
  <conditionalFormatting sqref="H34">
    <cfRule type="cellIs" dxfId="910" priority="7" operator="equal">
      <formula>0</formula>
    </cfRule>
  </conditionalFormatting>
  <conditionalFormatting sqref="F34">
    <cfRule type="cellIs" dxfId="909" priority="6" operator="equal">
      <formula>0</formula>
    </cfRule>
  </conditionalFormatting>
  <conditionalFormatting sqref="G34">
    <cfRule type="cellIs" dxfId="908" priority="5" operator="equal">
      <formula>0</formula>
    </cfRule>
  </conditionalFormatting>
  <conditionalFormatting sqref="I34">
    <cfRule type="cellIs" dxfId="907" priority="4" operator="equal">
      <formula>0</formula>
    </cfRule>
  </conditionalFormatting>
  <conditionalFormatting sqref="J34">
    <cfRule type="cellIs" dxfId="906" priority="3" operator="equal">
      <formula>0</formula>
    </cfRule>
  </conditionalFormatting>
  <conditionalFormatting sqref="K34">
    <cfRule type="cellIs" dxfId="905" priority="2" operator="equal">
      <formula>0</formula>
    </cfRule>
  </conditionalFormatting>
  <conditionalFormatting sqref="L34">
    <cfRule type="cellIs" dxfId="90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4" orientation="portrait" r:id="rId1"/>
  <headerFooter>
    <oddHeader xml:space="preserve">&amp;C&amp;G
</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6"/>
  <dimension ref="A1"/>
  <sheetViews>
    <sheetView showGridLines="0" topLeftCell="A16" workbookViewId="0">
      <selection activeCell="L46" sqref="L46"/>
    </sheetView>
  </sheetViews>
  <sheetFormatPr defaultRowHeight="12.75"/>
  <sheetData/>
  <pageMargins left="0.70866141732283472" right="0.70866141732283472" top="0.74803149606299213" bottom="0.7480314960629921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71">
    <tabColor indexed="24"/>
    <pageSetUpPr fitToPage="1"/>
  </sheetPr>
  <dimension ref="A1:P51"/>
  <sheetViews>
    <sheetView showGridLines="0" zoomScaleNormal="100" workbookViewId="0">
      <selection sqref="A1:L1"/>
    </sheetView>
  </sheetViews>
  <sheetFormatPr defaultColWidth="9.140625" defaultRowHeight="11.25"/>
  <cols>
    <col min="1" max="1" width="2" style="118" customWidth="1"/>
    <col min="2" max="2" width="28.28515625" style="118" customWidth="1"/>
    <col min="3" max="3" width="6.7109375" style="22" customWidth="1"/>
    <col min="4" max="5" width="6.7109375" style="134" customWidth="1"/>
    <col min="6" max="13" width="6.7109375" style="118" customWidth="1"/>
    <col min="14" max="16384" width="9.140625" style="118"/>
  </cols>
  <sheetData>
    <row r="1" spans="1:16" s="129" customFormat="1" ht="28.5" customHeight="1">
      <c r="A1" s="793" t="s">
        <v>630</v>
      </c>
      <c r="B1" s="793"/>
      <c r="C1" s="793"/>
      <c r="D1" s="793"/>
      <c r="E1" s="793"/>
      <c r="F1" s="793"/>
      <c r="G1" s="793"/>
      <c r="H1" s="793"/>
      <c r="I1" s="793"/>
      <c r="J1" s="793"/>
      <c r="K1" s="793"/>
      <c r="L1" s="793"/>
      <c r="M1" s="793"/>
    </row>
    <row r="2" spans="1:16" ht="15.75" customHeight="1">
      <c r="A2" s="296"/>
      <c r="B2" s="296"/>
      <c r="C2" s="184"/>
      <c r="D2" s="176"/>
      <c r="E2" s="176"/>
      <c r="F2" s="143"/>
      <c r="G2" s="143"/>
      <c r="H2" s="143"/>
      <c r="I2" s="143"/>
      <c r="J2" s="143"/>
      <c r="K2" s="143"/>
      <c r="L2" s="143"/>
      <c r="M2" s="143"/>
    </row>
    <row r="3" spans="1:16" ht="15" customHeight="1">
      <c r="A3" s="177" t="s">
        <v>42</v>
      </c>
      <c r="B3" s="222"/>
      <c r="C3" s="186"/>
      <c r="D3" s="176"/>
      <c r="E3" s="176"/>
      <c r="F3" s="143"/>
      <c r="G3" s="143"/>
      <c r="H3" s="143"/>
      <c r="I3" s="143"/>
      <c r="J3" s="143"/>
      <c r="K3" s="143"/>
      <c r="L3" s="143"/>
      <c r="M3" s="143"/>
    </row>
    <row r="4" spans="1:16" ht="28.5" customHeight="1" thickBot="1">
      <c r="A4" s="107" t="s">
        <v>1</v>
      </c>
      <c r="B4" s="32"/>
      <c r="C4" s="16">
        <v>2013</v>
      </c>
      <c r="D4" s="16">
        <v>2014</v>
      </c>
      <c r="E4" s="16">
        <v>2015</v>
      </c>
      <c r="F4" s="16">
        <v>2016</v>
      </c>
      <c r="G4" s="16">
        <v>2017</v>
      </c>
      <c r="H4" s="16">
        <v>2018</v>
      </c>
      <c r="I4" s="16">
        <v>2019</v>
      </c>
      <c r="J4" s="16">
        <v>2020</v>
      </c>
      <c r="K4" s="16">
        <v>2021</v>
      </c>
      <c r="L4" s="16">
        <v>2022</v>
      </c>
      <c r="M4" s="16">
        <v>2023</v>
      </c>
    </row>
    <row r="5" spans="1:16" s="130" customFormat="1" ht="16.5" customHeight="1" thickTop="1">
      <c r="A5" s="34" t="s">
        <v>43</v>
      </c>
      <c r="B5" s="208"/>
      <c r="C5" s="340">
        <v>315112</v>
      </c>
      <c r="D5" s="340">
        <v>318886</v>
      </c>
      <c r="E5" s="340">
        <v>321500</v>
      </c>
      <c r="F5" s="340">
        <v>324933</v>
      </c>
      <c r="G5" s="340">
        <v>327295</v>
      </c>
      <c r="H5" s="340">
        <v>330668</v>
      </c>
      <c r="I5" s="340">
        <v>322978</v>
      </c>
      <c r="J5" s="340">
        <v>324959</v>
      </c>
      <c r="K5" s="340">
        <v>318254</v>
      </c>
      <c r="L5" s="340">
        <v>332683</v>
      </c>
      <c r="M5" s="340">
        <v>340364</v>
      </c>
      <c r="N5" s="118"/>
    </row>
    <row r="6" spans="1:16" s="130" customFormat="1" ht="16.5" customHeight="1">
      <c r="A6" s="208" t="s">
        <v>73</v>
      </c>
      <c r="B6" s="326" t="s">
        <v>172</v>
      </c>
      <c r="C6" s="341">
        <v>13206</v>
      </c>
      <c r="D6" s="341">
        <v>13885</v>
      </c>
      <c r="E6" s="341">
        <v>14286</v>
      </c>
      <c r="F6" s="341">
        <v>14632</v>
      </c>
      <c r="G6" s="341">
        <v>14726</v>
      </c>
      <c r="H6" s="341">
        <v>14824</v>
      </c>
      <c r="I6" s="341">
        <v>14355</v>
      </c>
      <c r="J6" s="341">
        <v>14520</v>
      </c>
      <c r="K6" s="341">
        <v>14031</v>
      </c>
      <c r="L6" s="341">
        <v>14449</v>
      </c>
      <c r="M6" s="341">
        <v>14667</v>
      </c>
      <c r="N6" s="118"/>
    </row>
    <row r="7" spans="1:16" s="130" customFormat="1" ht="12.75" customHeight="1">
      <c r="A7" s="208" t="s">
        <v>74</v>
      </c>
      <c r="B7" s="326" t="s">
        <v>102</v>
      </c>
      <c r="C7" s="341">
        <v>795</v>
      </c>
      <c r="D7" s="341">
        <v>765</v>
      </c>
      <c r="E7" s="341">
        <v>762</v>
      </c>
      <c r="F7" s="341">
        <v>737</v>
      </c>
      <c r="G7" s="341">
        <v>744</v>
      </c>
      <c r="H7" s="341">
        <v>728</v>
      </c>
      <c r="I7" s="341">
        <v>697</v>
      </c>
      <c r="J7" s="341">
        <v>684</v>
      </c>
      <c r="K7" s="341">
        <v>657</v>
      </c>
      <c r="L7" s="341">
        <v>665</v>
      </c>
      <c r="M7" s="341">
        <v>680</v>
      </c>
      <c r="N7" s="118"/>
    </row>
    <row r="8" spans="1:16" s="130" customFormat="1" ht="12.75" customHeight="1">
      <c r="A8" s="208" t="s">
        <v>75</v>
      </c>
      <c r="B8" s="326" t="s">
        <v>101</v>
      </c>
      <c r="C8" s="341">
        <v>36152</v>
      </c>
      <c r="D8" s="341">
        <v>36167</v>
      </c>
      <c r="E8" s="341">
        <v>36172</v>
      </c>
      <c r="F8" s="341">
        <v>36485</v>
      </c>
      <c r="G8" s="341">
        <v>36402</v>
      </c>
      <c r="H8" s="341">
        <v>36243</v>
      </c>
      <c r="I8" s="341">
        <v>34835</v>
      </c>
      <c r="J8" s="341">
        <v>34676</v>
      </c>
      <c r="K8" s="341">
        <v>33711</v>
      </c>
      <c r="L8" s="341">
        <v>34690</v>
      </c>
      <c r="M8" s="341">
        <v>34549</v>
      </c>
      <c r="O8" s="130">
        <f>+C8/$C$5*100</f>
        <v>11.472746198177155</v>
      </c>
      <c r="P8" s="130">
        <f>+M8/$M$5*100</f>
        <v>10.150603471577488</v>
      </c>
    </row>
    <row r="9" spans="1:16" s="130" customFormat="1" ht="12.75" customHeight="1">
      <c r="A9" s="106"/>
      <c r="B9" s="105" t="s">
        <v>88</v>
      </c>
      <c r="C9" s="342">
        <v>6553</v>
      </c>
      <c r="D9" s="342">
        <v>6521</v>
      </c>
      <c r="E9" s="342">
        <v>6422</v>
      </c>
      <c r="F9" s="342">
        <v>6402</v>
      </c>
      <c r="G9" s="342">
        <v>6272</v>
      </c>
      <c r="H9" s="342">
        <v>6097</v>
      </c>
      <c r="I9" s="342">
        <v>5825</v>
      </c>
      <c r="J9" s="342">
        <v>5700</v>
      </c>
      <c r="K9" s="342">
        <v>5473</v>
      </c>
      <c r="L9" s="342">
        <v>5531</v>
      </c>
      <c r="M9" s="342">
        <v>5413</v>
      </c>
      <c r="O9" s="130">
        <f>+C9/$C$5*100</f>
        <v>2.0795780547868694</v>
      </c>
      <c r="P9" s="130">
        <f>+M9/$M$5*100</f>
        <v>1.5903562068843944</v>
      </c>
    </row>
    <row r="10" spans="1:16" s="130" customFormat="1" ht="12.75" customHeight="1">
      <c r="A10" s="106"/>
      <c r="B10" s="105" t="s">
        <v>89</v>
      </c>
      <c r="C10" s="342">
        <v>716</v>
      </c>
      <c r="D10" s="342">
        <v>751</v>
      </c>
      <c r="E10" s="342">
        <v>754</v>
      </c>
      <c r="F10" s="342">
        <v>787</v>
      </c>
      <c r="G10" s="342">
        <v>786</v>
      </c>
      <c r="H10" s="342">
        <v>808</v>
      </c>
      <c r="I10" s="342">
        <v>814</v>
      </c>
      <c r="J10" s="342">
        <v>816</v>
      </c>
      <c r="K10" s="342">
        <v>807</v>
      </c>
      <c r="L10" s="342">
        <v>845</v>
      </c>
      <c r="M10" s="342">
        <v>871</v>
      </c>
    </row>
    <row r="11" spans="1:16" s="130" customFormat="1" ht="12.75" customHeight="1">
      <c r="A11" s="106"/>
      <c r="B11" s="105" t="s">
        <v>90</v>
      </c>
      <c r="C11" s="342">
        <v>1</v>
      </c>
      <c r="D11" s="342">
        <v>1</v>
      </c>
      <c r="E11" s="342">
        <v>1</v>
      </c>
      <c r="F11" s="342">
        <v>1</v>
      </c>
      <c r="G11" s="342">
        <v>1</v>
      </c>
      <c r="H11" s="342">
        <v>1</v>
      </c>
      <c r="I11" s="342">
        <v>1</v>
      </c>
      <c r="J11" s="342">
        <v>1</v>
      </c>
      <c r="K11" s="342">
        <v>1</v>
      </c>
      <c r="L11" s="342">
        <v>1</v>
      </c>
      <c r="M11" s="342">
        <v>1</v>
      </c>
      <c r="O11" s="130">
        <f>+C11/$C$5*100</f>
        <v>3.1734748279976642E-4</v>
      </c>
      <c r="P11" s="130">
        <f>+M11/$M$5*100</f>
        <v>2.9380310491121273E-4</v>
      </c>
    </row>
    <row r="12" spans="1:16" s="130" customFormat="1" ht="12.75" customHeight="1">
      <c r="A12" s="106"/>
      <c r="B12" s="105" t="s">
        <v>0</v>
      </c>
      <c r="C12" s="342">
        <v>1682</v>
      </c>
      <c r="D12" s="342">
        <v>1685</v>
      </c>
      <c r="E12" s="342">
        <v>1709</v>
      </c>
      <c r="F12" s="342">
        <v>1718</v>
      </c>
      <c r="G12" s="342">
        <v>1708</v>
      </c>
      <c r="H12" s="342">
        <v>1697</v>
      </c>
      <c r="I12" s="342">
        <v>1612</v>
      </c>
      <c r="J12" s="342">
        <v>1584</v>
      </c>
      <c r="K12" s="342">
        <v>1562</v>
      </c>
      <c r="L12" s="342">
        <v>1614</v>
      </c>
      <c r="M12" s="342">
        <v>1582</v>
      </c>
    </row>
    <row r="13" spans="1:16" s="130" customFormat="1" ht="12.75" customHeight="1">
      <c r="A13" s="106"/>
      <c r="B13" s="105" t="s">
        <v>91</v>
      </c>
      <c r="C13" s="342">
        <v>3904</v>
      </c>
      <c r="D13" s="342">
        <v>4042</v>
      </c>
      <c r="E13" s="342">
        <v>4081</v>
      </c>
      <c r="F13" s="342">
        <v>4156</v>
      </c>
      <c r="G13" s="342">
        <v>4122</v>
      </c>
      <c r="H13" s="342">
        <v>3991</v>
      </c>
      <c r="I13" s="342">
        <v>3625</v>
      </c>
      <c r="J13" s="342">
        <v>3528</v>
      </c>
      <c r="K13" s="342">
        <v>3412</v>
      </c>
      <c r="L13" s="342">
        <v>3478</v>
      </c>
      <c r="M13" s="342">
        <v>3319</v>
      </c>
    </row>
    <row r="14" spans="1:16" s="130" customFormat="1" ht="12.75" customHeight="1">
      <c r="A14" s="106"/>
      <c r="B14" s="105" t="s">
        <v>146</v>
      </c>
      <c r="C14" s="342">
        <v>1896</v>
      </c>
      <c r="D14" s="342">
        <v>1942</v>
      </c>
      <c r="E14" s="342">
        <v>1994</v>
      </c>
      <c r="F14" s="342">
        <v>2022</v>
      </c>
      <c r="G14" s="342">
        <v>1987</v>
      </c>
      <c r="H14" s="342">
        <v>1938</v>
      </c>
      <c r="I14" s="342">
        <v>1745</v>
      </c>
      <c r="J14" s="342">
        <v>1691</v>
      </c>
      <c r="K14" s="342">
        <v>1606</v>
      </c>
      <c r="L14" s="342">
        <v>1675</v>
      </c>
      <c r="M14" s="342">
        <v>1545</v>
      </c>
    </row>
    <row r="15" spans="1:16" s="130" customFormat="1" ht="12.75" customHeight="1">
      <c r="A15" s="106"/>
      <c r="B15" s="105" t="s">
        <v>147</v>
      </c>
      <c r="C15" s="342">
        <v>2320</v>
      </c>
      <c r="D15" s="342">
        <v>2285</v>
      </c>
      <c r="E15" s="342">
        <v>2267</v>
      </c>
      <c r="F15" s="342">
        <v>2256</v>
      </c>
      <c r="G15" s="342">
        <v>2214</v>
      </c>
      <c r="H15" s="342">
        <v>2223</v>
      </c>
      <c r="I15" s="342">
        <v>2164</v>
      </c>
      <c r="J15" s="342">
        <v>2140</v>
      </c>
      <c r="K15" s="342">
        <v>2069</v>
      </c>
      <c r="L15" s="342">
        <v>2125</v>
      </c>
      <c r="M15" s="342">
        <v>2125</v>
      </c>
    </row>
    <row r="16" spans="1:16" s="130" customFormat="1" ht="12.75" customHeight="1">
      <c r="A16" s="106"/>
      <c r="B16" s="105" t="s">
        <v>148</v>
      </c>
      <c r="C16" s="342">
        <v>340</v>
      </c>
      <c r="D16" s="342">
        <v>339</v>
      </c>
      <c r="E16" s="342">
        <v>344</v>
      </c>
      <c r="F16" s="342">
        <v>347</v>
      </c>
      <c r="G16" s="342">
        <v>337</v>
      </c>
      <c r="H16" s="342">
        <v>353</v>
      </c>
      <c r="I16" s="342">
        <v>365</v>
      </c>
      <c r="J16" s="342">
        <v>371</v>
      </c>
      <c r="K16" s="342">
        <v>365</v>
      </c>
      <c r="L16" s="342">
        <v>366</v>
      </c>
      <c r="M16" s="342">
        <v>369</v>
      </c>
    </row>
    <row r="17" spans="1:13" s="130" customFormat="1" ht="12.75" customHeight="1">
      <c r="A17" s="106"/>
      <c r="B17" s="105" t="s">
        <v>149</v>
      </c>
      <c r="C17" s="342">
        <v>1389</v>
      </c>
      <c r="D17" s="342">
        <v>1375</v>
      </c>
      <c r="E17" s="342">
        <v>1337</v>
      </c>
      <c r="F17" s="342">
        <v>1309</v>
      </c>
      <c r="G17" s="342">
        <v>1301</v>
      </c>
      <c r="H17" s="342">
        <v>1270</v>
      </c>
      <c r="I17" s="342">
        <v>1195</v>
      </c>
      <c r="J17" s="342">
        <v>1168</v>
      </c>
      <c r="K17" s="342">
        <v>1106</v>
      </c>
      <c r="L17" s="342">
        <v>1134</v>
      </c>
      <c r="M17" s="342">
        <v>1108</v>
      </c>
    </row>
    <row r="18" spans="1:13" s="130" customFormat="1" ht="12.75" customHeight="1">
      <c r="A18" s="106"/>
      <c r="B18" s="105" t="s">
        <v>150</v>
      </c>
      <c r="C18" s="342">
        <v>18</v>
      </c>
      <c r="D18" s="342">
        <v>17</v>
      </c>
      <c r="E18" s="342">
        <v>15</v>
      </c>
      <c r="F18" s="342">
        <v>20</v>
      </c>
      <c r="G18" s="342">
        <v>19</v>
      </c>
      <c r="H18" s="342">
        <v>20</v>
      </c>
      <c r="I18" s="342">
        <v>22</v>
      </c>
      <c r="J18" s="342">
        <v>19</v>
      </c>
      <c r="K18" s="342">
        <v>18</v>
      </c>
      <c r="L18" s="342">
        <v>21</v>
      </c>
      <c r="M18" s="342">
        <v>22</v>
      </c>
    </row>
    <row r="19" spans="1:13" s="130" customFormat="1" ht="12.75" customHeight="1">
      <c r="A19" s="106"/>
      <c r="B19" s="105" t="s">
        <v>151</v>
      </c>
      <c r="C19" s="342">
        <v>684</v>
      </c>
      <c r="D19" s="342">
        <v>704</v>
      </c>
      <c r="E19" s="342">
        <v>684</v>
      </c>
      <c r="F19" s="342">
        <v>687</v>
      </c>
      <c r="G19" s="342">
        <v>677</v>
      </c>
      <c r="H19" s="342">
        <v>684</v>
      </c>
      <c r="I19" s="342">
        <v>649</v>
      </c>
      <c r="J19" s="342">
        <v>650</v>
      </c>
      <c r="K19" s="342">
        <v>662</v>
      </c>
      <c r="L19" s="342">
        <v>661</v>
      </c>
      <c r="M19" s="342">
        <v>685</v>
      </c>
    </row>
    <row r="20" spans="1:13" s="130" customFormat="1" ht="12.75" customHeight="1">
      <c r="A20" s="106"/>
      <c r="B20" s="105" t="s">
        <v>160</v>
      </c>
      <c r="C20" s="342">
        <v>114</v>
      </c>
      <c r="D20" s="342">
        <v>116</v>
      </c>
      <c r="E20" s="342">
        <v>110</v>
      </c>
      <c r="F20" s="342">
        <v>109</v>
      </c>
      <c r="G20" s="342">
        <v>114</v>
      </c>
      <c r="H20" s="342">
        <v>108</v>
      </c>
      <c r="I20" s="342">
        <v>114</v>
      </c>
      <c r="J20" s="342">
        <v>115</v>
      </c>
      <c r="K20" s="342">
        <v>126</v>
      </c>
      <c r="L20" s="342">
        <v>138</v>
      </c>
      <c r="M20" s="342">
        <v>126</v>
      </c>
    </row>
    <row r="21" spans="1:13" s="130" customFormat="1" ht="12.75" customHeight="1">
      <c r="A21" s="106"/>
      <c r="B21" s="105" t="s">
        <v>152</v>
      </c>
      <c r="C21" s="342">
        <v>781</v>
      </c>
      <c r="D21" s="342">
        <v>790</v>
      </c>
      <c r="E21" s="342">
        <v>807</v>
      </c>
      <c r="F21" s="342">
        <v>827</v>
      </c>
      <c r="G21" s="342">
        <v>826</v>
      </c>
      <c r="H21" s="342">
        <v>820</v>
      </c>
      <c r="I21" s="342">
        <v>830</v>
      </c>
      <c r="J21" s="342">
        <v>840</v>
      </c>
      <c r="K21" s="342">
        <v>815</v>
      </c>
      <c r="L21" s="342">
        <v>813</v>
      </c>
      <c r="M21" s="342">
        <v>815</v>
      </c>
    </row>
    <row r="22" spans="1:13" s="130" customFormat="1" ht="12.75" customHeight="1">
      <c r="A22" s="106"/>
      <c r="B22" s="105" t="s">
        <v>159</v>
      </c>
      <c r="C22" s="342">
        <v>2396</v>
      </c>
      <c r="D22" s="342">
        <v>2344</v>
      </c>
      <c r="E22" s="342">
        <v>2293</v>
      </c>
      <c r="F22" s="342">
        <v>2288</v>
      </c>
      <c r="G22" s="342">
        <v>2298</v>
      </c>
      <c r="H22" s="342">
        <v>2261</v>
      </c>
      <c r="I22" s="342">
        <v>2169</v>
      </c>
      <c r="J22" s="342">
        <v>2185</v>
      </c>
      <c r="K22" s="342">
        <v>2158</v>
      </c>
      <c r="L22" s="342">
        <v>2197</v>
      </c>
      <c r="M22" s="342">
        <v>2220</v>
      </c>
    </row>
    <row r="23" spans="1:13" s="130" customFormat="1" ht="12.75" customHeight="1">
      <c r="A23" s="106"/>
      <c r="B23" s="105" t="s">
        <v>92</v>
      </c>
      <c r="C23" s="342">
        <v>258</v>
      </c>
      <c r="D23" s="342">
        <v>247</v>
      </c>
      <c r="E23" s="342">
        <v>240</v>
      </c>
      <c r="F23" s="342">
        <v>230</v>
      </c>
      <c r="G23" s="342">
        <v>231</v>
      </c>
      <c r="H23" s="342">
        <v>227</v>
      </c>
      <c r="I23" s="342">
        <v>259</v>
      </c>
      <c r="J23" s="342">
        <v>257</v>
      </c>
      <c r="K23" s="342">
        <v>260</v>
      </c>
      <c r="L23" s="342">
        <v>256</v>
      </c>
      <c r="M23" s="342">
        <v>265</v>
      </c>
    </row>
    <row r="24" spans="1:13" s="130" customFormat="1" ht="12.75" customHeight="1">
      <c r="A24" s="106"/>
      <c r="B24" s="105" t="s">
        <v>157</v>
      </c>
      <c r="C24" s="342">
        <v>5850</v>
      </c>
      <c r="D24" s="342">
        <v>5848</v>
      </c>
      <c r="E24" s="342">
        <v>5854</v>
      </c>
      <c r="F24" s="342">
        <v>5995</v>
      </c>
      <c r="G24" s="342">
        <v>6066</v>
      </c>
      <c r="H24" s="342">
        <v>6195</v>
      </c>
      <c r="I24" s="342">
        <v>6111</v>
      </c>
      <c r="J24" s="342">
        <v>6199</v>
      </c>
      <c r="K24" s="342">
        <v>6051</v>
      </c>
      <c r="L24" s="342">
        <v>6325</v>
      </c>
      <c r="M24" s="342">
        <v>6376</v>
      </c>
    </row>
    <row r="25" spans="1:13" s="130" customFormat="1" ht="12.75" customHeight="1">
      <c r="A25" s="106"/>
      <c r="B25" s="105" t="s">
        <v>158</v>
      </c>
      <c r="C25" s="342">
        <v>170</v>
      </c>
      <c r="D25" s="342">
        <v>187</v>
      </c>
      <c r="E25" s="342">
        <v>174</v>
      </c>
      <c r="F25" s="342">
        <v>176</v>
      </c>
      <c r="G25" s="342">
        <v>184</v>
      </c>
      <c r="H25" s="342">
        <v>190</v>
      </c>
      <c r="I25" s="342">
        <v>188</v>
      </c>
      <c r="J25" s="342">
        <v>190</v>
      </c>
      <c r="K25" s="342">
        <v>190</v>
      </c>
      <c r="L25" s="342">
        <v>203</v>
      </c>
      <c r="M25" s="342">
        <v>204</v>
      </c>
    </row>
    <row r="26" spans="1:13" s="130" customFormat="1" ht="12.75" customHeight="1">
      <c r="A26" s="106"/>
      <c r="B26" s="105" t="s">
        <v>153</v>
      </c>
      <c r="C26" s="342">
        <v>431</v>
      </c>
      <c r="D26" s="342">
        <v>408</v>
      </c>
      <c r="E26" s="342">
        <v>393</v>
      </c>
      <c r="F26" s="342">
        <v>383</v>
      </c>
      <c r="G26" s="342">
        <v>383</v>
      </c>
      <c r="H26" s="342">
        <v>389</v>
      </c>
      <c r="I26" s="342">
        <v>364</v>
      </c>
      <c r="J26" s="342">
        <v>369</v>
      </c>
      <c r="K26" s="342">
        <v>353</v>
      </c>
      <c r="L26" s="342">
        <v>368</v>
      </c>
      <c r="M26" s="342">
        <v>376</v>
      </c>
    </row>
    <row r="27" spans="1:13" s="130" customFormat="1" ht="12.75" customHeight="1">
      <c r="A27" s="106"/>
      <c r="B27" s="105" t="s">
        <v>161</v>
      </c>
      <c r="C27" s="342">
        <v>1027</v>
      </c>
      <c r="D27" s="342">
        <v>1028</v>
      </c>
      <c r="E27" s="342">
        <v>1052</v>
      </c>
      <c r="F27" s="342">
        <v>1071</v>
      </c>
      <c r="G27" s="342">
        <v>1058</v>
      </c>
      <c r="H27" s="342">
        <v>1052</v>
      </c>
      <c r="I27" s="342">
        <v>1025</v>
      </c>
      <c r="J27" s="342">
        <v>1033</v>
      </c>
      <c r="K27" s="342">
        <v>993</v>
      </c>
      <c r="L27" s="342">
        <v>1010</v>
      </c>
      <c r="M27" s="342">
        <v>1017</v>
      </c>
    </row>
    <row r="28" spans="1:13" s="130" customFormat="1" ht="12.75" customHeight="1">
      <c r="A28" s="106"/>
      <c r="B28" s="105" t="s">
        <v>154</v>
      </c>
      <c r="C28" s="342">
        <v>363</v>
      </c>
      <c r="D28" s="342">
        <v>367</v>
      </c>
      <c r="E28" s="342">
        <v>379</v>
      </c>
      <c r="F28" s="342">
        <v>388</v>
      </c>
      <c r="G28" s="342">
        <v>392</v>
      </c>
      <c r="H28" s="342">
        <v>408</v>
      </c>
      <c r="I28" s="342">
        <v>378</v>
      </c>
      <c r="J28" s="342">
        <v>380</v>
      </c>
      <c r="K28" s="342">
        <v>371</v>
      </c>
      <c r="L28" s="342">
        <v>382</v>
      </c>
      <c r="M28" s="342">
        <v>401</v>
      </c>
    </row>
    <row r="29" spans="1:13" s="130" customFormat="1" ht="12.75" customHeight="1">
      <c r="A29" s="106"/>
      <c r="B29" s="105" t="s">
        <v>162</v>
      </c>
      <c r="C29" s="342">
        <v>129</v>
      </c>
      <c r="D29" s="342">
        <v>125</v>
      </c>
      <c r="E29" s="342">
        <v>127</v>
      </c>
      <c r="F29" s="342">
        <v>137</v>
      </c>
      <c r="G29" s="342">
        <v>148</v>
      </c>
      <c r="H29" s="342">
        <v>139</v>
      </c>
      <c r="I29" s="342">
        <v>141</v>
      </c>
      <c r="J29" s="342">
        <v>145</v>
      </c>
      <c r="K29" s="342">
        <v>151</v>
      </c>
      <c r="L29" s="342">
        <v>162</v>
      </c>
      <c r="M29" s="342">
        <v>165</v>
      </c>
    </row>
    <row r="30" spans="1:13" s="130" customFormat="1" ht="12.75" customHeight="1">
      <c r="A30" s="106"/>
      <c r="B30" s="105" t="s">
        <v>155</v>
      </c>
      <c r="C30" s="342">
        <v>2489</v>
      </c>
      <c r="D30" s="342">
        <v>2433</v>
      </c>
      <c r="E30" s="342">
        <v>2442</v>
      </c>
      <c r="F30" s="342">
        <v>2444</v>
      </c>
      <c r="G30" s="342">
        <v>2501</v>
      </c>
      <c r="H30" s="342">
        <v>2512</v>
      </c>
      <c r="I30" s="342">
        <v>2452</v>
      </c>
      <c r="J30" s="342">
        <v>2459</v>
      </c>
      <c r="K30" s="342">
        <v>2386</v>
      </c>
      <c r="L30" s="342">
        <v>2469</v>
      </c>
      <c r="M30" s="342">
        <v>2528</v>
      </c>
    </row>
    <row r="31" spans="1:13" s="130" customFormat="1" ht="12.75" customHeight="1">
      <c r="A31" s="106"/>
      <c r="B31" s="105" t="s">
        <v>156</v>
      </c>
      <c r="C31" s="342">
        <v>1084</v>
      </c>
      <c r="D31" s="342">
        <v>1099</v>
      </c>
      <c r="E31" s="342">
        <v>1115</v>
      </c>
      <c r="F31" s="342">
        <v>1112</v>
      </c>
      <c r="G31" s="342">
        <v>1122</v>
      </c>
      <c r="H31" s="342">
        <v>1123</v>
      </c>
      <c r="I31" s="342">
        <v>1077</v>
      </c>
      <c r="J31" s="342">
        <v>1092</v>
      </c>
      <c r="K31" s="342">
        <v>1030</v>
      </c>
      <c r="L31" s="342">
        <v>1090</v>
      </c>
      <c r="M31" s="342">
        <v>1099</v>
      </c>
    </row>
    <row r="32" spans="1:13" s="130" customFormat="1" ht="12.75" customHeight="1">
      <c r="A32" s="106"/>
      <c r="B32" s="105" t="s">
        <v>163</v>
      </c>
      <c r="C32" s="342">
        <v>1557</v>
      </c>
      <c r="D32" s="342">
        <v>1513</v>
      </c>
      <c r="E32" s="342">
        <v>1578</v>
      </c>
      <c r="F32" s="342">
        <v>1620</v>
      </c>
      <c r="G32" s="342">
        <v>1655</v>
      </c>
      <c r="H32" s="342">
        <v>1737</v>
      </c>
      <c r="I32" s="342">
        <v>1710</v>
      </c>
      <c r="J32" s="342">
        <v>1744</v>
      </c>
      <c r="K32" s="342">
        <v>1746</v>
      </c>
      <c r="L32" s="342">
        <v>1826</v>
      </c>
      <c r="M32" s="342">
        <v>1917</v>
      </c>
    </row>
    <row r="33" spans="1:16" s="130" customFormat="1" ht="16.5" customHeight="1">
      <c r="A33" s="208" t="s">
        <v>76</v>
      </c>
      <c r="B33" s="326" t="s">
        <v>164</v>
      </c>
      <c r="C33" s="341">
        <v>394</v>
      </c>
      <c r="D33" s="341">
        <v>409</v>
      </c>
      <c r="E33" s="341">
        <v>429</v>
      </c>
      <c r="F33" s="341">
        <v>412</v>
      </c>
      <c r="G33" s="341">
        <v>403</v>
      </c>
      <c r="H33" s="341">
        <v>388</v>
      </c>
      <c r="I33" s="341">
        <v>385</v>
      </c>
      <c r="J33" s="341">
        <v>391</v>
      </c>
      <c r="K33" s="341">
        <v>387</v>
      </c>
      <c r="L33" s="341">
        <v>394</v>
      </c>
      <c r="M33" s="341">
        <v>418</v>
      </c>
    </row>
    <row r="34" spans="1:16" s="130" customFormat="1" ht="12.75" customHeight="1">
      <c r="A34" s="208" t="s">
        <v>77</v>
      </c>
      <c r="B34" s="326" t="s">
        <v>173</v>
      </c>
      <c r="C34" s="341">
        <v>1177</v>
      </c>
      <c r="D34" s="341">
        <v>1146</v>
      </c>
      <c r="E34" s="341">
        <v>1088</v>
      </c>
      <c r="F34" s="341">
        <v>1094</v>
      </c>
      <c r="G34" s="341">
        <v>1101</v>
      </c>
      <c r="H34" s="341">
        <v>1095</v>
      </c>
      <c r="I34" s="341">
        <v>1141</v>
      </c>
      <c r="J34" s="341">
        <v>1231</v>
      </c>
      <c r="K34" s="341">
        <v>1253</v>
      </c>
      <c r="L34" s="341">
        <v>1259</v>
      </c>
      <c r="M34" s="341">
        <v>1262</v>
      </c>
    </row>
    <row r="35" spans="1:16" s="130" customFormat="1" ht="12.75" customHeight="1">
      <c r="A35" s="208" t="s">
        <v>78</v>
      </c>
      <c r="B35" s="326" t="s">
        <v>79</v>
      </c>
      <c r="C35" s="341">
        <v>28828</v>
      </c>
      <c r="D35" s="341">
        <v>28421</v>
      </c>
      <c r="E35" s="341">
        <v>28140</v>
      </c>
      <c r="F35" s="341">
        <v>28678</v>
      </c>
      <c r="G35" s="341">
        <v>29363</v>
      </c>
      <c r="H35" s="341">
        <v>30329</v>
      </c>
      <c r="I35" s="341">
        <v>30816</v>
      </c>
      <c r="J35" s="341">
        <v>32069</v>
      </c>
      <c r="K35" s="341">
        <v>32036</v>
      </c>
      <c r="L35" s="341">
        <v>34322</v>
      </c>
      <c r="M35" s="341">
        <v>35793</v>
      </c>
      <c r="O35" s="130">
        <f>+C35/$C$5*100</f>
        <v>9.1484932341516672</v>
      </c>
      <c r="P35" s="130">
        <f>+M35/$M$5*100</f>
        <v>10.516094534087037</v>
      </c>
    </row>
    <row r="36" spans="1:16" s="130" customFormat="1" ht="12.75" customHeight="1">
      <c r="A36" s="208" t="s">
        <v>80</v>
      </c>
      <c r="B36" s="326" t="s">
        <v>174</v>
      </c>
      <c r="C36" s="341">
        <v>94026</v>
      </c>
      <c r="D36" s="341">
        <v>94440</v>
      </c>
      <c r="E36" s="341">
        <v>94937</v>
      </c>
      <c r="F36" s="341">
        <v>94933</v>
      </c>
      <c r="G36" s="341">
        <v>94292</v>
      </c>
      <c r="H36" s="341">
        <v>93805</v>
      </c>
      <c r="I36" s="341">
        <v>90517</v>
      </c>
      <c r="J36" s="341">
        <v>89750</v>
      </c>
      <c r="K36" s="341">
        <v>87838</v>
      </c>
      <c r="L36" s="341">
        <v>90136</v>
      </c>
      <c r="M36" s="341">
        <v>90639</v>
      </c>
      <c r="O36" s="130">
        <f>+C36/$C$5*100</f>
        <v>29.838914417730837</v>
      </c>
      <c r="P36" s="130">
        <f>+M36/$M$5*100</f>
        <v>26.630019626047407</v>
      </c>
    </row>
    <row r="37" spans="1:16" s="130" customFormat="1" ht="12.75" customHeight="1">
      <c r="A37" s="208" t="s">
        <v>53</v>
      </c>
      <c r="B37" s="326" t="s">
        <v>93</v>
      </c>
      <c r="C37" s="341">
        <v>12579</v>
      </c>
      <c r="D37" s="341">
        <v>12572</v>
      </c>
      <c r="E37" s="341">
        <v>12496</v>
      </c>
      <c r="F37" s="341">
        <v>12468</v>
      </c>
      <c r="G37" s="341">
        <v>12539</v>
      </c>
      <c r="H37" s="341">
        <v>12486</v>
      </c>
      <c r="I37" s="341">
        <v>12253</v>
      </c>
      <c r="J37" s="341">
        <v>12258</v>
      </c>
      <c r="K37" s="341">
        <v>11760</v>
      </c>
      <c r="L37" s="341">
        <v>12360</v>
      </c>
      <c r="M37" s="341">
        <v>13020</v>
      </c>
    </row>
    <row r="38" spans="1:16" s="130" customFormat="1" ht="12.75" customHeight="1">
      <c r="A38" s="208" t="s">
        <v>10</v>
      </c>
      <c r="B38" s="326" t="s">
        <v>165</v>
      </c>
      <c r="C38" s="341">
        <v>33970</v>
      </c>
      <c r="D38" s="341">
        <v>34983</v>
      </c>
      <c r="E38" s="341">
        <v>36106</v>
      </c>
      <c r="F38" s="341">
        <v>37220</v>
      </c>
      <c r="G38" s="341">
        <v>38276</v>
      </c>
      <c r="H38" s="341">
        <v>39308</v>
      </c>
      <c r="I38" s="341">
        <v>38184</v>
      </c>
      <c r="J38" s="341">
        <v>37633</v>
      </c>
      <c r="K38" s="341">
        <v>36899</v>
      </c>
      <c r="L38" s="341">
        <v>39006</v>
      </c>
      <c r="M38" s="341">
        <v>40412</v>
      </c>
      <c r="O38" s="130">
        <f>+C38/$C$5*100</f>
        <v>10.780293990708065</v>
      </c>
      <c r="P38" s="130">
        <f>+M38/$M$5*100</f>
        <v>11.873171075671927</v>
      </c>
    </row>
    <row r="39" spans="1:16" s="130" customFormat="1" ht="12.75" customHeight="1">
      <c r="A39" s="208" t="s">
        <v>81</v>
      </c>
      <c r="B39" s="326" t="s">
        <v>171</v>
      </c>
      <c r="C39" s="341">
        <v>5148</v>
      </c>
      <c r="D39" s="341">
        <v>5434</v>
      </c>
      <c r="E39" s="341">
        <v>5478</v>
      </c>
      <c r="F39" s="341">
        <v>5601</v>
      </c>
      <c r="G39" s="341">
        <v>5842</v>
      </c>
      <c r="H39" s="341">
        <v>6025</v>
      </c>
      <c r="I39" s="341">
        <v>6100</v>
      </c>
      <c r="J39" s="341">
        <v>6379</v>
      </c>
      <c r="K39" s="341">
        <v>6485</v>
      </c>
      <c r="L39" s="341">
        <v>7163</v>
      </c>
      <c r="M39" s="341">
        <v>7620</v>
      </c>
    </row>
    <row r="40" spans="1:16" s="130" customFormat="1" ht="12.75" customHeight="1">
      <c r="A40" s="208" t="s">
        <v>82</v>
      </c>
      <c r="B40" s="326" t="s">
        <v>166</v>
      </c>
      <c r="C40" s="341">
        <v>10077</v>
      </c>
      <c r="D40" s="341">
        <v>9931</v>
      </c>
      <c r="E40" s="341">
        <v>9555</v>
      </c>
      <c r="F40" s="341">
        <v>9207</v>
      </c>
      <c r="G40" s="341">
        <v>8732</v>
      </c>
      <c r="H40" s="341">
        <v>8475</v>
      </c>
      <c r="I40" s="341">
        <v>7752</v>
      </c>
      <c r="J40" s="341">
        <v>8108</v>
      </c>
      <c r="K40" s="341">
        <v>7672</v>
      </c>
      <c r="L40" s="341">
        <v>7674</v>
      </c>
      <c r="M40" s="341">
        <v>7715</v>
      </c>
    </row>
    <row r="41" spans="1:16" s="130" customFormat="1" ht="12.75" customHeight="1">
      <c r="A41" s="208" t="s">
        <v>83</v>
      </c>
      <c r="B41" s="326" t="s">
        <v>103</v>
      </c>
      <c r="C41" s="341">
        <v>6341</v>
      </c>
      <c r="D41" s="341">
        <v>6647</v>
      </c>
      <c r="E41" s="341">
        <v>6971</v>
      </c>
      <c r="F41" s="341">
        <v>7401</v>
      </c>
      <c r="G41" s="341">
        <v>8035</v>
      </c>
      <c r="H41" s="341">
        <v>8846</v>
      </c>
      <c r="I41" s="341">
        <v>9215</v>
      </c>
      <c r="J41" s="341">
        <v>9861</v>
      </c>
      <c r="K41" s="341">
        <v>10096</v>
      </c>
      <c r="L41" s="341">
        <v>10812</v>
      </c>
      <c r="M41" s="341">
        <v>11567</v>
      </c>
    </row>
    <row r="42" spans="1:16" s="130" customFormat="1" ht="12.75" customHeight="1">
      <c r="A42" s="208" t="s">
        <v>54</v>
      </c>
      <c r="B42" s="326" t="s">
        <v>175</v>
      </c>
      <c r="C42" s="341">
        <v>21901</v>
      </c>
      <c r="D42" s="341">
        <v>22569</v>
      </c>
      <c r="E42" s="341">
        <v>22865</v>
      </c>
      <c r="F42" s="341">
        <v>23189</v>
      </c>
      <c r="G42" s="341">
        <v>23749</v>
      </c>
      <c r="H42" s="341">
        <v>24467</v>
      </c>
      <c r="I42" s="341">
        <v>24250</v>
      </c>
      <c r="J42" s="341">
        <v>24826</v>
      </c>
      <c r="K42" s="341">
        <v>24675</v>
      </c>
      <c r="L42" s="341">
        <v>25874</v>
      </c>
      <c r="M42" s="341">
        <v>26684</v>
      </c>
    </row>
    <row r="43" spans="1:16" s="130" customFormat="1" ht="12.75" customHeight="1">
      <c r="A43" s="208" t="s">
        <v>85</v>
      </c>
      <c r="B43" s="326" t="s">
        <v>169</v>
      </c>
      <c r="C43" s="341">
        <v>8739</v>
      </c>
      <c r="D43" s="341">
        <v>8861</v>
      </c>
      <c r="E43" s="341">
        <v>8995</v>
      </c>
      <c r="F43" s="341">
        <v>9301</v>
      </c>
      <c r="G43" s="341">
        <v>9347</v>
      </c>
      <c r="H43" s="341">
        <v>9298</v>
      </c>
      <c r="I43" s="341">
        <v>9391</v>
      </c>
      <c r="J43" s="341">
        <v>9385</v>
      </c>
      <c r="K43" s="341">
        <v>8843</v>
      </c>
      <c r="L43" s="341">
        <v>9894</v>
      </c>
      <c r="M43" s="341">
        <v>10333</v>
      </c>
    </row>
    <row r="44" spans="1:16" s="130" customFormat="1" ht="12.75" customHeight="1">
      <c r="A44" s="208" t="s">
        <v>86</v>
      </c>
      <c r="B44" s="326" t="s">
        <v>170</v>
      </c>
      <c r="C44" s="341">
        <v>683</v>
      </c>
      <c r="D44" s="341">
        <v>686</v>
      </c>
      <c r="E44" s="341">
        <v>660</v>
      </c>
      <c r="F44" s="341">
        <v>627</v>
      </c>
      <c r="G44" s="341">
        <v>630</v>
      </c>
      <c r="H44" s="341">
        <v>601</v>
      </c>
      <c r="I44" s="341">
        <v>613</v>
      </c>
      <c r="J44" s="341">
        <v>624</v>
      </c>
      <c r="K44" s="341">
        <v>590</v>
      </c>
      <c r="L44" s="341">
        <v>574</v>
      </c>
      <c r="M44" s="341">
        <v>592</v>
      </c>
    </row>
    <row r="45" spans="1:16" s="130" customFormat="1" ht="12.75" customHeight="1">
      <c r="A45" s="208" t="s">
        <v>94</v>
      </c>
      <c r="B45" s="326" t="s">
        <v>84</v>
      </c>
      <c r="C45" s="341">
        <v>4337</v>
      </c>
      <c r="D45" s="341">
        <v>4573</v>
      </c>
      <c r="E45" s="341">
        <v>4701</v>
      </c>
      <c r="F45" s="341">
        <v>4675</v>
      </c>
      <c r="G45" s="341">
        <v>4647</v>
      </c>
      <c r="H45" s="341">
        <v>4681</v>
      </c>
      <c r="I45" s="341">
        <v>4531</v>
      </c>
      <c r="J45" s="341">
        <v>4576</v>
      </c>
      <c r="K45" s="341">
        <v>4414</v>
      </c>
      <c r="L45" s="341">
        <v>4635</v>
      </c>
      <c r="M45" s="341">
        <v>4808</v>
      </c>
    </row>
    <row r="46" spans="1:16" s="130" customFormat="1" ht="12.75" customHeight="1">
      <c r="A46" s="208" t="s">
        <v>87</v>
      </c>
      <c r="B46" s="326" t="s">
        <v>141</v>
      </c>
      <c r="C46" s="341">
        <v>18120</v>
      </c>
      <c r="D46" s="341">
        <v>18418</v>
      </c>
      <c r="E46" s="341">
        <v>18727</v>
      </c>
      <c r="F46" s="341">
        <v>19044</v>
      </c>
      <c r="G46" s="341">
        <v>19162</v>
      </c>
      <c r="H46" s="341">
        <v>19323</v>
      </c>
      <c r="I46" s="341">
        <v>19089</v>
      </c>
      <c r="J46" s="341">
        <v>19487</v>
      </c>
      <c r="K46" s="341">
        <v>19087</v>
      </c>
      <c r="L46" s="341">
        <v>20082</v>
      </c>
      <c r="M46" s="341">
        <v>20724</v>
      </c>
    </row>
    <row r="47" spans="1:16" s="130" customFormat="1" ht="12.75" customHeight="1">
      <c r="A47" s="208" t="s">
        <v>95</v>
      </c>
      <c r="B47" s="326" t="s">
        <v>167</v>
      </c>
      <c r="C47" s="341">
        <v>3274</v>
      </c>
      <c r="D47" s="341">
        <v>3448</v>
      </c>
      <c r="E47" s="341">
        <v>3581</v>
      </c>
      <c r="F47" s="341">
        <v>3745</v>
      </c>
      <c r="G47" s="341">
        <v>3985</v>
      </c>
      <c r="H47" s="341">
        <v>4371</v>
      </c>
      <c r="I47" s="341">
        <v>4404</v>
      </c>
      <c r="J47" s="341">
        <v>4397</v>
      </c>
      <c r="K47" s="341">
        <v>4424</v>
      </c>
      <c r="L47" s="341">
        <v>4761</v>
      </c>
      <c r="M47" s="341">
        <v>5060</v>
      </c>
    </row>
    <row r="48" spans="1:16" ht="12.75" customHeight="1">
      <c r="A48" s="208" t="s">
        <v>96</v>
      </c>
      <c r="B48" s="326" t="s">
        <v>104</v>
      </c>
      <c r="C48" s="341">
        <v>15353</v>
      </c>
      <c r="D48" s="341">
        <v>15515</v>
      </c>
      <c r="E48" s="341">
        <v>15537</v>
      </c>
      <c r="F48" s="341">
        <v>15467</v>
      </c>
      <c r="G48" s="341">
        <v>15306</v>
      </c>
      <c r="H48" s="341">
        <v>15360</v>
      </c>
      <c r="I48" s="341">
        <v>14434</v>
      </c>
      <c r="J48" s="341">
        <v>14086</v>
      </c>
      <c r="K48" s="341">
        <v>13379</v>
      </c>
      <c r="L48" s="341">
        <v>13917</v>
      </c>
      <c r="M48" s="341">
        <v>13804</v>
      </c>
    </row>
    <row r="49" spans="1:13" ht="12.75" customHeight="1">
      <c r="A49" s="36" t="s">
        <v>97</v>
      </c>
      <c r="B49" s="37" t="s">
        <v>168</v>
      </c>
      <c r="C49" s="343">
        <v>12</v>
      </c>
      <c r="D49" s="343">
        <v>16</v>
      </c>
      <c r="E49" s="343">
        <v>14</v>
      </c>
      <c r="F49" s="343">
        <v>17</v>
      </c>
      <c r="G49" s="343">
        <v>14</v>
      </c>
      <c r="H49" s="343">
        <v>15</v>
      </c>
      <c r="I49" s="343">
        <v>16</v>
      </c>
      <c r="J49" s="343">
        <v>18</v>
      </c>
      <c r="K49" s="343">
        <v>17</v>
      </c>
      <c r="L49" s="343">
        <v>16</v>
      </c>
      <c r="M49" s="343">
        <v>17</v>
      </c>
    </row>
    <row r="50" spans="1:13">
      <c r="A50" s="21" t="s">
        <v>139</v>
      </c>
      <c r="B50" s="10"/>
      <c r="D50" s="118"/>
      <c r="E50" s="118"/>
      <c r="F50" s="33"/>
      <c r="G50" s="33"/>
      <c r="H50" s="33"/>
      <c r="I50" s="33"/>
      <c r="J50" s="33"/>
      <c r="K50" s="33"/>
      <c r="L50" s="33"/>
      <c r="M50" s="33"/>
    </row>
    <row r="51" spans="1:13" ht="20.25" customHeight="1">
      <c r="B51" s="209"/>
    </row>
  </sheetData>
  <mergeCells count="1">
    <mergeCell ref="A1:M1"/>
  </mergeCells>
  <phoneticPr fontId="25" type="noConversion"/>
  <conditionalFormatting sqref="F50 C5:J49">
    <cfRule type="cellIs" dxfId="903" priority="17" operator="equal">
      <formula>0</formula>
    </cfRule>
  </conditionalFormatting>
  <conditionalFormatting sqref="G50">
    <cfRule type="cellIs" dxfId="902" priority="14" operator="equal">
      <formula>0</formula>
    </cfRule>
  </conditionalFormatting>
  <conditionalFormatting sqref="J50">
    <cfRule type="cellIs" dxfId="901" priority="12" operator="equal">
      <formula>0</formula>
    </cfRule>
  </conditionalFormatting>
  <conditionalFormatting sqref="H50">
    <cfRule type="cellIs" dxfId="900" priority="10" operator="equal">
      <formula>0</formula>
    </cfRule>
  </conditionalFormatting>
  <conditionalFormatting sqref="I50">
    <cfRule type="cellIs" dxfId="899" priority="7" operator="equal">
      <formula>0</formula>
    </cfRule>
  </conditionalFormatting>
  <conditionalFormatting sqref="K5:K49">
    <cfRule type="cellIs" dxfId="898" priority="6" operator="equal">
      <formula>0</formula>
    </cfRule>
  </conditionalFormatting>
  <conditionalFormatting sqref="K50">
    <cfRule type="cellIs" dxfId="897" priority="5" operator="equal">
      <formula>0</formula>
    </cfRule>
  </conditionalFormatting>
  <conditionalFormatting sqref="L5:L49">
    <cfRule type="cellIs" dxfId="896" priority="4" operator="equal">
      <formula>0</formula>
    </cfRule>
  </conditionalFormatting>
  <conditionalFormatting sqref="L50">
    <cfRule type="cellIs" dxfId="895" priority="3" operator="equal">
      <formula>0</formula>
    </cfRule>
  </conditionalFormatting>
  <conditionalFormatting sqref="M5:M49">
    <cfRule type="cellIs" dxfId="894" priority="2" operator="equal">
      <formula>0</formula>
    </cfRule>
  </conditionalFormatting>
  <conditionalFormatting sqref="M50">
    <cfRule type="cellIs" dxfId="893"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6" orientation="portrait" r:id="rId1"/>
  <headerFooter>
    <oddHeader xml:space="preserve">&amp;C&amp;G
</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811">
    <tabColor indexed="24"/>
    <pageSetUpPr fitToPage="1"/>
  </sheetPr>
  <dimension ref="A1:N29"/>
  <sheetViews>
    <sheetView showGridLines="0" workbookViewId="0">
      <selection sqref="A1:L1"/>
    </sheetView>
  </sheetViews>
  <sheetFormatPr defaultColWidth="9.140625" defaultRowHeight="11.25"/>
  <cols>
    <col min="1" max="1" width="17.140625" style="29" customWidth="1"/>
    <col min="2" max="12" width="7.5703125" style="29" customWidth="1"/>
    <col min="13" max="16384" width="9.140625" style="29"/>
  </cols>
  <sheetData>
    <row r="1" spans="1:14" s="23" customFormat="1" ht="28.5" customHeight="1">
      <c r="A1" s="794" t="s">
        <v>632</v>
      </c>
      <c r="B1" s="794"/>
      <c r="C1" s="794"/>
      <c r="D1" s="794"/>
      <c r="E1" s="794"/>
      <c r="F1" s="794"/>
      <c r="G1" s="794"/>
      <c r="H1" s="794"/>
      <c r="I1" s="794"/>
      <c r="J1" s="794"/>
      <c r="K1" s="794"/>
      <c r="L1" s="794"/>
    </row>
    <row r="2" spans="1:14" s="8" customFormat="1" ht="15" customHeight="1">
      <c r="A2" s="24"/>
      <c r="B2" s="24"/>
      <c r="C2" s="156"/>
      <c r="D2" s="156"/>
      <c r="E2" s="156"/>
      <c r="F2" s="156"/>
      <c r="G2" s="156"/>
      <c r="H2" s="156"/>
      <c r="I2" s="156"/>
      <c r="J2" s="156"/>
      <c r="K2" s="156"/>
      <c r="L2" s="156"/>
    </row>
    <row r="3" spans="1:14" s="8" customFormat="1" ht="15" customHeight="1">
      <c r="A3" s="25" t="s">
        <v>14</v>
      </c>
      <c r="B3" s="24"/>
      <c r="C3" s="156"/>
      <c r="D3" s="156"/>
      <c r="E3" s="156"/>
      <c r="F3" s="156"/>
      <c r="G3" s="156"/>
      <c r="H3" s="156"/>
      <c r="I3" s="156"/>
      <c r="J3" s="156"/>
      <c r="K3" s="156"/>
      <c r="L3" s="156"/>
    </row>
    <row r="4" spans="1:14" s="8" customFormat="1" ht="28.5" customHeight="1" thickBot="1">
      <c r="A4" s="26"/>
      <c r="B4" s="26">
        <v>2013</v>
      </c>
      <c r="C4" s="26">
        <v>2014</v>
      </c>
      <c r="D4" s="26">
        <v>2015</v>
      </c>
      <c r="E4" s="26">
        <v>2016</v>
      </c>
      <c r="F4" s="26">
        <v>2017</v>
      </c>
      <c r="G4" s="26">
        <v>2018</v>
      </c>
      <c r="H4" s="26">
        <v>2019</v>
      </c>
      <c r="I4" s="26">
        <v>2020</v>
      </c>
      <c r="J4" s="26">
        <v>2021</v>
      </c>
      <c r="K4" s="26">
        <v>2022</v>
      </c>
      <c r="L4" s="26">
        <v>2023</v>
      </c>
    </row>
    <row r="5" spans="1:14" s="8" customFormat="1" ht="20.25" customHeight="1" thickTop="1">
      <c r="A5" s="54" t="s">
        <v>12</v>
      </c>
      <c r="B5" s="350">
        <v>315112</v>
      </c>
      <c r="C5" s="350">
        <v>318886</v>
      </c>
      <c r="D5" s="350">
        <v>321500</v>
      </c>
      <c r="E5" s="350">
        <v>324933</v>
      </c>
      <c r="F5" s="350">
        <v>327295</v>
      </c>
      <c r="G5" s="350">
        <v>330668</v>
      </c>
      <c r="H5" s="350">
        <v>322978</v>
      </c>
      <c r="I5" s="350">
        <v>324959</v>
      </c>
      <c r="J5" s="350">
        <v>318254</v>
      </c>
      <c r="K5" s="350">
        <v>332683</v>
      </c>
      <c r="L5" s="350">
        <v>340364</v>
      </c>
      <c r="N5" s="643">
        <f>+(L5/B5-1)*100</f>
        <v>8.0136586356597039</v>
      </c>
    </row>
    <row r="6" spans="1:14" s="8" customFormat="1" ht="20.25" customHeight="1">
      <c r="A6" s="434" t="s">
        <v>32</v>
      </c>
      <c r="B6" s="351">
        <v>213657</v>
      </c>
      <c r="C6" s="351">
        <v>215180</v>
      </c>
      <c r="D6" s="351">
        <v>215177</v>
      </c>
      <c r="E6" s="351">
        <v>215546</v>
      </c>
      <c r="F6" s="351">
        <v>214186</v>
      </c>
      <c r="G6" s="351">
        <v>213938</v>
      </c>
      <c r="H6" s="351">
        <v>205320</v>
      </c>
      <c r="I6" s="351">
        <v>208453</v>
      </c>
      <c r="J6" s="351">
        <v>202280</v>
      </c>
      <c r="K6" s="351">
        <v>209018</v>
      </c>
      <c r="L6" s="351">
        <v>211848</v>
      </c>
    </row>
    <row r="7" spans="1:14" s="8" customFormat="1" ht="15" customHeight="1">
      <c r="A7" s="434" t="s">
        <v>33</v>
      </c>
      <c r="B7" s="351">
        <v>55141</v>
      </c>
      <c r="C7" s="351">
        <v>55967</v>
      </c>
      <c r="D7" s="351">
        <v>57124</v>
      </c>
      <c r="E7" s="351">
        <v>58447</v>
      </c>
      <c r="F7" s="351">
        <v>59898</v>
      </c>
      <c r="G7" s="351">
        <v>61191</v>
      </c>
      <c r="H7" s="351">
        <v>61000</v>
      </c>
      <c r="I7" s="351">
        <v>60460</v>
      </c>
      <c r="J7" s="351">
        <v>59731</v>
      </c>
      <c r="K7" s="351">
        <v>63044</v>
      </c>
      <c r="L7" s="351">
        <v>64969</v>
      </c>
    </row>
    <row r="8" spans="1:14" s="8" customFormat="1" ht="15" customHeight="1">
      <c r="A8" s="434" t="s">
        <v>34</v>
      </c>
      <c r="B8" s="351">
        <v>24325</v>
      </c>
      <c r="C8" s="351">
        <v>25212</v>
      </c>
      <c r="D8" s="351">
        <v>25986</v>
      </c>
      <c r="E8" s="351">
        <v>26743</v>
      </c>
      <c r="F8" s="351">
        <v>27993</v>
      </c>
      <c r="G8" s="351">
        <v>29309</v>
      </c>
      <c r="H8" s="351">
        <v>29775</v>
      </c>
      <c r="I8" s="351">
        <v>29016</v>
      </c>
      <c r="J8" s="351">
        <v>29146</v>
      </c>
      <c r="K8" s="351">
        <v>31330</v>
      </c>
      <c r="L8" s="351">
        <v>32727</v>
      </c>
      <c r="M8" s="202"/>
    </row>
    <row r="9" spans="1:14" s="8" customFormat="1" ht="15" customHeight="1">
      <c r="A9" s="434" t="s">
        <v>35</v>
      </c>
      <c r="B9" s="351">
        <v>13738</v>
      </c>
      <c r="C9" s="351">
        <v>14153</v>
      </c>
      <c r="D9" s="351">
        <v>14675</v>
      </c>
      <c r="E9" s="351">
        <v>15288</v>
      </c>
      <c r="F9" s="351">
        <v>15980</v>
      </c>
      <c r="G9" s="351">
        <v>16588</v>
      </c>
      <c r="H9" s="351">
        <v>16982</v>
      </c>
      <c r="I9" s="351">
        <v>16741</v>
      </c>
      <c r="J9" s="351">
        <v>17006</v>
      </c>
      <c r="K9" s="351">
        <v>18391</v>
      </c>
      <c r="L9" s="351">
        <v>19418</v>
      </c>
      <c r="M9" s="202"/>
    </row>
    <row r="10" spans="1:14" s="8" customFormat="1" ht="15" customHeight="1">
      <c r="A10" s="434" t="s">
        <v>36</v>
      </c>
      <c r="B10" s="351">
        <v>3948</v>
      </c>
      <c r="C10" s="351">
        <v>4049</v>
      </c>
      <c r="D10" s="351">
        <v>4263</v>
      </c>
      <c r="E10" s="351">
        <v>4486</v>
      </c>
      <c r="F10" s="351">
        <v>4665</v>
      </c>
      <c r="G10" s="351">
        <v>4930</v>
      </c>
      <c r="H10" s="351">
        <v>5071</v>
      </c>
      <c r="I10" s="351">
        <v>5028</v>
      </c>
      <c r="J10" s="351">
        <v>5096</v>
      </c>
      <c r="K10" s="351">
        <v>5582</v>
      </c>
      <c r="L10" s="351">
        <v>5864</v>
      </c>
      <c r="M10" s="202"/>
    </row>
    <row r="11" spans="1:14" s="8" customFormat="1" ht="15" customHeight="1">
      <c r="A11" s="434" t="s">
        <v>37</v>
      </c>
      <c r="B11" s="351">
        <v>1137</v>
      </c>
      <c r="C11" s="351">
        <v>1192</v>
      </c>
      <c r="D11" s="351">
        <v>1143</v>
      </c>
      <c r="E11" s="351">
        <v>1193</v>
      </c>
      <c r="F11" s="351">
        <v>1244</v>
      </c>
      <c r="G11" s="351">
        <v>1302</v>
      </c>
      <c r="H11" s="351">
        <v>1335</v>
      </c>
      <c r="I11" s="351">
        <v>1297</v>
      </c>
      <c r="J11" s="351">
        <v>1348</v>
      </c>
      <c r="K11" s="351">
        <v>1460</v>
      </c>
      <c r="L11" s="351">
        <v>1565</v>
      </c>
      <c r="M11" s="202"/>
    </row>
    <row r="12" spans="1:14" s="8" customFormat="1" ht="15" customHeight="1">
      <c r="A12" s="434" t="s">
        <v>38</v>
      </c>
      <c r="B12" s="351">
        <v>520</v>
      </c>
      <c r="C12" s="351">
        <v>510</v>
      </c>
      <c r="D12" s="351">
        <v>546</v>
      </c>
      <c r="E12" s="351">
        <v>560</v>
      </c>
      <c r="F12" s="351">
        <v>571</v>
      </c>
      <c r="G12" s="351">
        <v>622</v>
      </c>
      <c r="H12" s="351">
        <v>627</v>
      </c>
      <c r="I12" s="351">
        <v>587</v>
      </c>
      <c r="J12" s="351">
        <v>632</v>
      </c>
      <c r="K12" s="351">
        <v>706</v>
      </c>
      <c r="L12" s="351">
        <v>728</v>
      </c>
      <c r="M12" s="202"/>
    </row>
    <row r="13" spans="1:14" s="8" customFormat="1" ht="15" customHeight="1">
      <c r="A13" s="434" t="s">
        <v>39</v>
      </c>
      <c r="B13" s="351">
        <v>259</v>
      </c>
      <c r="C13" s="351">
        <v>281</v>
      </c>
      <c r="D13" s="351">
        <v>292</v>
      </c>
      <c r="E13" s="351">
        <v>302</v>
      </c>
      <c r="F13" s="351">
        <v>342</v>
      </c>
      <c r="G13" s="351">
        <v>352</v>
      </c>
      <c r="H13" s="351">
        <v>351</v>
      </c>
      <c r="I13" s="351">
        <v>353</v>
      </c>
      <c r="J13" s="351">
        <v>361</v>
      </c>
      <c r="K13" s="351">
        <v>395</v>
      </c>
      <c r="L13" s="351">
        <v>412</v>
      </c>
      <c r="M13" s="202"/>
    </row>
    <row r="14" spans="1:14" s="8" customFormat="1" ht="15" customHeight="1">
      <c r="A14" s="434" t="s">
        <v>40</v>
      </c>
      <c r="B14" s="351">
        <v>462</v>
      </c>
      <c r="C14" s="351">
        <v>448</v>
      </c>
      <c r="D14" s="351">
        <v>487</v>
      </c>
      <c r="E14" s="351">
        <v>529</v>
      </c>
      <c r="F14" s="351">
        <v>559</v>
      </c>
      <c r="G14" s="351">
        <v>595</v>
      </c>
      <c r="H14" s="351">
        <v>602</v>
      </c>
      <c r="I14" s="351">
        <v>581</v>
      </c>
      <c r="J14" s="351">
        <v>593</v>
      </c>
      <c r="K14" s="351">
        <v>638</v>
      </c>
      <c r="L14" s="351">
        <v>687</v>
      </c>
      <c r="M14" s="202"/>
    </row>
    <row r="15" spans="1:14" s="8" customFormat="1" ht="15" customHeight="1">
      <c r="A15" s="434" t="s">
        <v>41</v>
      </c>
      <c r="B15" s="351">
        <v>168</v>
      </c>
      <c r="C15" s="351">
        <v>180</v>
      </c>
      <c r="D15" s="351">
        <v>179</v>
      </c>
      <c r="E15" s="351">
        <v>175</v>
      </c>
      <c r="F15" s="351">
        <v>186</v>
      </c>
      <c r="G15" s="351">
        <v>193</v>
      </c>
      <c r="H15" s="351">
        <v>223</v>
      </c>
      <c r="I15" s="351">
        <v>222</v>
      </c>
      <c r="J15" s="351">
        <v>217</v>
      </c>
      <c r="K15" s="351">
        <v>248</v>
      </c>
      <c r="L15" s="351">
        <v>279</v>
      </c>
      <c r="M15" s="202"/>
    </row>
    <row r="16" spans="1:14" s="8" customFormat="1" ht="15" customHeight="1">
      <c r="A16" s="28" t="s">
        <v>72</v>
      </c>
      <c r="B16" s="352">
        <v>84</v>
      </c>
      <c r="C16" s="352">
        <v>94</v>
      </c>
      <c r="D16" s="352">
        <v>93</v>
      </c>
      <c r="E16" s="352">
        <v>100</v>
      </c>
      <c r="F16" s="352">
        <v>110</v>
      </c>
      <c r="G16" s="352">
        <v>116</v>
      </c>
      <c r="H16" s="352">
        <v>115</v>
      </c>
      <c r="I16" s="352">
        <v>119</v>
      </c>
      <c r="J16" s="352">
        <v>127</v>
      </c>
      <c r="K16" s="352">
        <v>131</v>
      </c>
      <c r="L16" s="352">
        <v>137</v>
      </c>
      <c r="M16" s="202"/>
    </row>
    <row r="17" spans="1:12" s="8" customFormat="1" ht="15" customHeight="1">
      <c r="A17" s="171" t="s">
        <v>200</v>
      </c>
      <c r="B17" s="221"/>
      <c r="C17" s="156"/>
      <c r="D17" s="156"/>
      <c r="E17" s="156"/>
      <c r="F17" s="156"/>
      <c r="G17" s="156"/>
      <c r="H17" s="156"/>
      <c r="I17" s="156"/>
      <c r="J17" s="156"/>
      <c r="K17" s="156"/>
      <c r="L17" s="156"/>
    </row>
    <row r="18" spans="1:12" s="4" customFormat="1" ht="15" customHeight="1">
      <c r="A18" s="21" t="s">
        <v>138</v>
      </c>
      <c r="B18" s="143"/>
      <c r="C18" s="143"/>
      <c r="D18" s="143"/>
      <c r="E18" s="143"/>
      <c r="F18" s="143"/>
      <c r="G18" s="143"/>
      <c r="H18" s="143"/>
      <c r="I18" s="143"/>
      <c r="J18" s="143"/>
      <c r="K18" s="143"/>
      <c r="L18" s="143"/>
    </row>
    <row r="21" spans="1:12">
      <c r="B21" s="641">
        <f>SUM(B6:B9)</f>
        <v>306861</v>
      </c>
      <c r="C21" s="641">
        <f t="shared" ref="C21:L21" si="0">SUM(C6:C9)</f>
        <v>310512</v>
      </c>
      <c r="D21" s="641">
        <f t="shared" si="0"/>
        <v>312962</v>
      </c>
      <c r="E21" s="641">
        <f t="shared" si="0"/>
        <v>316024</v>
      </c>
      <c r="F21" s="641">
        <f t="shared" si="0"/>
        <v>318057</v>
      </c>
      <c r="G21" s="641">
        <f t="shared" si="0"/>
        <v>321026</v>
      </c>
      <c r="H21" s="641">
        <f t="shared" si="0"/>
        <v>313077</v>
      </c>
      <c r="I21" s="641">
        <f t="shared" si="0"/>
        <v>314670</v>
      </c>
      <c r="J21" s="641">
        <f t="shared" si="0"/>
        <v>308163</v>
      </c>
      <c r="K21" s="641">
        <f t="shared" si="0"/>
        <v>321783</v>
      </c>
      <c r="L21" s="641">
        <f t="shared" si="0"/>
        <v>328962</v>
      </c>
    </row>
    <row r="22" spans="1:12">
      <c r="B22" s="642">
        <f>+B21/B5*100</f>
        <v>97.381565919419117</v>
      </c>
      <c r="C22" s="642">
        <f t="shared" ref="C22:L22" si="1">+C21/C5*100</f>
        <v>97.373983178941685</v>
      </c>
      <c r="D22" s="642">
        <f t="shared" si="1"/>
        <v>97.344323483670294</v>
      </c>
      <c r="E22" s="642">
        <f t="shared" si="1"/>
        <v>97.25820399897826</v>
      </c>
      <c r="F22" s="642">
        <f t="shared" si="1"/>
        <v>97.177469866634084</v>
      </c>
      <c r="G22" s="642">
        <f t="shared" si="1"/>
        <v>97.084084338369607</v>
      </c>
      <c r="H22" s="642">
        <f t="shared" si="1"/>
        <v>96.934466124627676</v>
      </c>
      <c r="I22" s="642">
        <f t="shared" si="1"/>
        <v>96.833754412095061</v>
      </c>
      <c r="J22" s="642">
        <f t="shared" si="1"/>
        <v>96.829262161669604</v>
      </c>
      <c r="K22" s="642">
        <f t="shared" si="1"/>
        <v>96.723607758737302</v>
      </c>
      <c r="L22" s="642">
        <f t="shared" si="1"/>
        <v>96.650056997802352</v>
      </c>
    </row>
    <row r="23" spans="1:12">
      <c r="B23" s="8"/>
      <c r="C23" s="8"/>
      <c r="D23" s="8"/>
      <c r="E23" s="8"/>
      <c r="F23" s="8"/>
      <c r="G23" s="8"/>
      <c r="H23" s="8"/>
      <c r="I23" s="8"/>
      <c r="J23" s="8"/>
      <c r="K23" s="8"/>
      <c r="L23" s="8"/>
    </row>
    <row r="24" spans="1:12">
      <c r="B24" s="641">
        <f>+B6+B7</f>
        <v>268798</v>
      </c>
      <c r="C24" s="641">
        <f t="shared" ref="C24:L24" si="2">+C6+C7</f>
        <v>271147</v>
      </c>
      <c r="D24" s="641">
        <f t="shared" si="2"/>
        <v>272301</v>
      </c>
      <c r="E24" s="641">
        <f t="shared" si="2"/>
        <v>273993</v>
      </c>
      <c r="F24" s="641">
        <f t="shared" si="2"/>
        <v>274084</v>
      </c>
      <c r="G24" s="641">
        <f t="shared" si="2"/>
        <v>275129</v>
      </c>
      <c r="H24" s="641">
        <f t="shared" si="2"/>
        <v>266320</v>
      </c>
      <c r="I24" s="641">
        <f t="shared" si="2"/>
        <v>268913</v>
      </c>
      <c r="J24" s="641">
        <f t="shared" si="2"/>
        <v>262011</v>
      </c>
      <c r="K24" s="641">
        <f t="shared" si="2"/>
        <v>272062</v>
      </c>
      <c r="L24" s="641">
        <f t="shared" si="2"/>
        <v>276817</v>
      </c>
    </row>
    <row r="25" spans="1:12">
      <c r="B25" s="642">
        <f>+B24/B5*100</f>
        <v>85.302368681611611</v>
      </c>
      <c r="C25" s="642">
        <f t="shared" ref="C25:L25" si="3">+C24/C5*100</f>
        <v>85.029446259791897</v>
      </c>
      <c r="D25" s="642">
        <f t="shared" si="3"/>
        <v>84.697045101088648</v>
      </c>
      <c r="E25" s="642">
        <f t="shared" si="3"/>
        <v>84.322921956218664</v>
      </c>
      <c r="F25" s="642">
        <f t="shared" si="3"/>
        <v>83.742189767640824</v>
      </c>
      <c r="G25" s="642">
        <f t="shared" si="3"/>
        <v>83.203999177422673</v>
      </c>
      <c r="H25" s="642">
        <f t="shared" si="3"/>
        <v>82.457628692975987</v>
      </c>
      <c r="I25" s="642">
        <f t="shared" si="3"/>
        <v>82.752901135220142</v>
      </c>
      <c r="J25" s="642">
        <f t="shared" si="3"/>
        <v>82.327637673053601</v>
      </c>
      <c r="K25" s="642">
        <f t="shared" si="3"/>
        <v>81.778149169028779</v>
      </c>
      <c r="L25" s="642">
        <f t="shared" si="3"/>
        <v>81.329694092207163</v>
      </c>
    </row>
    <row r="26" spans="1:12">
      <c r="B26" s="8"/>
    </row>
    <row r="27" spans="1:12">
      <c r="B27" s="8"/>
    </row>
    <row r="28" spans="1:12">
      <c r="B28" s="641">
        <f>+B8+B9</f>
        <v>38063</v>
      </c>
      <c r="C28" s="641">
        <f t="shared" ref="C28:L28" si="4">+C8+C9</f>
        <v>39365</v>
      </c>
      <c r="D28" s="641">
        <f t="shared" si="4"/>
        <v>40661</v>
      </c>
      <c r="E28" s="641">
        <f t="shared" si="4"/>
        <v>42031</v>
      </c>
      <c r="F28" s="641">
        <f t="shared" si="4"/>
        <v>43973</v>
      </c>
      <c r="G28" s="641">
        <f t="shared" si="4"/>
        <v>45897</v>
      </c>
      <c r="H28" s="641">
        <f t="shared" si="4"/>
        <v>46757</v>
      </c>
      <c r="I28" s="641">
        <f t="shared" si="4"/>
        <v>45757</v>
      </c>
      <c r="J28" s="641">
        <f t="shared" si="4"/>
        <v>46152</v>
      </c>
      <c r="K28" s="641">
        <f t="shared" si="4"/>
        <v>49721</v>
      </c>
      <c r="L28" s="641">
        <f t="shared" si="4"/>
        <v>52145</v>
      </c>
    </row>
    <row r="29" spans="1:12">
      <c r="B29" s="642">
        <f>+B28/B5*100</f>
        <v>12.079197237807509</v>
      </c>
      <c r="C29" s="642">
        <f t="shared" ref="C29:L29" si="5">+C28/C5*100</f>
        <v>12.344536919149791</v>
      </c>
      <c r="D29" s="642">
        <f t="shared" si="5"/>
        <v>12.647278382581648</v>
      </c>
      <c r="E29" s="642">
        <f t="shared" si="5"/>
        <v>12.935282042759585</v>
      </c>
      <c r="F29" s="642">
        <f t="shared" si="5"/>
        <v>13.435280098993264</v>
      </c>
      <c r="G29" s="642">
        <f t="shared" si="5"/>
        <v>13.880085160946932</v>
      </c>
      <c r="H29" s="642">
        <f t="shared" si="5"/>
        <v>14.47683743165169</v>
      </c>
      <c r="I29" s="642">
        <f t="shared" si="5"/>
        <v>14.080853276874929</v>
      </c>
      <c r="J29" s="642">
        <f t="shared" si="5"/>
        <v>14.501624488616011</v>
      </c>
      <c r="K29" s="642">
        <f t="shared" si="5"/>
        <v>14.945458589708521</v>
      </c>
      <c r="L29" s="642">
        <f t="shared" si="5"/>
        <v>15.320362905595186</v>
      </c>
    </row>
  </sheetData>
  <mergeCells count="1">
    <mergeCell ref="A1:L1"/>
  </mergeCells>
  <phoneticPr fontId="25" type="noConversion"/>
  <conditionalFormatting sqref="A1 N8:N16 M1:N7 A17:E20 A2:E4 A5:I16 M17:N1048576 O1:XFD1048576 A30:E1048576 A21:A29">
    <cfRule type="cellIs" dxfId="892" priority="22" operator="equal">
      <formula>0</formula>
    </cfRule>
  </conditionalFormatting>
  <conditionalFormatting sqref="F17:F20 F2:F4 G4 I4 F30:F1048576">
    <cfRule type="cellIs" dxfId="891" priority="18" operator="equal">
      <formula>0</formula>
    </cfRule>
  </conditionalFormatting>
  <conditionalFormatting sqref="I17:I20 I2:I3 I30:I1048576">
    <cfRule type="cellIs" dxfId="890" priority="16" operator="equal">
      <formula>0</formula>
    </cfRule>
  </conditionalFormatting>
  <conditionalFormatting sqref="G17:G20 G2:G3 G30:G1048576">
    <cfRule type="cellIs" dxfId="889" priority="14" operator="equal">
      <formula>0</formula>
    </cfRule>
  </conditionalFormatting>
  <conditionalFormatting sqref="H4">
    <cfRule type="cellIs" dxfId="888" priority="12" operator="equal">
      <formula>0</formula>
    </cfRule>
  </conditionalFormatting>
  <conditionalFormatting sqref="H17:H20 H2:H3 H30:H1048576">
    <cfRule type="cellIs" dxfId="887" priority="10" operator="equal">
      <formula>0</formula>
    </cfRule>
  </conditionalFormatting>
  <conditionalFormatting sqref="J4">
    <cfRule type="cellIs" dxfId="886" priority="9" operator="equal">
      <formula>0</formula>
    </cfRule>
  </conditionalFormatting>
  <conditionalFormatting sqref="J5:J16">
    <cfRule type="cellIs" dxfId="885" priority="8" operator="equal">
      <formula>0</formula>
    </cfRule>
  </conditionalFormatting>
  <conditionalFormatting sqref="J17:J20 J2:J3 J30:J1048576">
    <cfRule type="cellIs" dxfId="884" priority="7" operator="equal">
      <formula>0</formula>
    </cfRule>
  </conditionalFormatting>
  <conditionalFormatting sqref="K4">
    <cfRule type="cellIs" dxfId="883" priority="6" operator="equal">
      <formula>0</formula>
    </cfRule>
  </conditionalFormatting>
  <conditionalFormatting sqref="K5:K16">
    <cfRule type="cellIs" dxfId="882" priority="5" operator="equal">
      <formula>0</formula>
    </cfRule>
  </conditionalFormatting>
  <conditionalFormatting sqref="K17:K20 K2:K3 K30:K1048576">
    <cfRule type="cellIs" dxfId="881" priority="4" operator="equal">
      <formula>0</formula>
    </cfRule>
  </conditionalFormatting>
  <conditionalFormatting sqref="L4">
    <cfRule type="cellIs" dxfId="880" priority="3" operator="equal">
      <formula>0</formula>
    </cfRule>
  </conditionalFormatting>
  <conditionalFormatting sqref="L5:L16">
    <cfRule type="cellIs" dxfId="879" priority="2" operator="equal">
      <formula>0</formula>
    </cfRule>
  </conditionalFormatting>
  <conditionalFormatting sqref="L17:L20 L2:L3 L30:L1048576">
    <cfRule type="cellIs" dxfId="878"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91">
    <tabColor indexed="24"/>
    <pageSetUpPr fitToPage="1"/>
  </sheetPr>
  <dimension ref="A1:AK24"/>
  <sheetViews>
    <sheetView showGridLines="0" workbookViewId="0">
      <selection sqref="A1:L1"/>
    </sheetView>
  </sheetViews>
  <sheetFormatPr defaultColWidth="9.140625" defaultRowHeight="11.25"/>
  <cols>
    <col min="1" max="1" width="17.140625" style="4" customWidth="1"/>
    <col min="2" max="12" width="7.5703125" style="22" customWidth="1"/>
    <col min="13" max="14" width="5.85546875" style="4" bestFit="1" customWidth="1"/>
    <col min="15" max="16384" width="9.140625" style="4"/>
  </cols>
  <sheetData>
    <row r="1" spans="1:37" s="3" customFormat="1" ht="28.5" customHeight="1">
      <c r="A1" s="791" t="s">
        <v>633</v>
      </c>
      <c r="B1" s="791"/>
      <c r="C1" s="791"/>
      <c r="D1" s="791"/>
      <c r="E1" s="791"/>
      <c r="F1" s="791"/>
      <c r="G1" s="791"/>
      <c r="H1" s="791"/>
      <c r="I1" s="791"/>
      <c r="J1" s="791"/>
      <c r="K1" s="791"/>
      <c r="L1" s="791"/>
    </row>
    <row r="2" spans="1:37" ht="15" customHeight="1">
      <c r="A2" s="11"/>
      <c r="B2" s="12"/>
      <c r="C2" s="12"/>
      <c r="D2" s="12"/>
      <c r="E2" s="12"/>
      <c r="F2" s="12"/>
      <c r="G2" s="12"/>
      <c r="H2" s="12"/>
      <c r="I2" s="12"/>
      <c r="J2" s="12"/>
      <c r="K2" s="12"/>
      <c r="L2" s="12"/>
    </row>
    <row r="3" spans="1:37" ht="15" customHeight="1">
      <c r="A3" s="13" t="s">
        <v>14</v>
      </c>
      <c r="B3" s="14"/>
      <c r="C3" s="14"/>
      <c r="D3" s="14"/>
      <c r="E3" s="14"/>
      <c r="F3" s="14"/>
      <c r="G3" s="14"/>
      <c r="H3" s="14"/>
      <c r="I3" s="14"/>
      <c r="J3" s="14"/>
      <c r="K3" s="14"/>
      <c r="L3" s="14"/>
    </row>
    <row r="4" spans="1:37" ht="29.25" customHeight="1" thickBot="1">
      <c r="A4" s="15"/>
      <c r="B4" s="26">
        <v>2013</v>
      </c>
      <c r="C4" s="26">
        <v>2014</v>
      </c>
      <c r="D4" s="26">
        <v>2015</v>
      </c>
      <c r="E4" s="26">
        <v>2016</v>
      </c>
      <c r="F4" s="26">
        <v>2017</v>
      </c>
      <c r="G4" s="26">
        <v>2018</v>
      </c>
      <c r="H4" s="26">
        <v>2019</v>
      </c>
      <c r="I4" s="26">
        <v>2020</v>
      </c>
      <c r="J4" s="26">
        <v>2021</v>
      </c>
      <c r="K4" s="26">
        <v>2022</v>
      </c>
      <c r="L4" s="26">
        <v>2023</v>
      </c>
      <c r="O4" s="448"/>
      <c r="P4" s="648">
        <f>+B4</f>
        <v>2013</v>
      </c>
      <c r="Q4" s="648">
        <f t="shared" ref="Q4:W4" si="0">+C4</f>
        <v>2014</v>
      </c>
      <c r="R4" s="648">
        <f t="shared" si="0"/>
        <v>2015</v>
      </c>
      <c r="S4" s="648">
        <f t="shared" si="0"/>
        <v>2016</v>
      </c>
      <c r="T4" s="648">
        <f t="shared" si="0"/>
        <v>2017</v>
      </c>
      <c r="U4" s="648">
        <f t="shared" si="0"/>
        <v>2018</v>
      </c>
      <c r="V4" s="648">
        <f t="shared" si="0"/>
        <v>2019</v>
      </c>
      <c r="W4" s="648">
        <f t="shared" si="0"/>
        <v>2020</v>
      </c>
      <c r="X4" s="648">
        <f>+J4</f>
        <v>2021</v>
      </c>
      <c r="Y4" s="648">
        <f t="shared" ref="Y4:Z4" si="1">+K4</f>
        <v>2022</v>
      </c>
      <c r="Z4" s="648">
        <f t="shared" si="1"/>
        <v>2023</v>
      </c>
      <c r="AA4" s="648">
        <f>+B4</f>
        <v>2013</v>
      </c>
      <c r="AB4" s="648">
        <f t="shared" ref="AB4:AJ4" si="2">+C4</f>
        <v>2014</v>
      </c>
      <c r="AC4" s="648">
        <f t="shared" si="2"/>
        <v>2015</v>
      </c>
      <c r="AD4" s="648">
        <f t="shared" si="2"/>
        <v>2016</v>
      </c>
      <c r="AE4" s="648">
        <f t="shared" si="2"/>
        <v>2017</v>
      </c>
      <c r="AF4" s="648">
        <f t="shared" si="2"/>
        <v>2018</v>
      </c>
      <c r="AG4" s="648">
        <f t="shared" si="2"/>
        <v>2019</v>
      </c>
      <c r="AH4" s="648">
        <f t="shared" si="2"/>
        <v>2020</v>
      </c>
      <c r="AI4" s="648">
        <f t="shared" si="2"/>
        <v>2021</v>
      </c>
      <c r="AJ4" s="648">
        <f t="shared" si="2"/>
        <v>2022</v>
      </c>
      <c r="AK4" s="648">
        <f>+L4</f>
        <v>2023</v>
      </c>
    </row>
    <row r="5" spans="1:37" ht="20.25" customHeight="1" thickTop="1">
      <c r="A5" s="17" t="s">
        <v>12</v>
      </c>
      <c r="B5" s="353">
        <v>315112</v>
      </c>
      <c r="C5" s="353">
        <v>318886</v>
      </c>
      <c r="D5" s="353">
        <v>321500</v>
      </c>
      <c r="E5" s="353">
        <v>324933</v>
      </c>
      <c r="F5" s="353">
        <v>327295</v>
      </c>
      <c r="G5" s="353">
        <v>330668</v>
      </c>
      <c r="H5" s="353">
        <v>322978</v>
      </c>
      <c r="I5" s="353">
        <v>324959</v>
      </c>
      <c r="J5" s="353">
        <v>318254</v>
      </c>
      <c r="K5" s="353">
        <v>332683</v>
      </c>
      <c r="L5" s="353">
        <v>340364</v>
      </c>
    </row>
    <row r="6" spans="1:37" ht="20.25" customHeight="1">
      <c r="A6" s="17" t="s">
        <v>15</v>
      </c>
      <c r="B6" s="348">
        <v>21892</v>
      </c>
      <c r="C6" s="348">
        <v>21970</v>
      </c>
      <c r="D6" s="348">
        <v>22127</v>
      </c>
      <c r="E6" s="348">
        <v>22400</v>
      </c>
      <c r="F6" s="348">
        <v>22594</v>
      </c>
      <c r="G6" s="348">
        <v>22863</v>
      </c>
      <c r="H6" s="348">
        <v>22490</v>
      </c>
      <c r="I6" s="348">
        <v>22462</v>
      </c>
      <c r="J6" s="348">
        <v>21931</v>
      </c>
      <c r="K6" s="348">
        <v>22628</v>
      </c>
      <c r="L6" s="348">
        <v>22840</v>
      </c>
      <c r="N6" s="647">
        <f>+(L6/B6-1)*100</f>
        <v>4.330348985930943</v>
      </c>
      <c r="O6" s="497">
        <f t="shared" ref="O6:O10" si="3">+L6-B6</f>
        <v>948</v>
      </c>
      <c r="P6" s="647">
        <f>B6*100/B$5</f>
        <v>6.947371093452487</v>
      </c>
      <c r="Q6" s="647">
        <f t="shared" ref="Q6:Z21" si="4">C6*100/C$5</f>
        <v>6.8896094529079361</v>
      </c>
      <c r="R6" s="647">
        <f t="shared" si="4"/>
        <v>6.8824261275272161</v>
      </c>
      <c r="S6" s="647">
        <f t="shared" si="4"/>
        <v>6.8937288610267347</v>
      </c>
      <c r="T6" s="647">
        <f t="shared" si="4"/>
        <v>6.9032524175438059</v>
      </c>
      <c r="U6" s="647">
        <f t="shared" si="4"/>
        <v>6.914185829895847</v>
      </c>
      <c r="V6" s="647">
        <f t="shared" si="4"/>
        <v>6.963322579246884</v>
      </c>
      <c r="W6" s="647">
        <f t="shared" si="4"/>
        <v>6.912256623143227</v>
      </c>
      <c r="X6" s="647">
        <f t="shared" si="4"/>
        <v>6.8910367190985813</v>
      </c>
      <c r="Y6" s="647">
        <f t="shared" si="4"/>
        <v>6.8016700582837117</v>
      </c>
      <c r="Z6" s="647">
        <f t="shared" si="4"/>
        <v>6.7104629161720979</v>
      </c>
      <c r="AA6" s="4">
        <f>+RANK(B6,B$6:B$23,0)</f>
        <v>4</v>
      </c>
      <c r="AB6" s="4">
        <f t="shared" ref="AB6:AK21" si="5">+RANK(C6,C$6:C$23,0)</f>
        <v>4</v>
      </c>
      <c r="AC6" s="4">
        <f t="shared" si="5"/>
        <v>4</v>
      </c>
      <c r="AD6" s="4">
        <f t="shared" si="5"/>
        <v>4</v>
      </c>
      <c r="AE6" s="4">
        <f t="shared" si="5"/>
        <v>4</v>
      </c>
      <c r="AF6" s="4">
        <f t="shared" si="5"/>
        <v>4</v>
      </c>
      <c r="AG6" s="4">
        <f t="shared" si="5"/>
        <v>4</v>
      </c>
      <c r="AH6" s="4">
        <f t="shared" si="5"/>
        <v>4</v>
      </c>
      <c r="AI6" s="4">
        <f t="shared" si="5"/>
        <v>4</v>
      </c>
      <c r="AJ6" s="4">
        <f t="shared" si="5"/>
        <v>4</v>
      </c>
      <c r="AK6" s="4">
        <f>+RANK(L6,L$6:L$23,0)</f>
        <v>4</v>
      </c>
    </row>
    <row r="7" spans="1:37" ht="15" customHeight="1">
      <c r="A7" s="17" t="s">
        <v>16</v>
      </c>
      <c r="B7" s="348">
        <v>4788</v>
      </c>
      <c r="C7" s="348">
        <v>4897</v>
      </c>
      <c r="D7" s="348">
        <v>4930</v>
      </c>
      <c r="E7" s="348">
        <v>5018</v>
      </c>
      <c r="F7" s="348">
        <v>5102</v>
      </c>
      <c r="G7" s="348">
        <v>5142</v>
      </c>
      <c r="H7" s="348">
        <v>5061</v>
      </c>
      <c r="I7" s="348">
        <v>5111</v>
      </c>
      <c r="J7" s="348">
        <v>5088</v>
      </c>
      <c r="K7" s="348">
        <v>5312</v>
      </c>
      <c r="L7" s="348">
        <v>5600</v>
      </c>
      <c r="N7" s="647">
        <f t="shared" ref="N7:N23" si="6">+(L7/B7-1)*100</f>
        <v>16.959064327485372</v>
      </c>
      <c r="O7" s="497">
        <f t="shared" si="3"/>
        <v>812</v>
      </c>
      <c r="P7" s="647">
        <f t="shared" ref="P7:Z23" si="7">B7*100/B$5</f>
        <v>1.5194597476452816</v>
      </c>
      <c r="Q7" s="647">
        <f t="shared" si="4"/>
        <v>1.5356585111920875</v>
      </c>
      <c r="R7" s="647">
        <f t="shared" si="4"/>
        <v>1.5334370139968896</v>
      </c>
      <c r="S7" s="647">
        <f t="shared" si="4"/>
        <v>1.5443183671710783</v>
      </c>
      <c r="T7" s="647">
        <f t="shared" si="4"/>
        <v>1.5588383568340487</v>
      </c>
      <c r="U7" s="647">
        <f t="shared" si="4"/>
        <v>1.5550340522820472</v>
      </c>
      <c r="V7" s="647">
        <f t="shared" si="4"/>
        <v>1.5669797942893944</v>
      </c>
      <c r="W7" s="647">
        <f t="shared" si="4"/>
        <v>1.5728138011256805</v>
      </c>
      <c r="X7" s="647">
        <f t="shared" si="4"/>
        <v>1.5987230325463309</v>
      </c>
      <c r="Y7" s="647">
        <f t="shared" si="4"/>
        <v>1.5967151913383011</v>
      </c>
      <c r="Z7" s="647">
        <f t="shared" si="4"/>
        <v>1.6452973875027912</v>
      </c>
      <c r="AA7" s="4">
        <f t="shared" ref="AA7:AK23" si="8">+RANK(B7,B$6:B$23,0)</f>
        <v>16</v>
      </c>
      <c r="AB7" s="4">
        <f t="shared" si="5"/>
        <v>16</v>
      </c>
      <c r="AC7" s="4">
        <f t="shared" si="5"/>
        <v>16</v>
      </c>
      <c r="AD7" s="4">
        <f t="shared" si="5"/>
        <v>16</v>
      </c>
      <c r="AE7" s="4">
        <f t="shared" si="5"/>
        <v>15</v>
      </c>
      <c r="AF7" s="4">
        <f t="shared" si="5"/>
        <v>15</v>
      </c>
      <c r="AG7" s="4">
        <f t="shared" si="5"/>
        <v>15</v>
      </c>
      <c r="AH7" s="4">
        <f t="shared" si="5"/>
        <v>15</v>
      </c>
      <c r="AI7" s="4">
        <f t="shared" si="5"/>
        <v>15</v>
      </c>
      <c r="AJ7" s="4">
        <f t="shared" si="5"/>
        <v>15</v>
      </c>
      <c r="AK7" s="4">
        <f t="shared" si="5"/>
        <v>15</v>
      </c>
    </row>
    <row r="8" spans="1:37" ht="15" customHeight="1">
      <c r="A8" s="17" t="s">
        <v>66</v>
      </c>
      <c r="B8" s="348">
        <v>28756</v>
      </c>
      <c r="C8" s="348">
        <v>29605</v>
      </c>
      <c r="D8" s="348">
        <v>29920</v>
      </c>
      <c r="E8" s="348">
        <v>30520</v>
      </c>
      <c r="F8" s="348">
        <v>30960</v>
      </c>
      <c r="G8" s="348">
        <v>31136</v>
      </c>
      <c r="H8" s="348">
        <v>30216</v>
      </c>
      <c r="I8" s="348">
        <v>30496</v>
      </c>
      <c r="J8" s="348">
        <v>29956</v>
      </c>
      <c r="K8" s="348">
        <v>31910</v>
      </c>
      <c r="L8" s="348">
        <v>32582</v>
      </c>
      <c r="N8" s="647">
        <f t="shared" si="6"/>
        <v>13.305049380998746</v>
      </c>
      <c r="O8" s="497">
        <f t="shared" si="3"/>
        <v>3826</v>
      </c>
      <c r="P8" s="647">
        <f t="shared" si="7"/>
        <v>9.1256442153900839</v>
      </c>
      <c r="Q8" s="647">
        <f t="shared" si="4"/>
        <v>9.2838820142621508</v>
      </c>
      <c r="R8" s="647">
        <f t="shared" si="4"/>
        <v>9.3063763608087093</v>
      </c>
      <c r="S8" s="647">
        <f t="shared" si="4"/>
        <v>9.3927055731489268</v>
      </c>
      <c r="T8" s="647">
        <f t="shared" si="4"/>
        <v>9.4593562382560084</v>
      </c>
      <c r="U8" s="647">
        <f t="shared" si="4"/>
        <v>9.4160910641489348</v>
      </c>
      <c r="V8" s="647">
        <f t="shared" si="4"/>
        <v>9.3554359739672677</v>
      </c>
      <c r="W8" s="647">
        <f t="shared" si="4"/>
        <v>9.3845685147972517</v>
      </c>
      <c r="X8" s="647">
        <f t="shared" si="4"/>
        <v>9.4126075398895228</v>
      </c>
      <c r="Y8" s="647">
        <f t="shared" si="4"/>
        <v>9.5917134329076035</v>
      </c>
      <c r="Z8" s="647">
        <f t="shared" si="4"/>
        <v>9.5726927642171322</v>
      </c>
      <c r="AA8" s="4">
        <f t="shared" si="8"/>
        <v>3</v>
      </c>
      <c r="AB8" s="4">
        <f t="shared" si="5"/>
        <v>3</v>
      </c>
      <c r="AC8" s="4">
        <f t="shared" si="5"/>
        <v>3</v>
      </c>
      <c r="AD8" s="4">
        <f t="shared" si="5"/>
        <v>3</v>
      </c>
      <c r="AE8" s="4">
        <f t="shared" si="5"/>
        <v>3</v>
      </c>
      <c r="AF8" s="4">
        <f t="shared" si="5"/>
        <v>3</v>
      </c>
      <c r="AG8" s="4">
        <f t="shared" si="5"/>
        <v>3</v>
      </c>
      <c r="AH8" s="4">
        <f t="shared" si="5"/>
        <v>3</v>
      </c>
      <c r="AI8" s="4">
        <f t="shared" si="5"/>
        <v>3</v>
      </c>
      <c r="AJ8" s="4">
        <f t="shared" si="5"/>
        <v>3</v>
      </c>
      <c r="AK8" s="4">
        <f t="shared" si="5"/>
        <v>3</v>
      </c>
    </row>
    <row r="9" spans="1:37" ht="15" customHeight="1">
      <c r="A9" s="17" t="s">
        <v>17</v>
      </c>
      <c r="B9" s="348">
        <v>4169</v>
      </c>
      <c r="C9" s="348">
        <v>4203</v>
      </c>
      <c r="D9" s="348">
        <v>4211</v>
      </c>
      <c r="E9" s="348">
        <v>4240</v>
      </c>
      <c r="F9" s="348">
        <v>4267</v>
      </c>
      <c r="G9" s="348">
        <v>4280</v>
      </c>
      <c r="H9" s="348">
        <v>3997</v>
      </c>
      <c r="I9" s="348">
        <v>4025</v>
      </c>
      <c r="J9" s="348">
        <v>4148</v>
      </c>
      <c r="K9" s="348">
        <v>4210</v>
      </c>
      <c r="L9" s="348">
        <v>4314</v>
      </c>
      <c r="N9" s="647">
        <f t="shared" si="6"/>
        <v>3.478052290717204</v>
      </c>
      <c r="O9" s="497">
        <f t="shared" si="3"/>
        <v>145</v>
      </c>
      <c r="P9" s="647">
        <f t="shared" si="7"/>
        <v>1.3230216557922263</v>
      </c>
      <c r="Q9" s="647">
        <f t="shared" si="4"/>
        <v>1.3180258775863474</v>
      </c>
      <c r="R9" s="647">
        <f t="shared" si="4"/>
        <v>1.3097978227060654</v>
      </c>
      <c r="S9" s="647">
        <f t="shared" si="4"/>
        <v>1.3048843915514892</v>
      </c>
      <c r="T9" s="647">
        <f t="shared" si="4"/>
        <v>1.3037168303823767</v>
      </c>
      <c r="U9" s="647">
        <f t="shared" si="4"/>
        <v>1.2943496195579856</v>
      </c>
      <c r="V9" s="647">
        <f t="shared" si="4"/>
        <v>1.2375455913405866</v>
      </c>
      <c r="W9" s="647">
        <f t="shared" si="4"/>
        <v>1.2386177948602748</v>
      </c>
      <c r="X9" s="647">
        <f t="shared" si="4"/>
        <v>1.3033614659988562</v>
      </c>
      <c r="Y9" s="647">
        <f t="shared" si="4"/>
        <v>1.2654689298822002</v>
      </c>
      <c r="Z9" s="647">
        <f t="shared" si="4"/>
        <v>1.2674665945869716</v>
      </c>
      <c r="AA9" s="4">
        <f t="shared" si="8"/>
        <v>17</v>
      </c>
      <c r="AB9" s="4">
        <f t="shared" si="5"/>
        <v>17</v>
      </c>
      <c r="AC9" s="4">
        <f t="shared" si="5"/>
        <v>17</v>
      </c>
      <c r="AD9" s="4">
        <f t="shared" si="5"/>
        <v>17</v>
      </c>
      <c r="AE9" s="4">
        <f t="shared" si="5"/>
        <v>17</v>
      </c>
      <c r="AF9" s="4">
        <f t="shared" si="5"/>
        <v>17</v>
      </c>
      <c r="AG9" s="4">
        <f t="shared" si="5"/>
        <v>17</v>
      </c>
      <c r="AH9" s="4">
        <f t="shared" si="5"/>
        <v>17</v>
      </c>
      <c r="AI9" s="4">
        <f t="shared" si="5"/>
        <v>17</v>
      </c>
      <c r="AJ9" s="4">
        <f t="shared" si="5"/>
        <v>17</v>
      </c>
      <c r="AK9" s="4">
        <f t="shared" si="5"/>
        <v>17</v>
      </c>
    </row>
    <row r="10" spans="1:37" ht="15" customHeight="1">
      <c r="A10" s="17" t="s">
        <v>18</v>
      </c>
      <c r="B10" s="348">
        <v>5629</v>
      </c>
      <c r="C10" s="348">
        <v>5698</v>
      </c>
      <c r="D10" s="348">
        <v>5686</v>
      </c>
      <c r="E10" s="348">
        <v>5691</v>
      </c>
      <c r="F10" s="348">
        <v>5612</v>
      </c>
      <c r="G10" s="348">
        <v>5626</v>
      </c>
      <c r="H10" s="348">
        <v>5451</v>
      </c>
      <c r="I10" s="348">
        <v>5400</v>
      </c>
      <c r="J10" s="348">
        <v>5369</v>
      </c>
      <c r="K10" s="348">
        <v>5592</v>
      </c>
      <c r="L10" s="348">
        <v>5606</v>
      </c>
      <c r="N10" s="647">
        <f t="shared" si="6"/>
        <v>-0.4085983300763929</v>
      </c>
      <c r="O10" s="497">
        <f t="shared" si="3"/>
        <v>-23</v>
      </c>
      <c r="P10" s="647">
        <f t="shared" si="7"/>
        <v>1.7863489806798853</v>
      </c>
      <c r="Q10" s="647">
        <f t="shared" si="4"/>
        <v>1.7868454557428046</v>
      </c>
      <c r="R10" s="647">
        <f t="shared" si="4"/>
        <v>1.7685847589424573</v>
      </c>
      <c r="S10" s="647">
        <f t="shared" si="4"/>
        <v>1.7514379887546048</v>
      </c>
      <c r="T10" s="647">
        <f t="shared" si="4"/>
        <v>1.7146610855650102</v>
      </c>
      <c r="U10" s="647">
        <f t="shared" si="4"/>
        <v>1.7014044298208475</v>
      </c>
      <c r="V10" s="647">
        <f t="shared" si="4"/>
        <v>1.6877310528890512</v>
      </c>
      <c r="W10" s="647">
        <f t="shared" si="4"/>
        <v>1.661748097452294</v>
      </c>
      <c r="X10" s="647">
        <f t="shared" si="4"/>
        <v>1.687017288078076</v>
      </c>
      <c r="Y10" s="647">
        <f t="shared" si="4"/>
        <v>1.6808793957010126</v>
      </c>
      <c r="Z10" s="647">
        <f t="shared" si="4"/>
        <v>1.6470602061322583</v>
      </c>
      <c r="AA10" s="4">
        <f t="shared" si="8"/>
        <v>14</v>
      </c>
      <c r="AB10" s="4">
        <f t="shared" si="5"/>
        <v>14</v>
      </c>
      <c r="AC10" s="4">
        <f t="shared" si="5"/>
        <v>14</v>
      </c>
      <c r="AD10" s="4">
        <f t="shared" si="5"/>
        <v>14</v>
      </c>
      <c r="AE10" s="4">
        <f t="shared" si="5"/>
        <v>14</v>
      </c>
      <c r="AF10" s="4">
        <f t="shared" si="5"/>
        <v>14</v>
      </c>
      <c r="AG10" s="4">
        <f t="shared" si="5"/>
        <v>14</v>
      </c>
      <c r="AH10" s="4">
        <f t="shared" si="5"/>
        <v>14</v>
      </c>
      <c r="AI10" s="4">
        <f t="shared" si="5"/>
        <v>14</v>
      </c>
      <c r="AJ10" s="4">
        <f t="shared" si="5"/>
        <v>14</v>
      </c>
      <c r="AK10" s="4">
        <f t="shared" si="5"/>
        <v>14</v>
      </c>
    </row>
    <row r="11" spans="1:37" ht="15" customHeight="1">
      <c r="A11" s="17" t="s">
        <v>19</v>
      </c>
      <c r="B11" s="348">
        <v>12300</v>
      </c>
      <c r="C11" s="348">
        <v>12323</v>
      </c>
      <c r="D11" s="348">
        <v>12342</v>
      </c>
      <c r="E11" s="348">
        <v>12392</v>
      </c>
      <c r="F11" s="348">
        <v>12407</v>
      </c>
      <c r="G11" s="348">
        <v>12372</v>
      </c>
      <c r="H11" s="348">
        <v>11967</v>
      </c>
      <c r="I11" s="348">
        <v>12128</v>
      </c>
      <c r="J11" s="348">
        <v>11961</v>
      </c>
      <c r="K11" s="348">
        <v>12457</v>
      </c>
      <c r="L11" s="348">
        <v>12571</v>
      </c>
      <c r="N11" s="647">
        <f t="shared" si="6"/>
        <v>2.2032520325203198</v>
      </c>
      <c r="O11" s="497">
        <f t="shared" ref="O11:O23" si="9">+L11-B11</f>
        <v>271</v>
      </c>
      <c r="P11" s="647">
        <f t="shared" si="7"/>
        <v>3.9033740384371272</v>
      </c>
      <c r="Q11" s="647">
        <f t="shared" si="4"/>
        <v>3.8643904091117203</v>
      </c>
      <c r="R11" s="647">
        <f t="shared" si="4"/>
        <v>3.8388802488335925</v>
      </c>
      <c r="S11" s="647">
        <f t="shared" si="4"/>
        <v>3.8137092877608616</v>
      </c>
      <c r="T11" s="647">
        <f t="shared" si="4"/>
        <v>3.7907697948334071</v>
      </c>
      <c r="U11" s="647">
        <f t="shared" si="4"/>
        <v>3.7415171713017288</v>
      </c>
      <c r="V11" s="647">
        <f t="shared" si="4"/>
        <v>3.7052059273387044</v>
      </c>
      <c r="W11" s="647">
        <f t="shared" si="4"/>
        <v>3.7321631344261892</v>
      </c>
      <c r="X11" s="647">
        <f t="shared" si="4"/>
        <v>3.7583188271003665</v>
      </c>
      <c r="Y11" s="647">
        <f t="shared" si="4"/>
        <v>3.7444053348082109</v>
      </c>
      <c r="Z11" s="647">
        <f t="shared" si="4"/>
        <v>3.6933988318388549</v>
      </c>
      <c r="AA11" s="4">
        <f t="shared" si="8"/>
        <v>9</v>
      </c>
      <c r="AB11" s="4">
        <f t="shared" si="5"/>
        <v>9</v>
      </c>
      <c r="AC11" s="4">
        <f t="shared" si="5"/>
        <v>9</v>
      </c>
      <c r="AD11" s="4">
        <f t="shared" si="5"/>
        <v>9</v>
      </c>
      <c r="AE11" s="4">
        <f t="shared" si="5"/>
        <v>9</v>
      </c>
      <c r="AF11" s="4">
        <f t="shared" si="5"/>
        <v>9</v>
      </c>
      <c r="AG11" s="4">
        <f t="shared" si="5"/>
        <v>9</v>
      </c>
      <c r="AH11" s="4">
        <f t="shared" si="5"/>
        <v>9</v>
      </c>
      <c r="AI11" s="4">
        <f t="shared" si="5"/>
        <v>9</v>
      </c>
      <c r="AJ11" s="4">
        <f t="shared" si="5"/>
        <v>9</v>
      </c>
      <c r="AK11" s="4">
        <f t="shared" si="5"/>
        <v>9</v>
      </c>
    </row>
    <row r="12" spans="1:37" ht="15" customHeight="1">
      <c r="A12" s="17" t="s">
        <v>20</v>
      </c>
      <c r="B12" s="348">
        <v>5978</v>
      </c>
      <c r="C12" s="348">
        <v>6131</v>
      </c>
      <c r="D12" s="348">
        <v>6132</v>
      </c>
      <c r="E12" s="348">
        <v>6087</v>
      </c>
      <c r="F12" s="348">
        <v>6073</v>
      </c>
      <c r="G12" s="348">
        <v>6029</v>
      </c>
      <c r="H12" s="348">
        <v>5879</v>
      </c>
      <c r="I12" s="348">
        <v>5902</v>
      </c>
      <c r="J12" s="348">
        <v>5608</v>
      </c>
      <c r="K12" s="348">
        <v>6051</v>
      </c>
      <c r="L12" s="348">
        <v>6137</v>
      </c>
      <c r="N12" s="647">
        <f t="shared" si="6"/>
        <v>2.6597524255603799</v>
      </c>
      <c r="O12" s="497">
        <f t="shared" si="9"/>
        <v>159</v>
      </c>
      <c r="P12" s="647">
        <f t="shared" si="7"/>
        <v>1.8971032521770037</v>
      </c>
      <c r="Q12" s="647">
        <f t="shared" si="4"/>
        <v>1.9226306579780863</v>
      </c>
      <c r="R12" s="647">
        <f t="shared" si="4"/>
        <v>1.9073094867807154</v>
      </c>
      <c r="S12" s="647">
        <f t="shared" si="4"/>
        <v>1.8733092668334703</v>
      </c>
      <c r="T12" s="647">
        <f t="shared" si="4"/>
        <v>1.8555126109473106</v>
      </c>
      <c r="U12" s="647">
        <f t="shared" si="4"/>
        <v>1.8232789383913774</v>
      </c>
      <c r="V12" s="647">
        <f t="shared" si="4"/>
        <v>1.82024781873688</v>
      </c>
      <c r="W12" s="647">
        <f t="shared" si="4"/>
        <v>1.8162291242895257</v>
      </c>
      <c r="X12" s="647">
        <f t="shared" si="4"/>
        <v>1.7621145374449338</v>
      </c>
      <c r="Y12" s="647">
        <f t="shared" si="4"/>
        <v>1.8188485735670292</v>
      </c>
      <c r="Z12" s="647">
        <f t="shared" si="4"/>
        <v>1.8030696548401124</v>
      </c>
      <c r="AA12" s="4">
        <f t="shared" si="8"/>
        <v>12</v>
      </c>
      <c r="AB12" s="4">
        <f t="shared" si="5"/>
        <v>12</v>
      </c>
      <c r="AC12" s="4">
        <f t="shared" si="5"/>
        <v>12</v>
      </c>
      <c r="AD12" s="4">
        <f t="shared" si="5"/>
        <v>12</v>
      </c>
      <c r="AE12" s="4">
        <f t="shared" si="5"/>
        <v>12</v>
      </c>
      <c r="AF12" s="4">
        <f t="shared" si="5"/>
        <v>12</v>
      </c>
      <c r="AG12" s="4">
        <f t="shared" si="5"/>
        <v>13</v>
      </c>
      <c r="AH12" s="4">
        <f t="shared" si="5"/>
        <v>13</v>
      </c>
      <c r="AI12" s="4">
        <f t="shared" si="5"/>
        <v>13</v>
      </c>
      <c r="AJ12" s="4">
        <f t="shared" si="5"/>
        <v>13</v>
      </c>
      <c r="AK12" s="4">
        <f t="shared" si="5"/>
        <v>12</v>
      </c>
    </row>
    <row r="13" spans="1:37" ht="15" customHeight="1">
      <c r="A13" s="17" t="s">
        <v>21</v>
      </c>
      <c r="B13" s="348">
        <v>18636</v>
      </c>
      <c r="C13" s="348">
        <v>19056</v>
      </c>
      <c r="D13" s="348">
        <v>19415</v>
      </c>
      <c r="E13" s="348">
        <v>19902</v>
      </c>
      <c r="F13" s="348">
        <v>20073</v>
      </c>
      <c r="G13" s="348">
        <v>20768</v>
      </c>
      <c r="H13" s="348">
        <v>20888</v>
      </c>
      <c r="I13" s="348">
        <v>20366</v>
      </c>
      <c r="J13" s="348">
        <v>19836</v>
      </c>
      <c r="K13" s="348">
        <v>20699</v>
      </c>
      <c r="L13" s="348">
        <v>22034</v>
      </c>
      <c r="N13" s="647">
        <f t="shared" si="6"/>
        <v>18.233526507834299</v>
      </c>
      <c r="O13" s="497">
        <f t="shared" si="9"/>
        <v>3398</v>
      </c>
      <c r="P13" s="647">
        <f t="shared" si="7"/>
        <v>5.9140876894564469</v>
      </c>
      <c r="Q13" s="647">
        <f t="shared" si="4"/>
        <v>5.9758032651166877</v>
      </c>
      <c r="R13" s="647">
        <f t="shared" si="4"/>
        <v>6.0388802488335926</v>
      </c>
      <c r="S13" s="647">
        <f t="shared" si="4"/>
        <v>6.1249549907211644</v>
      </c>
      <c r="T13" s="647">
        <f t="shared" si="4"/>
        <v>6.1329992819933086</v>
      </c>
      <c r="U13" s="647">
        <f t="shared" si="4"/>
        <v>6.280619836210338</v>
      </c>
      <c r="V13" s="647">
        <f t="shared" si="4"/>
        <v>6.4673135631529082</v>
      </c>
      <c r="W13" s="647">
        <f t="shared" si="4"/>
        <v>6.2672521764284106</v>
      </c>
      <c r="X13" s="647">
        <f t="shared" si="4"/>
        <v>6.2327574830167096</v>
      </c>
      <c r="Y13" s="647">
        <f t="shared" si="4"/>
        <v>6.2218388075134587</v>
      </c>
      <c r="Z13" s="647">
        <f t="shared" si="4"/>
        <v>6.4736576136136605</v>
      </c>
      <c r="AA13" s="4">
        <f t="shared" si="8"/>
        <v>6</v>
      </c>
      <c r="AB13" s="4">
        <f t="shared" si="5"/>
        <v>5</v>
      </c>
      <c r="AC13" s="4">
        <f t="shared" si="5"/>
        <v>5</v>
      </c>
      <c r="AD13" s="4">
        <f t="shared" si="5"/>
        <v>5</v>
      </c>
      <c r="AE13" s="4">
        <f t="shared" si="5"/>
        <v>5</v>
      </c>
      <c r="AF13" s="4">
        <f t="shared" si="5"/>
        <v>5</v>
      </c>
      <c r="AG13" s="4">
        <f t="shared" si="5"/>
        <v>5</v>
      </c>
      <c r="AH13" s="4">
        <f t="shared" si="5"/>
        <v>5</v>
      </c>
      <c r="AI13" s="4">
        <f t="shared" si="5"/>
        <v>5</v>
      </c>
      <c r="AJ13" s="4">
        <f t="shared" si="5"/>
        <v>5</v>
      </c>
      <c r="AK13" s="4">
        <f t="shared" si="5"/>
        <v>5</v>
      </c>
    </row>
    <row r="14" spans="1:37" ht="15" customHeight="1">
      <c r="A14" s="17" t="s">
        <v>22</v>
      </c>
      <c r="B14" s="348">
        <v>5026</v>
      </c>
      <c r="C14" s="348">
        <v>5076</v>
      </c>
      <c r="D14" s="348">
        <v>5042</v>
      </c>
      <c r="E14" s="348">
        <v>5051</v>
      </c>
      <c r="F14" s="348">
        <v>5078</v>
      </c>
      <c r="G14" s="348">
        <v>5030</v>
      </c>
      <c r="H14" s="348">
        <v>4836</v>
      </c>
      <c r="I14" s="348">
        <v>4831</v>
      </c>
      <c r="J14" s="348">
        <v>4694</v>
      </c>
      <c r="K14" s="348">
        <v>4760</v>
      </c>
      <c r="L14" s="348">
        <v>4814</v>
      </c>
      <c r="N14" s="647">
        <f t="shared" si="6"/>
        <v>-4.2180660565061645</v>
      </c>
      <c r="O14" s="497">
        <f t="shared" si="9"/>
        <v>-212</v>
      </c>
      <c r="P14" s="647">
        <f t="shared" si="7"/>
        <v>1.5949884485516261</v>
      </c>
      <c r="Q14" s="647">
        <f t="shared" si="4"/>
        <v>1.5917914238944324</v>
      </c>
      <c r="R14" s="647">
        <f t="shared" si="4"/>
        <v>1.5682737169517884</v>
      </c>
      <c r="S14" s="647">
        <f t="shared" si="4"/>
        <v>1.5544743070109839</v>
      </c>
      <c r="T14" s="647">
        <f t="shared" si="4"/>
        <v>1.5515055225408272</v>
      </c>
      <c r="U14" s="647">
        <f t="shared" si="4"/>
        <v>1.521163221116044</v>
      </c>
      <c r="V14" s="647">
        <f t="shared" si="4"/>
        <v>1.497315606635746</v>
      </c>
      <c r="W14" s="647">
        <f t="shared" si="4"/>
        <v>1.4866490849614875</v>
      </c>
      <c r="X14" s="647">
        <f t="shared" si="4"/>
        <v>1.4749225461423894</v>
      </c>
      <c r="Y14" s="647">
        <f t="shared" si="4"/>
        <v>1.4307914741660981</v>
      </c>
      <c r="Z14" s="647">
        <f t="shared" si="4"/>
        <v>1.414368147042578</v>
      </c>
      <c r="AA14" s="4">
        <f t="shared" si="8"/>
        <v>15</v>
      </c>
      <c r="AB14" s="4">
        <f t="shared" si="5"/>
        <v>15</v>
      </c>
      <c r="AC14" s="4">
        <f t="shared" si="5"/>
        <v>15</v>
      </c>
      <c r="AD14" s="4">
        <f t="shared" si="5"/>
        <v>15</v>
      </c>
      <c r="AE14" s="4">
        <f t="shared" si="5"/>
        <v>16</v>
      </c>
      <c r="AF14" s="4">
        <f t="shared" si="5"/>
        <v>16</v>
      </c>
      <c r="AG14" s="4">
        <f t="shared" si="5"/>
        <v>16</v>
      </c>
      <c r="AH14" s="4">
        <f t="shared" si="5"/>
        <v>16</v>
      </c>
      <c r="AI14" s="4">
        <f t="shared" si="5"/>
        <v>16</v>
      </c>
      <c r="AJ14" s="4">
        <f t="shared" si="5"/>
        <v>16</v>
      </c>
      <c r="AK14" s="4">
        <f t="shared" si="5"/>
        <v>16</v>
      </c>
    </row>
    <row r="15" spans="1:37" ht="15" customHeight="1">
      <c r="A15" s="17" t="s">
        <v>23</v>
      </c>
      <c r="B15" s="348">
        <v>17969</v>
      </c>
      <c r="C15" s="348">
        <v>17991</v>
      </c>
      <c r="D15" s="348">
        <v>18146</v>
      </c>
      <c r="E15" s="348">
        <v>18317</v>
      </c>
      <c r="F15" s="348">
        <v>18481</v>
      </c>
      <c r="G15" s="348">
        <v>18423</v>
      </c>
      <c r="H15" s="348">
        <v>18034</v>
      </c>
      <c r="I15" s="348">
        <v>18042</v>
      </c>
      <c r="J15" s="348">
        <v>17743</v>
      </c>
      <c r="K15" s="348">
        <v>18449</v>
      </c>
      <c r="L15" s="348">
        <v>18854</v>
      </c>
      <c r="N15" s="647">
        <f t="shared" si="6"/>
        <v>4.9251488674940225</v>
      </c>
      <c r="O15" s="497">
        <f t="shared" si="9"/>
        <v>885</v>
      </c>
      <c r="P15" s="647">
        <f t="shared" si="7"/>
        <v>5.7024169184290034</v>
      </c>
      <c r="Q15" s="647">
        <f t="shared" si="4"/>
        <v>5.6418281141222879</v>
      </c>
      <c r="R15" s="647">
        <f t="shared" si="4"/>
        <v>5.6441679626749615</v>
      </c>
      <c r="S15" s="647">
        <f t="shared" si="4"/>
        <v>5.6371621226529776</v>
      </c>
      <c r="T15" s="647">
        <f t="shared" si="4"/>
        <v>5.6465879405429353</v>
      </c>
      <c r="U15" s="647">
        <f t="shared" si="4"/>
        <v>5.5714493086721424</v>
      </c>
      <c r="V15" s="647">
        <f t="shared" si="4"/>
        <v>5.5836620450928542</v>
      </c>
      <c r="W15" s="647">
        <f t="shared" si="4"/>
        <v>5.5520850322656088</v>
      </c>
      <c r="X15" s="647">
        <f t="shared" si="4"/>
        <v>5.5751066757998329</v>
      </c>
      <c r="Y15" s="647">
        <f t="shared" si="4"/>
        <v>5.5455193081702401</v>
      </c>
      <c r="Z15" s="647">
        <f t="shared" si="4"/>
        <v>5.5393637399960038</v>
      </c>
      <c r="AA15" s="4">
        <f t="shared" si="8"/>
        <v>7</v>
      </c>
      <c r="AB15" s="4">
        <f t="shared" si="5"/>
        <v>7</v>
      </c>
      <c r="AC15" s="4">
        <f t="shared" si="5"/>
        <v>7</v>
      </c>
      <c r="AD15" s="4">
        <f t="shared" si="5"/>
        <v>7</v>
      </c>
      <c r="AE15" s="4">
        <f t="shared" si="5"/>
        <v>7</v>
      </c>
      <c r="AF15" s="4">
        <f t="shared" si="5"/>
        <v>7</v>
      </c>
      <c r="AG15" s="4">
        <f t="shared" si="5"/>
        <v>7</v>
      </c>
      <c r="AH15" s="4">
        <f t="shared" si="5"/>
        <v>7</v>
      </c>
      <c r="AI15" s="4">
        <f t="shared" si="5"/>
        <v>7</v>
      </c>
      <c r="AJ15" s="4">
        <f t="shared" si="5"/>
        <v>7</v>
      </c>
      <c r="AK15" s="4">
        <f t="shared" si="5"/>
        <v>7</v>
      </c>
    </row>
    <row r="16" spans="1:37" ht="15" customHeight="1">
      <c r="A16" s="17" t="s">
        <v>24</v>
      </c>
      <c r="B16" s="348">
        <v>70961</v>
      </c>
      <c r="C16" s="348">
        <v>71690</v>
      </c>
      <c r="D16" s="348">
        <v>72246</v>
      </c>
      <c r="E16" s="348">
        <v>72756</v>
      </c>
      <c r="F16" s="348">
        <v>73389</v>
      </c>
      <c r="G16" s="348">
        <v>74689</v>
      </c>
      <c r="H16" s="348">
        <v>72677</v>
      </c>
      <c r="I16" s="348">
        <v>73809</v>
      </c>
      <c r="J16" s="348">
        <v>71616</v>
      </c>
      <c r="K16" s="348">
        <v>75266</v>
      </c>
      <c r="L16" s="348">
        <v>77253</v>
      </c>
      <c r="N16" s="647">
        <f t="shared" si="6"/>
        <v>8.866842350023262</v>
      </c>
      <c r="O16" s="497">
        <f t="shared" si="9"/>
        <v>6292</v>
      </c>
      <c r="P16" s="647">
        <f t="shared" si="7"/>
        <v>22.519294726954225</v>
      </c>
      <c r="Q16" s="647">
        <f t="shared" si="4"/>
        <v>22.481388333134724</v>
      </c>
      <c r="R16" s="647">
        <f t="shared" si="4"/>
        <v>22.47153965785381</v>
      </c>
      <c r="S16" s="647">
        <f t="shared" si="4"/>
        <v>22.391077545217016</v>
      </c>
      <c r="T16" s="647">
        <f t="shared" si="4"/>
        <v>22.422890664385342</v>
      </c>
      <c r="U16" s="647">
        <f t="shared" si="4"/>
        <v>22.58730811569308</v>
      </c>
      <c r="V16" s="647">
        <f t="shared" si="4"/>
        <v>22.502151849351968</v>
      </c>
      <c r="W16" s="647">
        <f t="shared" si="4"/>
        <v>22.713326912010437</v>
      </c>
      <c r="X16" s="647">
        <f t="shared" si="4"/>
        <v>22.502780797727603</v>
      </c>
      <c r="Y16" s="647">
        <f t="shared" si="4"/>
        <v>22.623939305585196</v>
      </c>
      <c r="Z16" s="647">
        <f t="shared" si="4"/>
        <v>22.697171263705915</v>
      </c>
      <c r="AA16" s="4">
        <f t="shared" si="8"/>
        <v>1</v>
      </c>
      <c r="AB16" s="4">
        <f t="shared" si="5"/>
        <v>1</v>
      </c>
      <c r="AC16" s="4">
        <f t="shared" si="5"/>
        <v>1</v>
      </c>
      <c r="AD16" s="4">
        <f t="shared" si="5"/>
        <v>1</v>
      </c>
      <c r="AE16" s="4">
        <f t="shared" si="5"/>
        <v>1</v>
      </c>
      <c r="AF16" s="4">
        <f t="shared" si="5"/>
        <v>1</v>
      </c>
      <c r="AG16" s="4">
        <f t="shared" si="5"/>
        <v>1</v>
      </c>
      <c r="AH16" s="4">
        <f t="shared" si="5"/>
        <v>1</v>
      </c>
      <c r="AI16" s="4">
        <f t="shared" si="5"/>
        <v>1</v>
      </c>
      <c r="AJ16" s="4">
        <f t="shared" si="5"/>
        <v>1</v>
      </c>
      <c r="AK16" s="4">
        <f t="shared" si="5"/>
        <v>1</v>
      </c>
    </row>
    <row r="17" spans="1:37" ht="15" customHeight="1">
      <c r="A17" s="17" t="s">
        <v>25</v>
      </c>
      <c r="B17" s="348">
        <v>3471</v>
      </c>
      <c r="C17" s="348">
        <v>3518</v>
      </c>
      <c r="D17" s="348">
        <v>3504</v>
      </c>
      <c r="E17" s="348">
        <v>3523</v>
      </c>
      <c r="F17" s="348">
        <v>3473</v>
      </c>
      <c r="G17" s="348">
        <v>3444</v>
      </c>
      <c r="H17" s="348">
        <v>3298</v>
      </c>
      <c r="I17" s="348">
        <v>3302</v>
      </c>
      <c r="J17" s="348">
        <v>3192</v>
      </c>
      <c r="K17" s="348">
        <v>3433</v>
      </c>
      <c r="L17" s="348">
        <v>3430</v>
      </c>
      <c r="N17" s="647">
        <f t="shared" si="6"/>
        <v>-1.181215787957357</v>
      </c>
      <c r="O17" s="497">
        <f t="shared" si="9"/>
        <v>-41</v>
      </c>
      <c r="P17" s="647">
        <f t="shared" si="7"/>
        <v>1.1015131127979894</v>
      </c>
      <c r="Q17" s="647">
        <f t="shared" si="4"/>
        <v>1.1032155692002785</v>
      </c>
      <c r="R17" s="647">
        <f t="shared" si="4"/>
        <v>1.0898911353032659</v>
      </c>
      <c r="S17" s="647">
        <f t="shared" si="4"/>
        <v>1.0842235168480887</v>
      </c>
      <c r="T17" s="647">
        <f t="shared" si="4"/>
        <v>1.0611222291816251</v>
      </c>
      <c r="U17" s="647">
        <f t="shared" si="4"/>
        <v>1.0415280583546034</v>
      </c>
      <c r="V17" s="647">
        <f t="shared" si="4"/>
        <v>1.0211221816965861</v>
      </c>
      <c r="W17" s="647">
        <f t="shared" si="4"/>
        <v>1.016128188479162</v>
      </c>
      <c r="X17" s="647">
        <f t="shared" si="4"/>
        <v>1.0029724685314245</v>
      </c>
      <c r="Y17" s="647">
        <f t="shared" si="4"/>
        <v>1.0319132627756753</v>
      </c>
      <c r="Z17" s="647">
        <f t="shared" si="4"/>
        <v>1.0077446498454596</v>
      </c>
      <c r="AA17" s="4">
        <f t="shared" si="8"/>
        <v>18</v>
      </c>
      <c r="AB17" s="4">
        <f t="shared" si="5"/>
        <v>18</v>
      </c>
      <c r="AC17" s="4">
        <f t="shared" si="5"/>
        <v>18</v>
      </c>
      <c r="AD17" s="4">
        <f t="shared" si="5"/>
        <v>18</v>
      </c>
      <c r="AE17" s="4">
        <f t="shared" si="5"/>
        <v>18</v>
      </c>
      <c r="AF17" s="4">
        <f t="shared" si="5"/>
        <v>18</v>
      </c>
      <c r="AG17" s="4">
        <f t="shared" si="5"/>
        <v>18</v>
      </c>
      <c r="AH17" s="4">
        <f t="shared" si="5"/>
        <v>18</v>
      </c>
      <c r="AI17" s="4">
        <f t="shared" si="5"/>
        <v>18</v>
      </c>
      <c r="AJ17" s="4">
        <f t="shared" si="5"/>
        <v>18</v>
      </c>
      <c r="AK17" s="4">
        <f t="shared" si="5"/>
        <v>18</v>
      </c>
    </row>
    <row r="18" spans="1:37" ht="15" customHeight="1">
      <c r="A18" s="17" t="s">
        <v>26</v>
      </c>
      <c r="B18" s="348">
        <v>57670</v>
      </c>
      <c r="C18" s="348">
        <v>58698</v>
      </c>
      <c r="D18" s="348">
        <v>59308</v>
      </c>
      <c r="E18" s="348">
        <v>60064</v>
      </c>
      <c r="F18" s="348">
        <v>60629</v>
      </c>
      <c r="G18" s="348">
        <v>61580</v>
      </c>
      <c r="H18" s="348">
        <v>60330</v>
      </c>
      <c r="I18" s="348">
        <v>60643</v>
      </c>
      <c r="J18" s="348">
        <v>59433</v>
      </c>
      <c r="K18" s="348">
        <v>61907</v>
      </c>
      <c r="L18" s="348">
        <v>63252</v>
      </c>
      <c r="N18" s="647">
        <f t="shared" si="6"/>
        <v>9.6792092942604491</v>
      </c>
      <c r="O18" s="497">
        <f t="shared" si="9"/>
        <v>5582</v>
      </c>
      <c r="P18" s="647">
        <f t="shared" si="7"/>
        <v>18.301429333062529</v>
      </c>
      <c r="Q18" s="647">
        <f t="shared" si="4"/>
        <v>18.40720508269413</v>
      </c>
      <c r="R18" s="647">
        <f t="shared" si="4"/>
        <v>18.447278382581647</v>
      </c>
      <c r="S18" s="647">
        <f t="shared" si="4"/>
        <v>18.485041531638831</v>
      </c>
      <c r="T18" s="647">
        <f t="shared" si="4"/>
        <v>18.52426709848913</v>
      </c>
      <c r="U18" s="647">
        <f t="shared" si="4"/>
        <v>18.622908778593636</v>
      </c>
      <c r="V18" s="647">
        <f t="shared" si="4"/>
        <v>18.679290849531547</v>
      </c>
      <c r="W18" s="647">
        <f t="shared" si="4"/>
        <v>18.661738865518419</v>
      </c>
      <c r="X18" s="647">
        <f t="shared" si="4"/>
        <v>18.674706366612831</v>
      </c>
      <c r="Y18" s="647">
        <f t="shared" si="4"/>
        <v>18.608404998151393</v>
      </c>
      <c r="Z18" s="647">
        <f t="shared" si="4"/>
        <v>18.583633991844025</v>
      </c>
      <c r="AA18" s="4">
        <f t="shared" si="8"/>
        <v>2</v>
      </c>
      <c r="AB18" s="4">
        <f t="shared" si="5"/>
        <v>2</v>
      </c>
      <c r="AC18" s="4">
        <f t="shared" si="5"/>
        <v>2</v>
      </c>
      <c r="AD18" s="4">
        <f t="shared" si="5"/>
        <v>2</v>
      </c>
      <c r="AE18" s="4">
        <f t="shared" si="5"/>
        <v>2</v>
      </c>
      <c r="AF18" s="4">
        <f t="shared" si="5"/>
        <v>2</v>
      </c>
      <c r="AG18" s="4">
        <f t="shared" si="5"/>
        <v>2</v>
      </c>
      <c r="AH18" s="4">
        <f t="shared" si="5"/>
        <v>2</v>
      </c>
      <c r="AI18" s="4">
        <f t="shared" si="5"/>
        <v>2</v>
      </c>
      <c r="AJ18" s="4">
        <f t="shared" si="5"/>
        <v>2</v>
      </c>
      <c r="AK18" s="4">
        <f t="shared" si="5"/>
        <v>2</v>
      </c>
    </row>
    <row r="19" spans="1:37" ht="15" customHeight="1">
      <c r="A19" s="17" t="s">
        <v>27</v>
      </c>
      <c r="B19" s="348">
        <v>14366</v>
      </c>
      <c r="C19" s="348">
        <v>14316</v>
      </c>
      <c r="D19" s="348">
        <v>14410</v>
      </c>
      <c r="E19" s="348">
        <v>14376</v>
      </c>
      <c r="F19" s="348">
        <v>14353</v>
      </c>
      <c r="G19" s="348">
        <v>14254</v>
      </c>
      <c r="H19" s="348">
        <v>13858</v>
      </c>
      <c r="I19" s="348">
        <v>13738</v>
      </c>
      <c r="J19" s="348">
        <v>13511</v>
      </c>
      <c r="K19" s="348">
        <v>13899</v>
      </c>
      <c r="L19" s="348">
        <v>14124</v>
      </c>
      <c r="N19" s="647">
        <f t="shared" si="6"/>
        <v>-1.6845329249617125</v>
      </c>
      <c r="O19" s="497">
        <f t="shared" si="9"/>
        <v>-242</v>
      </c>
      <c r="P19" s="647">
        <f t="shared" si="7"/>
        <v>4.5590139379014447</v>
      </c>
      <c r="Q19" s="647">
        <f t="shared" si="4"/>
        <v>4.4893786494233048</v>
      </c>
      <c r="R19" s="647">
        <f t="shared" si="4"/>
        <v>4.482115085536547</v>
      </c>
      <c r="S19" s="647">
        <f t="shared" si="4"/>
        <v>4.424296701166087</v>
      </c>
      <c r="T19" s="647">
        <f t="shared" si="4"/>
        <v>4.3853404421088014</v>
      </c>
      <c r="U19" s="647">
        <f t="shared" si="4"/>
        <v>4.3106681021447493</v>
      </c>
      <c r="V19" s="647">
        <f t="shared" si="4"/>
        <v>4.2906947222411436</v>
      </c>
      <c r="W19" s="647">
        <f t="shared" si="4"/>
        <v>4.2276102523702992</v>
      </c>
      <c r="X19" s="647">
        <f t="shared" si="4"/>
        <v>4.2453511974712024</v>
      </c>
      <c r="Y19" s="647">
        <f t="shared" si="4"/>
        <v>4.1778509872761758</v>
      </c>
      <c r="Z19" s="647">
        <f t="shared" si="4"/>
        <v>4.1496750537659679</v>
      </c>
      <c r="AA19" s="4">
        <f t="shared" si="8"/>
        <v>8</v>
      </c>
      <c r="AB19" s="4">
        <f t="shared" si="5"/>
        <v>8</v>
      </c>
      <c r="AC19" s="4">
        <f t="shared" si="5"/>
        <v>8</v>
      </c>
      <c r="AD19" s="4">
        <f t="shared" si="5"/>
        <v>8</v>
      </c>
      <c r="AE19" s="4">
        <f t="shared" si="5"/>
        <v>8</v>
      </c>
      <c r="AF19" s="4">
        <f t="shared" si="5"/>
        <v>8</v>
      </c>
      <c r="AG19" s="4">
        <f t="shared" si="5"/>
        <v>8</v>
      </c>
      <c r="AH19" s="4">
        <f t="shared" si="5"/>
        <v>8</v>
      </c>
      <c r="AI19" s="4">
        <f t="shared" si="5"/>
        <v>8</v>
      </c>
      <c r="AJ19" s="4">
        <f t="shared" si="5"/>
        <v>8</v>
      </c>
      <c r="AK19" s="4">
        <f t="shared" si="5"/>
        <v>8</v>
      </c>
    </row>
    <row r="20" spans="1:37" ht="15" customHeight="1">
      <c r="A20" s="17" t="s">
        <v>28</v>
      </c>
      <c r="B20" s="348">
        <v>18705</v>
      </c>
      <c r="C20" s="348">
        <v>18689</v>
      </c>
      <c r="D20" s="348">
        <v>18787</v>
      </c>
      <c r="E20" s="348">
        <v>18918</v>
      </c>
      <c r="F20" s="348">
        <v>19094</v>
      </c>
      <c r="G20" s="348">
        <v>19213</v>
      </c>
      <c r="H20" s="348">
        <v>18872</v>
      </c>
      <c r="I20" s="348">
        <v>19347</v>
      </c>
      <c r="J20" s="348">
        <v>19056</v>
      </c>
      <c r="K20" s="348">
        <v>20105</v>
      </c>
      <c r="L20" s="348">
        <v>20429</v>
      </c>
      <c r="N20" s="647">
        <f t="shared" si="6"/>
        <v>9.2167869553595239</v>
      </c>
      <c r="O20" s="497">
        <f t="shared" si="9"/>
        <v>1724</v>
      </c>
      <c r="P20" s="647">
        <f t="shared" si="7"/>
        <v>5.9359846657696309</v>
      </c>
      <c r="Q20" s="647">
        <f t="shared" si="4"/>
        <v>5.8607151144923266</v>
      </c>
      <c r="R20" s="647">
        <f t="shared" si="4"/>
        <v>5.8435458786936234</v>
      </c>
      <c r="S20" s="647">
        <f t="shared" si="4"/>
        <v>5.8221233300403465</v>
      </c>
      <c r="T20" s="647">
        <f t="shared" si="4"/>
        <v>5.8338807497823062</v>
      </c>
      <c r="U20" s="647">
        <f t="shared" si="4"/>
        <v>5.8103596356466305</v>
      </c>
      <c r="V20" s="647">
        <f t="shared" si="4"/>
        <v>5.8431224417762202</v>
      </c>
      <c r="W20" s="647">
        <f t="shared" si="4"/>
        <v>5.9536741558165795</v>
      </c>
      <c r="X20" s="647">
        <f t="shared" si="4"/>
        <v>5.987670225668805</v>
      </c>
      <c r="Y20" s="647">
        <f t="shared" si="4"/>
        <v>6.0432904596868493</v>
      </c>
      <c r="Z20" s="647">
        <f t="shared" si="4"/>
        <v>6.0021036302311641</v>
      </c>
      <c r="AA20" s="4">
        <f t="shared" si="8"/>
        <v>5</v>
      </c>
      <c r="AB20" s="4">
        <f t="shared" si="5"/>
        <v>6</v>
      </c>
      <c r="AC20" s="4">
        <f t="shared" si="5"/>
        <v>6</v>
      </c>
      <c r="AD20" s="4">
        <f t="shared" si="5"/>
        <v>6</v>
      </c>
      <c r="AE20" s="4">
        <f t="shared" si="5"/>
        <v>6</v>
      </c>
      <c r="AF20" s="4">
        <f t="shared" si="5"/>
        <v>6</v>
      </c>
      <c r="AG20" s="4">
        <f t="shared" si="5"/>
        <v>6</v>
      </c>
      <c r="AH20" s="4">
        <f t="shared" si="5"/>
        <v>6</v>
      </c>
      <c r="AI20" s="4">
        <f t="shared" si="5"/>
        <v>6</v>
      </c>
      <c r="AJ20" s="4">
        <f t="shared" si="5"/>
        <v>6</v>
      </c>
      <c r="AK20" s="4">
        <f t="shared" si="5"/>
        <v>6</v>
      </c>
    </row>
    <row r="21" spans="1:37" ht="15" customHeight="1">
      <c r="A21" s="17" t="s">
        <v>29</v>
      </c>
      <c r="B21" s="348">
        <v>8133</v>
      </c>
      <c r="C21" s="348">
        <v>8188</v>
      </c>
      <c r="D21" s="348">
        <v>8233</v>
      </c>
      <c r="E21" s="348">
        <v>8364</v>
      </c>
      <c r="F21" s="348">
        <v>8315</v>
      </c>
      <c r="G21" s="348">
        <v>8400</v>
      </c>
      <c r="H21" s="348">
        <v>8045</v>
      </c>
      <c r="I21" s="348">
        <v>8065</v>
      </c>
      <c r="J21" s="348">
        <v>7974</v>
      </c>
      <c r="K21" s="348">
        <v>8261</v>
      </c>
      <c r="L21" s="348">
        <v>8480</v>
      </c>
      <c r="N21" s="647">
        <f t="shared" si="6"/>
        <v>4.2665683019795786</v>
      </c>
      <c r="O21" s="497">
        <f t="shared" si="9"/>
        <v>347</v>
      </c>
      <c r="P21" s="647">
        <f t="shared" si="7"/>
        <v>2.5809870776105006</v>
      </c>
      <c r="Q21" s="647">
        <f t="shared" si="4"/>
        <v>2.5676887665184425</v>
      </c>
      <c r="R21" s="647">
        <f t="shared" si="4"/>
        <v>2.5608087091757388</v>
      </c>
      <c r="S21" s="647">
        <f t="shared" si="4"/>
        <v>2.5740691157869469</v>
      </c>
      <c r="T21" s="647">
        <f t="shared" si="4"/>
        <v>2.5405215478391052</v>
      </c>
      <c r="U21" s="647">
        <f t="shared" si="4"/>
        <v>2.5403123374502523</v>
      </c>
      <c r="V21" s="647">
        <f t="shared" si="4"/>
        <v>2.4908817318826668</v>
      </c>
      <c r="W21" s="647">
        <f t="shared" si="4"/>
        <v>2.4818515566579169</v>
      </c>
      <c r="X21" s="647">
        <f t="shared" si="4"/>
        <v>2.5055458847335776</v>
      </c>
      <c r="Y21" s="647">
        <f t="shared" si="4"/>
        <v>2.4831446151441461</v>
      </c>
      <c r="Z21" s="647">
        <f t="shared" si="4"/>
        <v>2.4914503296470838</v>
      </c>
      <c r="AA21" s="4">
        <f t="shared" si="8"/>
        <v>11</v>
      </c>
      <c r="AB21" s="4">
        <f t="shared" si="5"/>
        <v>11</v>
      </c>
      <c r="AC21" s="4">
        <f t="shared" si="5"/>
        <v>11</v>
      </c>
      <c r="AD21" s="4">
        <f t="shared" si="5"/>
        <v>11</v>
      </c>
      <c r="AE21" s="4">
        <f t="shared" si="5"/>
        <v>11</v>
      </c>
      <c r="AF21" s="4">
        <f t="shared" si="5"/>
        <v>11</v>
      </c>
      <c r="AG21" s="4">
        <f t="shared" si="5"/>
        <v>11</v>
      </c>
      <c r="AH21" s="4">
        <f t="shared" si="5"/>
        <v>11</v>
      </c>
      <c r="AI21" s="4">
        <f t="shared" si="5"/>
        <v>11</v>
      </c>
      <c r="AJ21" s="4">
        <f t="shared" si="5"/>
        <v>11</v>
      </c>
      <c r="AK21" s="4">
        <f t="shared" si="5"/>
        <v>11</v>
      </c>
    </row>
    <row r="22" spans="1:37" ht="15" customHeight="1">
      <c r="A22" s="17" t="s">
        <v>30</v>
      </c>
      <c r="B22" s="348">
        <v>5849</v>
      </c>
      <c r="C22" s="348">
        <v>5912</v>
      </c>
      <c r="D22" s="348">
        <v>5937</v>
      </c>
      <c r="E22" s="348">
        <v>6002</v>
      </c>
      <c r="F22" s="348">
        <v>6020</v>
      </c>
      <c r="G22" s="348">
        <v>6022</v>
      </c>
      <c r="H22" s="348">
        <v>5921</v>
      </c>
      <c r="I22" s="348">
        <v>5994</v>
      </c>
      <c r="J22" s="348">
        <v>5922</v>
      </c>
      <c r="K22" s="348">
        <v>6063</v>
      </c>
      <c r="L22" s="348">
        <v>6133</v>
      </c>
      <c r="N22" s="647">
        <f t="shared" si="6"/>
        <v>4.8555308599760538</v>
      </c>
      <c r="O22" s="497">
        <f t="shared" si="9"/>
        <v>284</v>
      </c>
      <c r="P22" s="647">
        <f t="shared" si="7"/>
        <v>1.8561654268958339</v>
      </c>
      <c r="Q22" s="647">
        <f t="shared" si="7"/>
        <v>1.853954077632759</v>
      </c>
      <c r="R22" s="647">
        <f t="shared" si="7"/>
        <v>1.846656298600311</v>
      </c>
      <c r="S22" s="647">
        <f t="shared" si="7"/>
        <v>1.8471500278518955</v>
      </c>
      <c r="T22" s="647">
        <f t="shared" si="7"/>
        <v>1.8393192685497792</v>
      </c>
      <c r="U22" s="647">
        <f t="shared" si="7"/>
        <v>1.8211620114435023</v>
      </c>
      <c r="V22" s="647">
        <f t="shared" si="7"/>
        <v>1.8332518004322276</v>
      </c>
      <c r="W22" s="647">
        <f t="shared" si="7"/>
        <v>1.8445403881720464</v>
      </c>
      <c r="X22" s="647">
        <f t="shared" si="7"/>
        <v>1.8607778692490904</v>
      </c>
      <c r="Y22" s="647">
        <f t="shared" si="7"/>
        <v>1.8224556108968597</v>
      </c>
      <c r="Z22" s="647">
        <f t="shared" si="7"/>
        <v>1.8018944424204675</v>
      </c>
      <c r="AA22" s="4">
        <f t="shared" si="8"/>
        <v>13</v>
      </c>
      <c r="AB22" s="4">
        <f t="shared" si="8"/>
        <v>13</v>
      </c>
      <c r="AC22" s="4">
        <f t="shared" si="8"/>
        <v>13</v>
      </c>
      <c r="AD22" s="4">
        <f t="shared" si="8"/>
        <v>13</v>
      </c>
      <c r="AE22" s="4">
        <f t="shared" si="8"/>
        <v>13</v>
      </c>
      <c r="AF22" s="4">
        <f t="shared" si="8"/>
        <v>13</v>
      </c>
      <c r="AG22" s="4">
        <f t="shared" si="8"/>
        <v>12</v>
      </c>
      <c r="AH22" s="4">
        <f t="shared" si="8"/>
        <v>12</v>
      </c>
      <c r="AI22" s="4">
        <f t="shared" si="8"/>
        <v>12</v>
      </c>
      <c r="AJ22" s="4">
        <f t="shared" si="8"/>
        <v>12</v>
      </c>
      <c r="AK22" s="4">
        <f t="shared" si="8"/>
        <v>13</v>
      </c>
    </row>
    <row r="23" spans="1:37" s="20" customFormat="1" ht="15" customHeight="1">
      <c r="A23" s="19" t="s">
        <v>31</v>
      </c>
      <c r="B23" s="349">
        <v>10814</v>
      </c>
      <c r="C23" s="349">
        <v>10925</v>
      </c>
      <c r="D23" s="349">
        <v>11124</v>
      </c>
      <c r="E23" s="349">
        <v>11312</v>
      </c>
      <c r="F23" s="349">
        <v>11375</v>
      </c>
      <c r="G23" s="349">
        <v>11397</v>
      </c>
      <c r="H23" s="349">
        <v>11158</v>
      </c>
      <c r="I23" s="349">
        <v>11298</v>
      </c>
      <c r="J23" s="349">
        <v>11216</v>
      </c>
      <c r="K23" s="349">
        <v>11681</v>
      </c>
      <c r="L23" s="349">
        <v>11911</v>
      </c>
      <c r="N23" s="647">
        <f t="shared" si="6"/>
        <v>10.144257444054006</v>
      </c>
      <c r="O23" s="497">
        <f t="shared" si="9"/>
        <v>1097</v>
      </c>
      <c r="P23" s="647">
        <f t="shared" si="7"/>
        <v>3.4317956789966741</v>
      </c>
      <c r="Q23" s="647">
        <f t="shared" si="7"/>
        <v>3.4259892249894945</v>
      </c>
      <c r="R23" s="647">
        <f t="shared" si="7"/>
        <v>3.460031104199067</v>
      </c>
      <c r="S23" s="647">
        <f t="shared" si="7"/>
        <v>3.481333074818501</v>
      </c>
      <c r="T23" s="647">
        <f t="shared" si="7"/>
        <v>3.4754579202248737</v>
      </c>
      <c r="U23" s="647">
        <f t="shared" si="7"/>
        <v>3.4466594892762528</v>
      </c>
      <c r="V23" s="647">
        <f t="shared" si="7"/>
        <v>3.4547244703973647</v>
      </c>
      <c r="W23" s="647">
        <f t="shared" si="7"/>
        <v>3.4767462972251884</v>
      </c>
      <c r="X23" s="647">
        <f t="shared" si="7"/>
        <v>3.5242290748898677</v>
      </c>
      <c r="Y23" s="647">
        <f t="shared" si="7"/>
        <v>3.5111502541458384</v>
      </c>
      <c r="Z23" s="647">
        <f t="shared" si="7"/>
        <v>3.4994887825974543</v>
      </c>
      <c r="AA23" s="4">
        <f t="shared" si="8"/>
        <v>10</v>
      </c>
      <c r="AB23" s="4">
        <f t="shared" si="8"/>
        <v>10</v>
      </c>
      <c r="AC23" s="4">
        <f t="shared" si="8"/>
        <v>10</v>
      </c>
      <c r="AD23" s="4">
        <f t="shared" si="8"/>
        <v>10</v>
      </c>
      <c r="AE23" s="4">
        <f t="shared" si="8"/>
        <v>10</v>
      </c>
      <c r="AF23" s="4">
        <f t="shared" si="8"/>
        <v>10</v>
      </c>
      <c r="AG23" s="4">
        <f t="shared" si="8"/>
        <v>10</v>
      </c>
      <c r="AH23" s="4">
        <f t="shared" si="8"/>
        <v>10</v>
      </c>
      <c r="AI23" s="4">
        <f t="shared" si="8"/>
        <v>10</v>
      </c>
      <c r="AJ23" s="4">
        <f t="shared" si="8"/>
        <v>10</v>
      </c>
      <c r="AK23" s="4">
        <f t="shared" si="8"/>
        <v>10</v>
      </c>
    </row>
    <row r="24" spans="1:37" ht="15" customHeight="1">
      <c r="A24" s="21" t="s">
        <v>138</v>
      </c>
      <c r="B24" s="10"/>
      <c r="C24" s="10"/>
      <c r="D24" s="10"/>
      <c r="E24" s="18"/>
      <c r="F24" s="18"/>
      <c r="G24" s="18"/>
      <c r="H24" s="18"/>
      <c r="I24" s="18"/>
      <c r="J24" s="18"/>
      <c r="K24" s="18"/>
      <c r="L24" s="18"/>
    </row>
  </sheetData>
  <mergeCells count="1">
    <mergeCell ref="A1:L1"/>
  </mergeCells>
  <phoneticPr fontId="25" type="noConversion"/>
  <conditionalFormatting sqref="B2:E3 B4:D4 A1:A1048576 B23:E1048576 B5:I22 M1:XFD3 M24:XFD1048576 M4:M23 AL4:XFD23">
    <cfRule type="cellIs" dxfId="877" priority="42" operator="equal">
      <formula>0</formula>
    </cfRule>
  </conditionalFormatting>
  <conditionalFormatting sqref="M5">
    <cfRule type="containsText" dxfId="876" priority="41" operator="containsText" text="FALSO">
      <formula>NOT(ISERROR(SEARCH("FALSO",M5)))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D3DF-7868-49BF-B1DB-1AE1110C1282}">
  <sheetPr>
    <tabColor indexed="24"/>
    <pageSetUpPr fitToPage="1"/>
  </sheetPr>
  <dimension ref="A1:N34"/>
  <sheetViews>
    <sheetView showGridLines="0" workbookViewId="0">
      <selection sqref="A1:L1"/>
    </sheetView>
  </sheetViews>
  <sheetFormatPr defaultColWidth="9.140625" defaultRowHeight="11.25"/>
  <cols>
    <col min="1" max="1" width="24.140625" style="4" customWidth="1"/>
    <col min="2" max="12" width="7.5703125" style="4" customWidth="1"/>
    <col min="13" max="14" width="5.85546875" style="4" bestFit="1" customWidth="1"/>
    <col min="15" max="16384" width="9.140625" style="4"/>
  </cols>
  <sheetData>
    <row r="1" spans="1:12" s="3" customFormat="1" ht="29.25" customHeight="1">
      <c r="A1" s="792" t="s">
        <v>635</v>
      </c>
      <c r="B1" s="792"/>
      <c r="C1" s="792"/>
      <c r="D1" s="792"/>
      <c r="E1" s="792"/>
      <c r="F1" s="792"/>
      <c r="G1" s="792"/>
      <c r="H1" s="792"/>
      <c r="I1" s="792"/>
      <c r="J1" s="792"/>
      <c r="K1" s="792"/>
      <c r="L1" s="792"/>
    </row>
    <row r="2" spans="1:12" ht="15" customHeight="1">
      <c r="A2" s="11"/>
      <c r="B2" s="176"/>
      <c r="C2" s="176"/>
      <c r="D2" s="176"/>
      <c r="E2" s="176"/>
      <c r="F2" s="176"/>
      <c r="G2" s="176"/>
      <c r="H2" s="176"/>
      <c r="I2" s="176"/>
      <c r="J2" s="176"/>
      <c r="K2" s="176"/>
      <c r="L2" s="176"/>
    </row>
    <row r="3" spans="1:12" ht="15" customHeight="1">
      <c r="A3" s="13" t="s">
        <v>42</v>
      </c>
      <c r="B3" s="176"/>
      <c r="C3" s="176"/>
      <c r="D3" s="176"/>
      <c r="E3" s="176"/>
      <c r="F3" s="176"/>
      <c r="G3" s="176"/>
      <c r="H3" s="176"/>
      <c r="I3" s="176"/>
      <c r="J3" s="176"/>
      <c r="K3" s="176"/>
      <c r="L3" s="176"/>
    </row>
    <row r="4" spans="1:12" ht="28.5" customHeight="1" thickBot="1">
      <c r="A4" s="15"/>
      <c r="B4" s="16">
        <v>2013</v>
      </c>
      <c r="C4" s="16">
        <v>2014</v>
      </c>
      <c r="D4" s="16">
        <v>2015</v>
      </c>
      <c r="E4" s="16">
        <v>2016</v>
      </c>
      <c r="F4" s="16">
        <v>2017</v>
      </c>
      <c r="G4" s="16">
        <v>2018</v>
      </c>
      <c r="H4" s="16">
        <v>2019</v>
      </c>
      <c r="I4" s="16">
        <v>2020</v>
      </c>
      <c r="J4" s="16">
        <v>2021</v>
      </c>
      <c r="K4" s="16">
        <v>2022</v>
      </c>
      <c r="L4" s="16">
        <v>2023</v>
      </c>
    </row>
    <row r="5" spans="1:12" ht="20.25" customHeight="1" thickTop="1">
      <c r="A5" s="116" t="s">
        <v>12</v>
      </c>
      <c r="B5" s="347">
        <v>315112</v>
      </c>
      <c r="C5" s="347">
        <v>318886</v>
      </c>
      <c r="D5" s="347">
        <v>321500</v>
      </c>
      <c r="E5" s="347">
        <v>324933</v>
      </c>
      <c r="F5" s="347">
        <v>327295</v>
      </c>
      <c r="G5" s="347">
        <v>330668</v>
      </c>
      <c r="H5" s="347">
        <v>322978</v>
      </c>
      <c r="I5" s="347">
        <v>324959</v>
      </c>
      <c r="J5" s="347">
        <v>318254</v>
      </c>
      <c r="K5" s="347">
        <v>332683</v>
      </c>
      <c r="L5" s="347">
        <v>340363.99999999994</v>
      </c>
    </row>
    <row r="6" spans="1:12" ht="20.25" customHeight="1">
      <c r="A6" s="17" t="s">
        <v>551</v>
      </c>
      <c r="B6" s="347">
        <v>118120</v>
      </c>
      <c r="C6" s="347">
        <v>120246</v>
      </c>
      <c r="D6" s="347">
        <v>121392</v>
      </c>
      <c r="E6" s="347">
        <v>123068</v>
      </c>
      <c r="F6" s="347">
        <v>124207</v>
      </c>
      <c r="G6" s="347">
        <v>125524</v>
      </c>
      <c r="H6" s="347">
        <v>122296</v>
      </c>
      <c r="I6" s="347">
        <v>123094</v>
      </c>
      <c r="J6" s="347">
        <v>121078</v>
      </c>
      <c r="K6" s="347">
        <v>126463</v>
      </c>
      <c r="L6" s="347">
        <v>129002.00000000001</v>
      </c>
    </row>
    <row r="7" spans="1:12" ht="20.25" customHeight="1">
      <c r="A7" s="661" t="s">
        <v>552</v>
      </c>
      <c r="B7" s="348">
        <v>8133</v>
      </c>
      <c r="C7" s="348">
        <v>8188</v>
      </c>
      <c r="D7" s="348">
        <v>8233</v>
      </c>
      <c r="E7" s="348">
        <v>8364</v>
      </c>
      <c r="F7" s="348">
        <v>8315</v>
      </c>
      <c r="G7" s="348">
        <v>8400</v>
      </c>
      <c r="H7" s="348">
        <v>8045</v>
      </c>
      <c r="I7" s="348">
        <v>8065</v>
      </c>
      <c r="J7" s="348">
        <v>7974</v>
      </c>
      <c r="K7" s="348">
        <v>8261</v>
      </c>
      <c r="L7" s="348">
        <v>8480</v>
      </c>
    </row>
    <row r="8" spans="1:12" ht="15" customHeight="1">
      <c r="A8" s="661" t="s">
        <v>553</v>
      </c>
      <c r="B8" s="348">
        <v>14520</v>
      </c>
      <c r="C8" s="348">
        <v>14930</v>
      </c>
      <c r="D8" s="348">
        <v>15116</v>
      </c>
      <c r="E8" s="348">
        <v>15401</v>
      </c>
      <c r="F8" s="348">
        <v>15634</v>
      </c>
      <c r="G8" s="348">
        <v>15756</v>
      </c>
      <c r="H8" s="348">
        <v>15412</v>
      </c>
      <c r="I8" s="348">
        <v>15514</v>
      </c>
      <c r="J8" s="348">
        <v>15289</v>
      </c>
      <c r="K8" s="348">
        <v>16345</v>
      </c>
      <c r="L8" s="348">
        <v>16873</v>
      </c>
    </row>
    <row r="9" spans="1:12" ht="15" customHeight="1">
      <c r="A9" s="661" t="s">
        <v>554</v>
      </c>
      <c r="B9" s="348">
        <v>13948</v>
      </c>
      <c r="C9" s="348">
        <v>14360</v>
      </c>
      <c r="D9" s="348">
        <v>14483</v>
      </c>
      <c r="E9" s="348">
        <v>14818</v>
      </c>
      <c r="F9" s="348">
        <v>15050</v>
      </c>
      <c r="G9" s="348">
        <v>15078</v>
      </c>
      <c r="H9" s="348">
        <v>14513</v>
      </c>
      <c r="I9" s="348">
        <v>14697</v>
      </c>
      <c r="J9" s="348">
        <v>14380</v>
      </c>
      <c r="K9" s="348">
        <v>15257</v>
      </c>
      <c r="L9" s="348">
        <v>15408.999999999998</v>
      </c>
    </row>
    <row r="10" spans="1:12" ht="15" customHeight="1">
      <c r="A10" s="661" t="s">
        <v>555</v>
      </c>
      <c r="B10" s="348">
        <v>56488</v>
      </c>
      <c r="C10" s="348">
        <v>57194</v>
      </c>
      <c r="D10" s="348">
        <v>57692</v>
      </c>
      <c r="E10" s="348">
        <v>58291</v>
      </c>
      <c r="F10" s="348">
        <v>58794</v>
      </c>
      <c r="G10" s="348">
        <v>59602</v>
      </c>
      <c r="H10" s="348">
        <v>58375</v>
      </c>
      <c r="I10" s="348">
        <v>58630</v>
      </c>
      <c r="J10" s="348">
        <v>57051</v>
      </c>
      <c r="K10" s="348">
        <v>59479</v>
      </c>
      <c r="L10" s="348">
        <v>60584.999999999985</v>
      </c>
    </row>
    <row r="11" spans="1:12" ht="15" customHeight="1">
      <c r="A11" s="661" t="s">
        <v>556</v>
      </c>
      <c r="B11" s="348">
        <v>2450</v>
      </c>
      <c r="C11" s="348">
        <v>2505</v>
      </c>
      <c r="D11" s="348">
        <v>2562</v>
      </c>
      <c r="E11" s="348">
        <v>2620</v>
      </c>
      <c r="F11" s="348">
        <v>2636</v>
      </c>
      <c r="G11" s="348">
        <v>2669</v>
      </c>
      <c r="H11" s="348">
        <v>2590</v>
      </c>
      <c r="I11" s="348">
        <v>2642</v>
      </c>
      <c r="J11" s="348">
        <v>2629</v>
      </c>
      <c r="K11" s="348">
        <v>2739</v>
      </c>
      <c r="L11" s="348">
        <v>2746</v>
      </c>
    </row>
    <row r="12" spans="1:12" ht="15" customHeight="1">
      <c r="A12" s="661" t="s">
        <v>557</v>
      </c>
      <c r="B12" s="348">
        <v>12781</v>
      </c>
      <c r="C12" s="348">
        <v>13219</v>
      </c>
      <c r="D12" s="348">
        <v>13492</v>
      </c>
      <c r="E12" s="348">
        <v>13669</v>
      </c>
      <c r="F12" s="348">
        <v>13820</v>
      </c>
      <c r="G12" s="348">
        <v>14097</v>
      </c>
      <c r="H12" s="348">
        <v>13814</v>
      </c>
      <c r="I12" s="348">
        <v>13874</v>
      </c>
      <c r="J12" s="348">
        <v>14035</v>
      </c>
      <c r="K12" s="348">
        <v>14461</v>
      </c>
      <c r="L12" s="348">
        <v>14776</v>
      </c>
    </row>
    <row r="13" spans="1:12" ht="15" customHeight="1">
      <c r="A13" s="661" t="s">
        <v>558</v>
      </c>
      <c r="B13" s="348">
        <v>6105</v>
      </c>
      <c r="C13" s="348">
        <v>6125</v>
      </c>
      <c r="D13" s="348">
        <v>6090</v>
      </c>
      <c r="E13" s="348">
        <v>6142</v>
      </c>
      <c r="F13" s="348">
        <v>6166</v>
      </c>
      <c r="G13" s="348">
        <v>6137</v>
      </c>
      <c r="H13" s="348">
        <v>6006</v>
      </c>
      <c r="I13" s="348">
        <v>6107</v>
      </c>
      <c r="J13" s="348">
        <v>6046</v>
      </c>
      <c r="K13" s="348">
        <v>6219</v>
      </c>
      <c r="L13" s="348">
        <v>6355.9999999999982</v>
      </c>
    </row>
    <row r="14" spans="1:12" ht="15" customHeight="1">
      <c r="A14" s="661" t="s">
        <v>559</v>
      </c>
      <c r="B14" s="348">
        <v>3695</v>
      </c>
      <c r="C14" s="348">
        <v>3725</v>
      </c>
      <c r="D14" s="348">
        <v>3724</v>
      </c>
      <c r="E14" s="348">
        <v>3763</v>
      </c>
      <c r="F14" s="348">
        <v>3792</v>
      </c>
      <c r="G14" s="348">
        <v>3785</v>
      </c>
      <c r="H14" s="348">
        <v>3541</v>
      </c>
      <c r="I14" s="348">
        <v>3565</v>
      </c>
      <c r="J14" s="348">
        <v>3674</v>
      </c>
      <c r="K14" s="348">
        <v>3702</v>
      </c>
      <c r="L14" s="348">
        <v>3777.0000000000009</v>
      </c>
    </row>
    <row r="15" spans="1:12" ht="15" customHeight="1">
      <c r="A15" s="17" t="s">
        <v>560</v>
      </c>
      <c r="B15" s="347">
        <v>53918</v>
      </c>
      <c r="C15" s="347">
        <v>54102</v>
      </c>
      <c r="D15" s="347">
        <v>54333</v>
      </c>
      <c r="E15" s="347">
        <v>54880</v>
      </c>
      <c r="F15" s="347">
        <v>54959</v>
      </c>
      <c r="G15" s="347">
        <v>55026</v>
      </c>
      <c r="H15" s="347">
        <v>53653</v>
      </c>
      <c r="I15" s="347">
        <v>53834</v>
      </c>
      <c r="J15" s="347">
        <v>52972</v>
      </c>
      <c r="K15" s="347">
        <v>54851</v>
      </c>
      <c r="L15" s="347">
        <v>55620.000000000007</v>
      </c>
    </row>
    <row r="16" spans="1:12" ht="15" customHeight="1">
      <c r="A16" s="661" t="s">
        <v>561</v>
      </c>
      <c r="B16" s="348">
        <v>10733</v>
      </c>
      <c r="C16" s="348">
        <v>10771</v>
      </c>
      <c r="D16" s="348">
        <v>10850</v>
      </c>
      <c r="E16" s="348">
        <v>11109</v>
      </c>
      <c r="F16" s="348">
        <v>11238</v>
      </c>
      <c r="G16" s="348">
        <v>11392</v>
      </c>
      <c r="H16" s="348">
        <v>11270</v>
      </c>
      <c r="I16" s="348">
        <v>11291</v>
      </c>
      <c r="J16" s="348">
        <v>10980</v>
      </c>
      <c r="K16" s="348">
        <v>11325</v>
      </c>
      <c r="L16" s="348">
        <v>11485</v>
      </c>
    </row>
    <row r="17" spans="1:14" ht="15" customHeight="1">
      <c r="A17" s="661" t="s">
        <v>562</v>
      </c>
      <c r="B17" s="348">
        <v>13209</v>
      </c>
      <c r="C17" s="348">
        <v>13210</v>
      </c>
      <c r="D17" s="348">
        <v>13220</v>
      </c>
      <c r="E17" s="348">
        <v>13289</v>
      </c>
      <c r="F17" s="348">
        <v>13260</v>
      </c>
      <c r="G17" s="348">
        <v>13232</v>
      </c>
      <c r="H17" s="348">
        <v>12834</v>
      </c>
      <c r="I17" s="348">
        <v>12976</v>
      </c>
      <c r="J17" s="348">
        <v>12780</v>
      </c>
      <c r="K17" s="348">
        <v>13325</v>
      </c>
      <c r="L17" s="348">
        <v>13431.000000000004</v>
      </c>
    </row>
    <row r="18" spans="1:14" ht="15" customHeight="1">
      <c r="A18" s="661" t="s">
        <v>563</v>
      </c>
      <c r="B18" s="348">
        <v>11800</v>
      </c>
      <c r="C18" s="348">
        <v>11750</v>
      </c>
      <c r="D18" s="348">
        <v>11795</v>
      </c>
      <c r="E18" s="348">
        <v>11912</v>
      </c>
      <c r="F18" s="348">
        <v>11909</v>
      </c>
      <c r="G18" s="348">
        <v>11844</v>
      </c>
      <c r="H18" s="348">
        <v>11538</v>
      </c>
      <c r="I18" s="348">
        <v>11586</v>
      </c>
      <c r="J18" s="348">
        <v>11446</v>
      </c>
      <c r="K18" s="348">
        <v>11845</v>
      </c>
      <c r="L18" s="348">
        <v>12118.999999999998</v>
      </c>
    </row>
    <row r="19" spans="1:14" ht="15" customHeight="1">
      <c r="A19" s="661" t="s">
        <v>564</v>
      </c>
      <c r="B19" s="348">
        <v>7951</v>
      </c>
      <c r="C19" s="348">
        <v>8035</v>
      </c>
      <c r="D19" s="348">
        <v>8168</v>
      </c>
      <c r="E19" s="348">
        <v>8259</v>
      </c>
      <c r="F19" s="348">
        <v>8311</v>
      </c>
      <c r="G19" s="348">
        <v>8351</v>
      </c>
      <c r="H19" s="348">
        <v>8174</v>
      </c>
      <c r="I19" s="348">
        <v>8205</v>
      </c>
      <c r="J19" s="348">
        <v>8152</v>
      </c>
      <c r="K19" s="348">
        <v>8478</v>
      </c>
      <c r="L19" s="348">
        <v>8638</v>
      </c>
    </row>
    <row r="20" spans="1:14" ht="15" customHeight="1">
      <c r="A20" s="661" t="s">
        <v>565</v>
      </c>
      <c r="B20" s="348">
        <v>3267</v>
      </c>
      <c r="C20" s="348">
        <v>3287</v>
      </c>
      <c r="D20" s="348">
        <v>3291</v>
      </c>
      <c r="E20" s="348">
        <v>3288</v>
      </c>
      <c r="F20" s="348">
        <v>3208</v>
      </c>
      <c r="G20" s="348">
        <v>3244</v>
      </c>
      <c r="H20" s="348">
        <v>3195</v>
      </c>
      <c r="I20" s="348">
        <v>3163</v>
      </c>
      <c r="J20" s="348">
        <v>3161</v>
      </c>
      <c r="K20" s="348">
        <v>3245</v>
      </c>
      <c r="L20" s="348">
        <v>3270</v>
      </c>
    </row>
    <row r="21" spans="1:14" ht="15" customHeight="1">
      <c r="A21" s="661" t="s">
        <v>566</v>
      </c>
      <c r="B21" s="348">
        <v>6958</v>
      </c>
      <c r="C21" s="348">
        <v>7049</v>
      </c>
      <c r="D21" s="348">
        <v>7009</v>
      </c>
      <c r="E21" s="348">
        <v>7023</v>
      </c>
      <c r="F21" s="348">
        <v>7033</v>
      </c>
      <c r="G21" s="348">
        <v>6963</v>
      </c>
      <c r="H21" s="348">
        <v>6642</v>
      </c>
      <c r="I21" s="348">
        <v>6613</v>
      </c>
      <c r="J21" s="348">
        <v>6453</v>
      </c>
      <c r="K21" s="348">
        <v>6633</v>
      </c>
      <c r="L21" s="348">
        <v>6677</v>
      </c>
    </row>
    <row r="22" spans="1:14" ht="15" customHeight="1">
      <c r="A22" s="17" t="s">
        <v>567</v>
      </c>
      <c r="B22" s="347">
        <v>26909</v>
      </c>
      <c r="C22" s="347">
        <v>26958</v>
      </c>
      <c r="D22" s="347">
        <v>27160</v>
      </c>
      <c r="E22" s="347">
        <v>27317</v>
      </c>
      <c r="F22" s="347">
        <v>27550</v>
      </c>
      <c r="G22" s="347">
        <v>27533</v>
      </c>
      <c r="H22" s="347">
        <v>26916</v>
      </c>
      <c r="I22" s="347">
        <v>26902</v>
      </c>
      <c r="J22" s="347">
        <v>26497</v>
      </c>
      <c r="K22" s="347">
        <v>27499</v>
      </c>
      <c r="L22" s="347">
        <v>28008.000000000004</v>
      </c>
    </row>
    <row r="23" spans="1:14" ht="15" customHeight="1">
      <c r="A23" s="661" t="s">
        <v>568</v>
      </c>
      <c r="B23" s="348">
        <v>12085</v>
      </c>
      <c r="C23" s="348">
        <v>12157</v>
      </c>
      <c r="D23" s="348">
        <v>12279</v>
      </c>
      <c r="E23" s="348">
        <v>12458</v>
      </c>
      <c r="F23" s="348">
        <v>12690</v>
      </c>
      <c r="G23" s="348">
        <v>12776</v>
      </c>
      <c r="H23" s="348">
        <v>12579</v>
      </c>
      <c r="I23" s="348">
        <v>12676</v>
      </c>
      <c r="J23" s="348">
        <v>12522</v>
      </c>
      <c r="K23" s="348">
        <v>13106</v>
      </c>
      <c r="L23" s="348">
        <v>13372</v>
      </c>
    </row>
    <row r="24" spans="1:14" ht="15" customHeight="1">
      <c r="A24" s="661" t="s">
        <v>569</v>
      </c>
      <c r="B24" s="348">
        <v>7290</v>
      </c>
      <c r="C24" s="348">
        <v>7236</v>
      </c>
      <c r="D24" s="348">
        <v>7301</v>
      </c>
      <c r="E24" s="348">
        <v>7236</v>
      </c>
      <c r="F24" s="348">
        <v>7229</v>
      </c>
      <c r="G24" s="348">
        <v>7144</v>
      </c>
      <c r="H24" s="348">
        <v>6955</v>
      </c>
      <c r="I24" s="348">
        <v>6887</v>
      </c>
      <c r="J24" s="348">
        <v>6863</v>
      </c>
      <c r="K24" s="348">
        <v>7027</v>
      </c>
      <c r="L24" s="348">
        <v>7144</v>
      </c>
    </row>
    <row r="25" spans="1:14" ht="15" customHeight="1">
      <c r="A25" s="661" t="s">
        <v>570</v>
      </c>
      <c r="B25" s="348">
        <v>7534</v>
      </c>
      <c r="C25" s="348">
        <v>7565</v>
      </c>
      <c r="D25" s="348">
        <v>7580</v>
      </c>
      <c r="E25" s="348">
        <v>7623</v>
      </c>
      <c r="F25" s="348">
        <v>7631</v>
      </c>
      <c r="G25" s="348">
        <v>7613</v>
      </c>
      <c r="H25" s="348">
        <v>7382</v>
      </c>
      <c r="I25" s="348">
        <v>7339</v>
      </c>
      <c r="J25" s="348">
        <v>7112</v>
      </c>
      <c r="K25" s="348">
        <v>7366</v>
      </c>
      <c r="L25" s="348">
        <v>7492.0000000000018</v>
      </c>
    </row>
    <row r="26" spans="1:14" ht="15" customHeight="1">
      <c r="A26" s="17" t="s">
        <v>571</v>
      </c>
      <c r="B26" s="347">
        <v>64587</v>
      </c>
      <c r="C26" s="347">
        <v>65289</v>
      </c>
      <c r="D26" s="347">
        <v>65847</v>
      </c>
      <c r="E26" s="347">
        <v>66220</v>
      </c>
      <c r="F26" s="347">
        <v>66764</v>
      </c>
      <c r="G26" s="347">
        <v>67989</v>
      </c>
      <c r="H26" s="347">
        <v>66115</v>
      </c>
      <c r="I26" s="347">
        <v>67101</v>
      </c>
      <c r="J26" s="347">
        <v>64927</v>
      </c>
      <c r="K26" s="347">
        <v>68270</v>
      </c>
      <c r="L26" s="347">
        <v>70103.999999999985</v>
      </c>
      <c r="N26" s="662"/>
    </row>
    <row r="27" spans="1:14" ht="15" customHeight="1">
      <c r="A27" s="17" t="s">
        <v>572</v>
      </c>
      <c r="B27" s="347">
        <v>16429</v>
      </c>
      <c r="C27" s="347">
        <v>16417</v>
      </c>
      <c r="D27" s="347">
        <v>16509</v>
      </c>
      <c r="E27" s="347">
        <v>16639</v>
      </c>
      <c r="F27" s="347">
        <v>16803</v>
      </c>
      <c r="G27" s="347">
        <v>16960</v>
      </c>
      <c r="H27" s="347">
        <v>16656</v>
      </c>
      <c r="I27" s="347">
        <v>17101</v>
      </c>
      <c r="J27" s="347">
        <v>16860</v>
      </c>
      <c r="K27" s="347">
        <v>17786</v>
      </c>
      <c r="L27" s="347">
        <v>18085</v>
      </c>
      <c r="N27" s="662"/>
    </row>
    <row r="28" spans="1:14" ht="15" customHeight="1">
      <c r="A28" s="17" t="s">
        <v>573</v>
      </c>
      <c r="B28" s="347">
        <v>16513</v>
      </c>
      <c r="C28" s="347">
        <v>16818</v>
      </c>
      <c r="D28" s="347">
        <v>16844</v>
      </c>
      <c r="E28" s="347">
        <v>16907</v>
      </c>
      <c r="F28" s="347">
        <v>16939</v>
      </c>
      <c r="G28" s="347">
        <v>16868</v>
      </c>
      <c r="H28" s="347">
        <v>16454</v>
      </c>
      <c r="I28" s="347">
        <v>16561</v>
      </c>
      <c r="J28" s="347">
        <v>16084</v>
      </c>
      <c r="K28" s="347">
        <v>17115</v>
      </c>
      <c r="L28" s="347">
        <v>17511.000000000004</v>
      </c>
      <c r="N28" s="662"/>
    </row>
    <row r="29" spans="1:14" ht="15" customHeight="1">
      <c r="A29" s="661" t="s">
        <v>574</v>
      </c>
      <c r="B29" s="348">
        <v>3087</v>
      </c>
      <c r="C29" s="348">
        <v>3079</v>
      </c>
      <c r="D29" s="348">
        <v>3085</v>
      </c>
      <c r="E29" s="348">
        <v>3145</v>
      </c>
      <c r="F29" s="348">
        <v>3176</v>
      </c>
      <c r="G29" s="348">
        <v>3187</v>
      </c>
      <c r="H29" s="348">
        <v>3177</v>
      </c>
      <c r="I29" s="348">
        <v>3249</v>
      </c>
      <c r="J29" s="348">
        <v>3219</v>
      </c>
      <c r="K29" s="348">
        <v>3368</v>
      </c>
      <c r="L29" s="348">
        <v>3451</v>
      </c>
      <c r="N29" s="662"/>
    </row>
    <row r="30" spans="1:14" ht="15" customHeight="1">
      <c r="A30" s="661" t="s">
        <v>575</v>
      </c>
      <c r="B30" s="348">
        <v>3977</v>
      </c>
      <c r="C30" s="348">
        <v>4090</v>
      </c>
      <c r="D30" s="348">
        <v>4123</v>
      </c>
      <c r="E30" s="348">
        <v>4152</v>
      </c>
      <c r="F30" s="348">
        <v>4217</v>
      </c>
      <c r="G30" s="348">
        <v>4208</v>
      </c>
      <c r="H30" s="348">
        <v>4100</v>
      </c>
      <c r="I30" s="348">
        <v>4108</v>
      </c>
      <c r="J30" s="348">
        <v>4065</v>
      </c>
      <c r="K30" s="348">
        <v>4263</v>
      </c>
      <c r="L30" s="348">
        <v>4493</v>
      </c>
      <c r="N30" s="662"/>
    </row>
    <row r="31" spans="1:14" ht="15" customHeight="1">
      <c r="A31" s="661" t="s">
        <v>576</v>
      </c>
      <c r="B31" s="348">
        <v>3471</v>
      </c>
      <c r="C31" s="348">
        <v>3518</v>
      </c>
      <c r="D31" s="348">
        <v>3504</v>
      </c>
      <c r="E31" s="348">
        <v>3523</v>
      </c>
      <c r="F31" s="348">
        <v>3473</v>
      </c>
      <c r="G31" s="348">
        <v>3444</v>
      </c>
      <c r="H31" s="348">
        <v>3298</v>
      </c>
      <c r="I31" s="348">
        <v>3302</v>
      </c>
      <c r="J31" s="348">
        <v>3192</v>
      </c>
      <c r="K31" s="348">
        <v>3433</v>
      </c>
      <c r="L31" s="348">
        <v>3430.0000000000005</v>
      </c>
      <c r="N31" s="662"/>
    </row>
    <row r="32" spans="1:14" ht="15" customHeight="1">
      <c r="A32" s="661" t="s">
        <v>577</v>
      </c>
      <c r="B32" s="348">
        <v>5978</v>
      </c>
      <c r="C32" s="348">
        <v>6131</v>
      </c>
      <c r="D32" s="348">
        <v>6132</v>
      </c>
      <c r="E32" s="348">
        <v>6087</v>
      </c>
      <c r="F32" s="348">
        <v>6073</v>
      </c>
      <c r="G32" s="348">
        <v>6029</v>
      </c>
      <c r="H32" s="348">
        <v>5879</v>
      </c>
      <c r="I32" s="348">
        <v>5902</v>
      </c>
      <c r="J32" s="348">
        <v>5608</v>
      </c>
      <c r="K32" s="348">
        <v>6051</v>
      </c>
      <c r="L32" s="348">
        <v>6137</v>
      </c>
    </row>
    <row r="33" spans="1:12" s="20" customFormat="1" ht="15" customHeight="1">
      <c r="A33" s="19" t="s">
        <v>578</v>
      </c>
      <c r="B33" s="663">
        <v>18636</v>
      </c>
      <c r="C33" s="663">
        <v>19056</v>
      </c>
      <c r="D33" s="663">
        <v>19415</v>
      </c>
      <c r="E33" s="663">
        <v>19902</v>
      </c>
      <c r="F33" s="663">
        <v>20073</v>
      </c>
      <c r="G33" s="663">
        <v>20768</v>
      </c>
      <c r="H33" s="663">
        <v>20888</v>
      </c>
      <c r="I33" s="663">
        <v>20366</v>
      </c>
      <c r="J33" s="663">
        <v>19836</v>
      </c>
      <c r="K33" s="663">
        <v>20699</v>
      </c>
      <c r="L33" s="663">
        <v>22034</v>
      </c>
    </row>
    <row r="34" spans="1:12" ht="15" customHeight="1">
      <c r="A34" s="21" t="s">
        <v>138</v>
      </c>
      <c r="C34" s="18"/>
      <c r="D34" s="18"/>
      <c r="E34" s="18"/>
      <c r="F34" s="18"/>
      <c r="G34" s="18"/>
      <c r="H34" s="18"/>
      <c r="I34" s="18"/>
      <c r="J34" s="18"/>
      <c r="K34" s="18"/>
      <c r="L34" s="18"/>
    </row>
  </sheetData>
  <mergeCells count="1">
    <mergeCell ref="A1:L1"/>
  </mergeCells>
  <conditionalFormatting sqref="C34:D34 B5:L33">
    <cfRule type="cellIs" dxfId="875" priority="9" operator="equal">
      <formula>0</formula>
    </cfRule>
  </conditionalFormatting>
  <conditionalFormatting sqref="E34">
    <cfRule type="cellIs" dxfId="874" priority="8" operator="equal">
      <formula>0</formula>
    </cfRule>
  </conditionalFormatting>
  <conditionalFormatting sqref="H34">
    <cfRule type="cellIs" dxfId="873" priority="7" operator="equal">
      <formula>0</formula>
    </cfRule>
  </conditionalFormatting>
  <conditionalFormatting sqref="F34">
    <cfRule type="cellIs" dxfId="872" priority="6" operator="equal">
      <formula>0</formula>
    </cfRule>
  </conditionalFormatting>
  <conditionalFormatting sqref="G34">
    <cfRule type="cellIs" dxfId="871" priority="5" operator="equal">
      <formula>0</formula>
    </cfRule>
  </conditionalFormatting>
  <conditionalFormatting sqref="I34">
    <cfRule type="cellIs" dxfId="870" priority="4" operator="equal">
      <formula>0</formula>
    </cfRule>
  </conditionalFormatting>
  <conditionalFormatting sqref="J34">
    <cfRule type="cellIs" dxfId="869" priority="3" operator="equal">
      <formula>0</formula>
    </cfRule>
  </conditionalFormatting>
  <conditionalFormatting sqref="K34">
    <cfRule type="cellIs" dxfId="868" priority="2" operator="equal">
      <formula>0</formula>
    </cfRule>
  </conditionalFormatting>
  <conditionalFormatting sqref="L34">
    <cfRule type="cellIs" dxfId="86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4" orientation="portrait" r:id="rId1"/>
  <headerFooter>
    <oddHeader xml:space="preserve">&amp;C&amp;G
</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28">
    <tabColor theme="5" tint="0.39997558519241921"/>
  </sheetPr>
  <dimension ref="A1"/>
  <sheetViews>
    <sheetView showGridLines="0" workbookViewId="0">
      <selection sqref="A1:L1"/>
    </sheetView>
  </sheetViews>
  <sheetFormatPr defaultColWidth="8.7109375" defaultRowHeight="15"/>
  <cols>
    <col min="1" max="16384" width="8.7109375" style="447"/>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11">
    <tabColor indexed="25"/>
    <pageSetUpPr fitToPage="1"/>
  </sheetPr>
  <dimension ref="A1:P51"/>
  <sheetViews>
    <sheetView showGridLines="0" workbookViewId="0">
      <selection sqref="A1:L1"/>
    </sheetView>
  </sheetViews>
  <sheetFormatPr defaultColWidth="9.140625" defaultRowHeight="11.25"/>
  <cols>
    <col min="1" max="1" width="2" style="133" customWidth="1"/>
    <col min="2" max="2" width="27.85546875" style="133" customWidth="1"/>
    <col min="3" max="13" width="7.5703125" style="133" customWidth="1"/>
    <col min="14" max="16384" width="9.140625" style="133"/>
  </cols>
  <sheetData>
    <row r="1" spans="1:16" s="129" customFormat="1" ht="28.5" customHeight="1">
      <c r="A1" s="795" t="s">
        <v>640</v>
      </c>
      <c r="B1" s="795"/>
      <c r="C1" s="795"/>
      <c r="D1" s="795"/>
      <c r="E1" s="795"/>
      <c r="F1" s="795"/>
      <c r="G1" s="795"/>
      <c r="H1" s="795"/>
      <c r="I1" s="795"/>
      <c r="J1" s="795"/>
      <c r="K1" s="795"/>
      <c r="L1" s="795"/>
      <c r="M1" s="795"/>
    </row>
    <row r="2" spans="1:16" s="118" customFormat="1" ht="15" customHeight="1">
      <c r="A2" s="178"/>
      <c r="B2" s="178"/>
      <c r="C2" s="178"/>
      <c r="D2" s="176"/>
      <c r="E2" s="176"/>
      <c r="F2" s="176"/>
      <c r="G2" s="176"/>
      <c r="H2" s="176"/>
      <c r="I2" s="176"/>
      <c r="J2" s="176"/>
      <c r="K2" s="176"/>
      <c r="L2" s="176"/>
      <c r="M2" s="176"/>
    </row>
    <row r="3" spans="1:16" s="118" customFormat="1" ht="15" customHeight="1">
      <c r="A3" s="177" t="s">
        <v>42</v>
      </c>
      <c r="B3" s="179"/>
      <c r="C3" s="168"/>
      <c r="D3" s="176"/>
      <c r="E3" s="176"/>
      <c r="F3" s="176"/>
      <c r="G3" s="176"/>
      <c r="H3" s="176"/>
      <c r="I3" s="176"/>
      <c r="J3" s="176"/>
      <c r="K3" s="176"/>
      <c r="L3" s="176"/>
      <c r="M3" s="176"/>
    </row>
    <row r="4" spans="1:16" s="118" customFormat="1" ht="28.5" customHeight="1" thickBot="1">
      <c r="A4" s="210" t="s">
        <v>1</v>
      </c>
      <c r="B4" s="210"/>
      <c r="C4" s="6">
        <v>2013</v>
      </c>
      <c r="D4" s="6">
        <v>2014</v>
      </c>
      <c r="E4" s="6">
        <v>2015</v>
      </c>
      <c r="F4" s="6">
        <v>2016</v>
      </c>
      <c r="G4" s="6">
        <v>2017</v>
      </c>
      <c r="H4" s="6">
        <v>2018</v>
      </c>
      <c r="I4" s="6">
        <v>2019</v>
      </c>
      <c r="J4" s="6">
        <v>2020</v>
      </c>
      <c r="K4" s="6">
        <v>2021</v>
      </c>
      <c r="L4" s="6">
        <v>2022</v>
      </c>
      <c r="M4" s="6">
        <v>2023</v>
      </c>
    </row>
    <row r="5" spans="1:16" s="118" customFormat="1" ht="16.5" customHeight="1" thickTop="1">
      <c r="A5" s="34" t="s">
        <v>43</v>
      </c>
      <c r="B5" s="208"/>
      <c r="C5" s="354">
        <v>2555676</v>
      </c>
      <c r="D5" s="354">
        <v>2636881</v>
      </c>
      <c r="E5" s="354">
        <v>2716011</v>
      </c>
      <c r="F5" s="354">
        <v>2819978</v>
      </c>
      <c r="G5" s="354">
        <v>2946903</v>
      </c>
      <c r="H5" s="354">
        <v>3060489</v>
      </c>
      <c r="I5" s="354">
        <v>3110949</v>
      </c>
      <c r="J5" s="354">
        <v>3085566</v>
      </c>
      <c r="K5" s="354">
        <v>3102345</v>
      </c>
      <c r="L5" s="354">
        <v>3337082</v>
      </c>
      <c r="M5" s="354">
        <v>3489583</v>
      </c>
      <c r="O5" s="467">
        <f>+M5-16779</f>
        <v>3472804</v>
      </c>
      <c r="P5" s="118">
        <f>+(M5/L5-1)*100</f>
        <v>4.5698907009177558</v>
      </c>
    </row>
    <row r="6" spans="1:16" s="118" customFormat="1" ht="16.5" customHeight="1">
      <c r="A6" s="208" t="s">
        <v>73</v>
      </c>
      <c r="B6" s="326" t="s">
        <v>172</v>
      </c>
      <c r="C6" s="354">
        <v>57477</v>
      </c>
      <c r="D6" s="354">
        <v>59974</v>
      </c>
      <c r="E6" s="354">
        <v>62767</v>
      </c>
      <c r="F6" s="354">
        <v>66231</v>
      </c>
      <c r="G6" s="354">
        <v>67785</v>
      </c>
      <c r="H6" s="354">
        <v>71264</v>
      </c>
      <c r="I6" s="354">
        <v>72158</v>
      </c>
      <c r="J6" s="354">
        <v>76190</v>
      </c>
      <c r="K6" s="354">
        <v>74598</v>
      </c>
      <c r="L6" s="354">
        <v>80596</v>
      </c>
      <c r="M6" s="354">
        <v>84693</v>
      </c>
    </row>
    <row r="7" spans="1:16" s="118" customFormat="1" ht="12.75" customHeight="1">
      <c r="A7" s="208" t="s">
        <v>74</v>
      </c>
      <c r="B7" s="326" t="s">
        <v>102</v>
      </c>
      <c r="C7" s="354">
        <v>8685</v>
      </c>
      <c r="D7" s="354">
        <v>8514</v>
      </c>
      <c r="E7" s="354">
        <v>8479</v>
      </c>
      <c r="F7" s="354">
        <v>8384</v>
      </c>
      <c r="G7" s="354">
        <v>8723</v>
      </c>
      <c r="H7" s="354">
        <v>8644</v>
      </c>
      <c r="I7" s="354">
        <v>8455</v>
      </c>
      <c r="J7" s="354">
        <v>8318</v>
      </c>
      <c r="K7" s="354">
        <v>8437</v>
      </c>
      <c r="L7" s="354">
        <v>8822</v>
      </c>
      <c r="M7" s="354">
        <v>9420</v>
      </c>
    </row>
    <row r="8" spans="1:16" s="118" customFormat="1" ht="16.5" customHeight="1">
      <c r="A8" s="208" t="s">
        <v>75</v>
      </c>
      <c r="B8" s="326" t="s">
        <v>101</v>
      </c>
      <c r="C8" s="354">
        <v>566564</v>
      </c>
      <c r="D8" s="354">
        <v>583685</v>
      </c>
      <c r="E8" s="354">
        <v>598482</v>
      </c>
      <c r="F8" s="354">
        <v>615556</v>
      </c>
      <c r="G8" s="354">
        <v>639429</v>
      </c>
      <c r="H8" s="354">
        <v>659459</v>
      </c>
      <c r="I8" s="354">
        <v>650638</v>
      </c>
      <c r="J8" s="354">
        <v>639517</v>
      </c>
      <c r="K8" s="354">
        <v>636329</v>
      </c>
      <c r="L8" s="354">
        <v>667361</v>
      </c>
      <c r="M8" s="354">
        <v>675754</v>
      </c>
      <c r="O8" s="644">
        <f>+C8/$C$5*100</f>
        <v>22.168850824595921</v>
      </c>
      <c r="P8" s="644">
        <f>+M8/$M$5*100</f>
        <v>19.364892596049444</v>
      </c>
    </row>
    <row r="9" spans="1:16" s="118" customFormat="1" ht="12.75" customHeight="1">
      <c r="A9" s="106"/>
      <c r="B9" s="105" t="s">
        <v>88</v>
      </c>
      <c r="C9" s="355">
        <v>72788</v>
      </c>
      <c r="D9" s="355">
        <v>74615</v>
      </c>
      <c r="E9" s="355">
        <v>75933</v>
      </c>
      <c r="F9" s="355">
        <v>77704</v>
      </c>
      <c r="G9" s="355">
        <v>79619</v>
      </c>
      <c r="H9" s="355">
        <v>79921</v>
      </c>
      <c r="I9" s="355">
        <v>80556</v>
      </c>
      <c r="J9" s="355">
        <v>78649</v>
      </c>
      <c r="K9" s="355">
        <v>77825</v>
      </c>
      <c r="L9" s="355">
        <v>81302</v>
      </c>
      <c r="M9" s="355">
        <v>82509</v>
      </c>
      <c r="O9" s="644">
        <f t="shared" ref="O9:O40" si="0">+C9/$C$5*100</f>
        <v>2.8480918551490877</v>
      </c>
      <c r="P9" s="644">
        <f t="shared" ref="P9:P40" si="1">+M9/$M$5*100</f>
        <v>2.3644372407820651</v>
      </c>
    </row>
    <row r="10" spans="1:16" s="118" customFormat="1" ht="12.75" customHeight="1">
      <c r="A10" s="106"/>
      <c r="B10" s="105" t="s">
        <v>89</v>
      </c>
      <c r="C10" s="355">
        <v>11682</v>
      </c>
      <c r="D10" s="355">
        <v>11814</v>
      </c>
      <c r="E10" s="355">
        <v>11868</v>
      </c>
      <c r="F10" s="355">
        <v>12215</v>
      </c>
      <c r="G10" s="355">
        <v>12419</v>
      </c>
      <c r="H10" s="355">
        <v>13246</v>
      </c>
      <c r="I10" s="355">
        <v>13756</v>
      </c>
      <c r="J10" s="355">
        <v>12984</v>
      </c>
      <c r="K10" s="355">
        <v>12838</v>
      </c>
      <c r="L10" s="355">
        <v>13817</v>
      </c>
      <c r="M10" s="355">
        <v>14153</v>
      </c>
      <c r="O10" s="644">
        <f t="shared" si="0"/>
        <v>0.45710019579946759</v>
      </c>
      <c r="P10" s="644">
        <f t="shared" si="1"/>
        <v>0.40557854620451783</v>
      </c>
    </row>
    <row r="11" spans="1:16" s="118" customFormat="1" ht="12.75" customHeight="1">
      <c r="A11" s="106"/>
      <c r="B11" s="105" t="s">
        <v>90</v>
      </c>
      <c r="C11" s="355">
        <v>432</v>
      </c>
      <c r="D11" s="355">
        <v>448</v>
      </c>
      <c r="E11" s="355">
        <v>517</v>
      </c>
      <c r="F11" s="355">
        <v>482</v>
      </c>
      <c r="G11" s="355">
        <v>495</v>
      </c>
      <c r="H11" s="355">
        <v>484</v>
      </c>
      <c r="I11" s="355">
        <v>488</v>
      </c>
      <c r="J11" s="355">
        <v>487</v>
      </c>
      <c r="K11" s="355">
        <v>465</v>
      </c>
      <c r="L11" s="355">
        <v>471</v>
      </c>
      <c r="M11" s="355">
        <v>455</v>
      </c>
      <c r="O11" s="644">
        <f t="shared" si="0"/>
        <v>1.6903551154371681E-2</v>
      </c>
      <c r="P11" s="644">
        <f t="shared" si="1"/>
        <v>1.3038807215647255E-2</v>
      </c>
    </row>
    <row r="12" spans="1:16" s="118" customFormat="1" ht="12.75" customHeight="1">
      <c r="A12" s="106"/>
      <c r="B12" s="105" t="s">
        <v>0</v>
      </c>
      <c r="C12" s="355">
        <v>40676</v>
      </c>
      <c r="D12" s="355">
        <v>41824</v>
      </c>
      <c r="E12" s="355">
        <v>42910</v>
      </c>
      <c r="F12" s="355">
        <v>42135</v>
      </c>
      <c r="G12" s="355">
        <v>42600</v>
      </c>
      <c r="H12" s="355">
        <v>43189</v>
      </c>
      <c r="I12" s="355">
        <v>41474</v>
      </c>
      <c r="J12" s="355">
        <v>40066</v>
      </c>
      <c r="K12" s="355">
        <v>40372</v>
      </c>
      <c r="L12" s="355">
        <v>42726</v>
      </c>
      <c r="M12" s="355">
        <v>42213</v>
      </c>
      <c r="O12" s="644">
        <f t="shared" si="0"/>
        <v>1.5915945526741262</v>
      </c>
      <c r="P12" s="644">
        <f t="shared" si="1"/>
        <v>1.2096860857013574</v>
      </c>
    </row>
    <row r="13" spans="1:16" s="118" customFormat="1" ht="12.75" customHeight="1">
      <c r="A13" s="106"/>
      <c r="B13" s="105" t="s">
        <v>91</v>
      </c>
      <c r="C13" s="355">
        <v>72574</v>
      </c>
      <c r="D13" s="355">
        <v>77085</v>
      </c>
      <c r="E13" s="355">
        <v>78730</v>
      </c>
      <c r="F13" s="355">
        <v>79880</v>
      </c>
      <c r="G13" s="355">
        <v>80607</v>
      </c>
      <c r="H13" s="355">
        <v>79392</v>
      </c>
      <c r="I13" s="355">
        <v>73192</v>
      </c>
      <c r="J13" s="355">
        <v>69965</v>
      </c>
      <c r="K13" s="355">
        <v>67155</v>
      </c>
      <c r="L13" s="355">
        <v>69672</v>
      </c>
      <c r="M13" s="355">
        <v>66874</v>
      </c>
      <c r="O13" s="644">
        <f t="shared" si="0"/>
        <v>2.8397183367531724</v>
      </c>
      <c r="P13" s="644">
        <f t="shared" si="1"/>
        <v>1.9163894367894385</v>
      </c>
    </row>
    <row r="14" spans="1:16" s="118" customFormat="1" ht="12.75" customHeight="1">
      <c r="A14" s="106"/>
      <c r="B14" s="105" t="s">
        <v>146</v>
      </c>
      <c r="C14" s="355">
        <v>44898</v>
      </c>
      <c r="D14" s="355">
        <v>47431</v>
      </c>
      <c r="E14" s="355">
        <v>47504</v>
      </c>
      <c r="F14" s="355">
        <v>49072</v>
      </c>
      <c r="G14" s="355">
        <v>49394</v>
      </c>
      <c r="H14" s="355">
        <v>48101</v>
      </c>
      <c r="I14" s="355">
        <v>44197</v>
      </c>
      <c r="J14" s="355">
        <v>42179</v>
      </c>
      <c r="K14" s="355">
        <v>42028</v>
      </c>
      <c r="L14" s="355">
        <v>44151</v>
      </c>
      <c r="M14" s="355">
        <v>40997</v>
      </c>
      <c r="O14" s="644">
        <f t="shared" si="0"/>
        <v>1.7567954623356012</v>
      </c>
      <c r="P14" s="644">
        <f t="shared" si="1"/>
        <v>1.1748395152085507</v>
      </c>
    </row>
    <row r="15" spans="1:16" s="118" customFormat="1" ht="12.75" customHeight="1">
      <c r="A15" s="106"/>
      <c r="B15" s="105" t="s">
        <v>147</v>
      </c>
      <c r="C15" s="355">
        <v>23544</v>
      </c>
      <c r="D15" s="355">
        <v>23825</v>
      </c>
      <c r="E15" s="355">
        <v>24278</v>
      </c>
      <c r="F15" s="355">
        <v>24256</v>
      </c>
      <c r="G15" s="355">
        <v>24754</v>
      </c>
      <c r="H15" s="355">
        <v>25549</v>
      </c>
      <c r="I15" s="355">
        <v>25543</v>
      </c>
      <c r="J15" s="355">
        <v>24550</v>
      </c>
      <c r="K15" s="355">
        <v>24481</v>
      </c>
      <c r="L15" s="355">
        <v>25724</v>
      </c>
      <c r="M15" s="355">
        <v>26253</v>
      </c>
      <c r="O15" s="644">
        <f t="shared" si="0"/>
        <v>0.92124353791325653</v>
      </c>
      <c r="P15" s="644">
        <f t="shared" si="1"/>
        <v>0.75232484798326904</v>
      </c>
    </row>
    <row r="16" spans="1:16" s="118" customFormat="1" ht="12.75" customHeight="1">
      <c r="A16" s="106"/>
      <c r="B16" s="105" t="s">
        <v>148</v>
      </c>
      <c r="C16" s="355">
        <v>10737</v>
      </c>
      <c r="D16" s="355">
        <v>10847</v>
      </c>
      <c r="E16" s="355">
        <v>10539</v>
      </c>
      <c r="F16" s="355">
        <v>11104</v>
      </c>
      <c r="G16" s="355">
        <v>11561</v>
      </c>
      <c r="H16" s="355">
        <v>12847</v>
      </c>
      <c r="I16" s="355">
        <v>12747</v>
      </c>
      <c r="J16" s="355">
        <v>13114</v>
      </c>
      <c r="K16" s="355">
        <v>13211</v>
      </c>
      <c r="L16" s="355">
        <v>13751</v>
      </c>
      <c r="M16" s="355">
        <v>13955</v>
      </c>
      <c r="O16" s="644">
        <f t="shared" si="0"/>
        <v>0.42012367764927949</v>
      </c>
      <c r="P16" s="644">
        <f t="shared" si="1"/>
        <v>0.39990451581177466</v>
      </c>
    </row>
    <row r="17" spans="1:16" s="118" customFormat="1" ht="12.75" customHeight="1">
      <c r="A17" s="106"/>
      <c r="B17" s="105" t="s">
        <v>149</v>
      </c>
      <c r="C17" s="355">
        <v>12810</v>
      </c>
      <c r="D17" s="355">
        <v>12847</v>
      </c>
      <c r="E17" s="355">
        <v>12797</v>
      </c>
      <c r="F17" s="355">
        <v>12836</v>
      </c>
      <c r="G17" s="355">
        <v>12885</v>
      </c>
      <c r="H17" s="355">
        <v>12704</v>
      </c>
      <c r="I17" s="355">
        <v>12087</v>
      </c>
      <c r="J17" s="355">
        <v>11683</v>
      </c>
      <c r="K17" s="355">
        <v>11406</v>
      </c>
      <c r="L17" s="355">
        <v>11948</v>
      </c>
      <c r="M17" s="355">
        <v>11580</v>
      </c>
      <c r="O17" s="644">
        <f t="shared" si="0"/>
        <v>0.50123724603588249</v>
      </c>
      <c r="P17" s="644">
        <f t="shared" si="1"/>
        <v>0.33184480781801151</v>
      </c>
    </row>
    <row r="18" spans="1:16" s="118" customFormat="1" ht="12.75" customHeight="1">
      <c r="A18" s="106"/>
      <c r="B18" s="105" t="s">
        <v>150</v>
      </c>
      <c r="C18" s="355">
        <v>2072</v>
      </c>
      <c r="D18" s="355">
        <v>1982</v>
      </c>
      <c r="E18" s="355">
        <v>1852</v>
      </c>
      <c r="F18" s="355">
        <v>1850</v>
      </c>
      <c r="G18" s="355">
        <v>1816</v>
      </c>
      <c r="H18" s="355">
        <v>1812</v>
      </c>
      <c r="I18" s="355">
        <v>1737</v>
      </c>
      <c r="J18" s="355">
        <v>1597</v>
      </c>
      <c r="K18" s="355">
        <v>1318</v>
      </c>
      <c r="L18" s="355">
        <v>1449</v>
      </c>
      <c r="M18" s="355">
        <v>1504</v>
      </c>
      <c r="O18" s="644">
        <f t="shared" si="0"/>
        <v>8.1074439795967873E-2</v>
      </c>
      <c r="P18" s="644">
        <f t="shared" si="1"/>
        <v>4.3099705609524114E-2</v>
      </c>
    </row>
    <row r="19" spans="1:16" s="118" customFormat="1" ht="12.75" customHeight="1">
      <c r="A19" s="106"/>
      <c r="B19" s="105" t="s">
        <v>151</v>
      </c>
      <c r="C19" s="355">
        <v>11049</v>
      </c>
      <c r="D19" s="355">
        <v>11214</v>
      </c>
      <c r="E19" s="355">
        <v>11337</v>
      </c>
      <c r="F19" s="355">
        <v>11725</v>
      </c>
      <c r="G19" s="355">
        <v>11746</v>
      </c>
      <c r="H19" s="355">
        <v>12212</v>
      </c>
      <c r="I19" s="355">
        <v>11991</v>
      </c>
      <c r="J19" s="355">
        <v>12152</v>
      </c>
      <c r="K19" s="355">
        <v>12604</v>
      </c>
      <c r="L19" s="355">
        <v>13066</v>
      </c>
      <c r="M19" s="355">
        <v>13264</v>
      </c>
      <c r="O19" s="644">
        <f t="shared" si="0"/>
        <v>0.43233179792743681</v>
      </c>
      <c r="P19" s="644">
        <f t="shared" si="1"/>
        <v>0.38010272287548397</v>
      </c>
    </row>
    <row r="20" spans="1:16" s="118" customFormat="1" ht="12.75" customHeight="1">
      <c r="A20" s="106"/>
      <c r="B20" s="105" t="s">
        <v>160</v>
      </c>
      <c r="C20" s="355">
        <v>6198</v>
      </c>
      <c r="D20" s="355">
        <v>6419</v>
      </c>
      <c r="E20" s="355">
        <v>6654</v>
      </c>
      <c r="F20" s="355">
        <v>7072</v>
      </c>
      <c r="G20" s="355">
        <v>7606</v>
      </c>
      <c r="H20" s="355">
        <v>8271</v>
      </c>
      <c r="I20" s="355">
        <v>8946</v>
      </c>
      <c r="J20" s="355">
        <v>9437</v>
      </c>
      <c r="K20" s="355">
        <v>9677</v>
      </c>
      <c r="L20" s="355">
        <v>10327</v>
      </c>
      <c r="M20" s="355">
        <v>10862</v>
      </c>
      <c r="O20" s="644">
        <f t="shared" si="0"/>
        <v>0.24251900475647145</v>
      </c>
      <c r="P20" s="644">
        <f t="shared" si="1"/>
        <v>0.31126928346452859</v>
      </c>
    </row>
    <row r="21" spans="1:16" s="118" customFormat="1" ht="12.75" customHeight="1">
      <c r="A21" s="106"/>
      <c r="B21" s="105" t="s">
        <v>152</v>
      </c>
      <c r="C21" s="355">
        <v>22411</v>
      </c>
      <c r="D21" s="355">
        <v>23382</v>
      </c>
      <c r="E21" s="355">
        <v>24581</v>
      </c>
      <c r="F21" s="355">
        <v>25547</v>
      </c>
      <c r="G21" s="355">
        <v>27653</v>
      </c>
      <c r="H21" s="355">
        <v>28666</v>
      </c>
      <c r="I21" s="355">
        <v>29832</v>
      </c>
      <c r="J21" s="355">
        <v>30199</v>
      </c>
      <c r="K21" s="355">
        <v>29926</v>
      </c>
      <c r="L21" s="355">
        <v>28544</v>
      </c>
      <c r="M21" s="355">
        <v>28541</v>
      </c>
      <c r="O21" s="644">
        <f t="shared" si="0"/>
        <v>0.87691084472366598</v>
      </c>
      <c r="P21" s="644">
        <f t="shared" si="1"/>
        <v>0.81789142141052373</v>
      </c>
    </row>
    <row r="22" spans="1:16" s="118" customFormat="1" ht="12.75" customHeight="1">
      <c r="A22" s="106"/>
      <c r="B22" s="105" t="s">
        <v>159</v>
      </c>
      <c r="C22" s="355">
        <v>34345</v>
      </c>
      <c r="D22" s="355">
        <v>34935</v>
      </c>
      <c r="E22" s="355">
        <v>35393</v>
      </c>
      <c r="F22" s="355">
        <v>36342</v>
      </c>
      <c r="G22" s="355">
        <v>37733</v>
      </c>
      <c r="H22" s="355">
        <v>38276</v>
      </c>
      <c r="I22" s="355">
        <v>38270</v>
      </c>
      <c r="J22" s="355">
        <v>38700</v>
      </c>
      <c r="K22" s="355">
        <v>40168</v>
      </c>
      <c r="L22" s="355">
        <v>40818</v>
      </c>
      <c r="M22" s="355">
        <v>41111</v>
      </c>
      <c r="O22" s="644">
        <f t="shared" si="0"/>
        <v>1.3438714453631837</v>
      </c>
      <c r="P22" s="644">
        <f t="shared" si="1"/>
        <v>1.1781063811922514</v>
      </c>
    </row>
    <row r="23" spans="1:16" s="118" customFormat="1" ht="12.75" customHeight="1">
      <c r="A23" s="106"/>
      <c r="B23" s="105" t="s">
        <v>92</v>
      </c>
      <c r="C23" s="355">
        <v>7867</v>
      </c>
      <c r="D23" s="355">
        <v>7896</v>
      </c>
      <c r="E23" s="355">
        <v>8121</v>
      </c>
      <c r="F23" s="355">
        <v>8310</v>
      </c>
      <c r="G23" s="355">
        <v>8791</v>
      </c>
      <c r="H23" s="355">
        <v>8753</v>
      </c>
      <c r="I23" s="355">
        <v>8994</v>
      </c>
      <c r="J23" s="355">
        <v>8862</v>
      </c>
      <c r="K23" s="355">
        <v>9138</v>
      </c>
      <c r="L23" s="355">
        <v>9391</v>
      </c>
      <c r="M23" s="355">
        <v>9200</v>
      </c>
      <c r="O23" s="644">
        <f t="shared" si="0"/>
        <v>0.30782462252648618</v>
      </c>
      <c r="P23" s="644">
        <f t="shared" si="1"/>
        <v>0.26364181622847199</v>
      </c>
    </row>
    <row r="24" spans="1:16" s="118" customFormat="1" ht="12.75" customHeight="1">
      <c r="A24" s="106"/>
      <c r="B24" s="105" t="s">
        <v>157</v>
      </c>
      <c r="C24" s="355">
        <v>65163</v>
      </c>
      <c r="D24" s="355">
        <v>66933</v>
      </c>
      <c r="E24" s="355">
        <v>69079</v>
      </c>
      <c r="F24" s="355">
        <v>72491</v>
      </c>
      <c r="G24" s="355">
        <v>75996</v>
      </c>
      <c r="H24" s="355">
        <v>80055</v>
      </c>
      <c r="I24" s="355">
        <v>80462</v>
      </c>
      <c r="J24" s="355">
        <v>80997</v>
      </c>
      <c r="K24" s="355">
        <v>81797</v>
      </c>
      <c r="L24" s="355">
        <v>86266</v>
      </c>
      <c r="M24" s="355">
        <v>88417</v>
      </c>
      <c r="O24" s="644">
        <f t="shared" si="0"/>
        <v>2.5497363515563003</v>
      </c>
      <c r="P24" s="644">
        <f t="shared" si="1"/>
        <v>2.5337411375513921</v>
      </c>
    </row>
    <row r="25" spans="1:16" s="118" customFormat="1" ht="12.75" customHeight="1">
      <c r="A25" s="106"/>
      <c r="B25" s="105" t="s">
        <v>158</v>
      </c>
      <c r="C25" s="355">
        <v>9018</v>
      </c>
      <c r="D25" s="355">
        <v>9627</v>
      </c>
      <c r="E25" s="355">
        <v>9466</v>
      </c>
      <c r="F25" s="355">
        <v>9894</v>
      </c>
      <c r="G25" s="355">
        <v>11097</v>
      </c>
      <c r="H25" s="355">
        <v>12182</v>
      </c>
      <c r="I25" s="355">
        <v>12736</v>
      </c>
      <c r="J25" s="355">
        <v>12550</v>
      </c>
      <c r="K25" s="355">
        <v>12284</v>
      </c>
      <c r="L25" s="355">
        <v>12614</v>
      </c>
      <c r="M25" s="355">
        <v>13751</v>
      </c>
      <c r="O25" s="644">
        <f t="shared" si="0"/>
        <v>0.35286163034750884</v>
      </c>
      <c r="P25" s="644">
        <f t="shared" si="1"/>
        <v>0.39405854510409977</v>
      </c>
    </row>
    <row r="26" spans="1:16" s="118" customFormat="1" ht="12.75" customHeight="1">
      <c r="A26" s="106"/>
      <c r="B26" s="105" t="s">
        <v>153</v>
      </c>
      <c r="C26" s="355">
        <v>16895</v>
      </c>
      <c r="D26" s="355">
        <v>15645</v>
      </c>
      <c r="E26" s="355">
        <v>17501</v>
      </c>
      <c r="F26" s="355">
        <v>17302</v>
      </c>
      <c r="G26" s="355">
        <v>18400</v>
      </c>
      <c r="H26" s="355">
        <v>19235</v>
      </c>
      <c r="I26" s="355">
        <v>17947</v>
      </c>
      <c r="J26" s="355">
        <v>19219</v>
      </c>
      <c r="K26" s="355">
        <v>18297</v>
      </c>
      <c r="L26" s="355">
        <v>21199</v>
      </c>
      <c r="M26" s="355">
        <v>22491</v>
      </c>
      <c r="O26" s="644">
        <f t="shared" si="0"/>
        <v>0.66107753878034614</v>
      </c>
      <c r="P26" s="644">
        <f t="shared" si="1"/>
        <v>0.64451827052114818</v>
      </c>
    </row>
    <row r="27" spans="1:16" s="118" customFormat="1" ht="12.75" customHeight="1">
      <c r="A27" s="106"/>
      <c r="B27" s="105" t="s">
        <v>161</v>
      </c>
      <c r="C27" s="355">
        <v>18983</v>
      </c>
      <c r="D27" s="355">
        <v>20331</v>
      </c>
      <c r="E27" s="355">
        <v>21309</v>
      </c>
      <c r="F27" s="355">
        <v>21378</v>
      </c>
      <c r="G27" s="355">
        <v>22227</v>
      </c>
      <c r="H27" s="355">
        <v>23169</v>
      </c>
      <c r="I27" s="355">
        <v>23425</v>
      </c>
      <c r="J27" s="355">
        <v>23519</v>
      </c>
      <c r="K27" s="355">
        <v>23685</v>
      </c>
      <c r="L27" s="355">
        <v>24837</v>
      </c>
      <c r="M27" s="355">
        <v>25205</v>
      </c>
      <c r="O27" s="644">
        <f t="shared" si="0"/>
        <v>0.74277803602647596</v>
      </c>
      <c r="P27" s="644">
        <f t="shared" si="1"/>
        <v>0.72229260630854741</v>
      </c>
    </row>
    <row r="28" spans="1:16" s="118" customFormat="1" ht="12.75" customHeight="1">
      <c r="A28" s="106"/>
      <c r="B28" s="105" t="s">
        <v>154</v>
      </c>
      <c r="C28" s="355">
        <v>26846</v>
      </c>
      <c r="D28" s="355">
        <v>27289</v>
      </c>
      <c r="E28" s="355">
        <v>28445</v>
      </c>
      <c r="F28" s="355">
        <v>31757</v>
      </c>
      <c r="G28" s="355">
        <v>35600</v>
      </c>
      <c r="H28" s="355">
        <v>41536</v>
      </c>
      <c r="I28" s="355">
        <v>41668</v>
      </c>
      <c r="J28" s="355">
        <v>39890</v>
      </c>
      <c r="K28" s="355">
        <v>39290</v>
      </c>
      <c r="L28" s="355">
        <v>39255</v>
      </c>
      <c r="M28" s="355">
        <v>42945</v>
      </c>
      <c r="O28" s="644">
        <f t="shared" si="0"/>
        <v>1.0504461441904216</v>
      </c>
      <c r="P28" s="644">
        <f t="shared" si="1"/>
        <v>1.2306628041230141</v>
      </c>
    </row>
    <row r="29" spans="1:16" s="130" customFormat="1" ht="12.75" customHeight="1">
      <c r="A29" s="106"/>
      <c r="B29" s="105" t="s">
        <v>162</v>
      </c>
      <c r="C29" s="355">
        <v>3671</v>
      </c>
      <c r="D29" s="355">
        <v>3291</v>
      </c>
      <c r="E29" s="355">
        <v>3760</v>
      </c>
      <c r="F29" s="355">
        <v>4182</v>
      </c>
      <c r="G29" s="355">
        <v>4492</v>
      </c>
      <c r="H29" s="355">
        <v>5262</v>
      </c>
      <c r="I29" s="355">
        <v>6046</v>
      </c>
      <c r="J29" s="355">
        <v>5574</v>
      </c>
      <c r="K29" s="355">
        <v>6375</v>
      </c>
      <c r="L29" s="355">
        <v>7995</v>
      </c>
      <c r="M29" s="355">
        <v>7503</v>
      </c>
      <c r="O29" s="644">
        <f t="shared" si="0"/>
        <v>0.14364105622152418</v>
      </c>
      <c r="P29" s="644">
        <f t="shared" si="1"/>
        <v>0.21501136382198102</v>
      </c>
    </row>
    <row r="30" spans="1:16" s="118" customFormat="1" ht="12.75" customHeight="1">
      <c r="A30" s="106"/>
      <c r="B30" s="105" t="s">
        <v>155</v>
      </c>
      <c r="C30" s="355">
        <v>24704</v>
      </c>
      <c r="D30" s="355">
        <v>25702</v>
      </c>
      <c r="E30" s="355">
        <v>26443</v>
      </c>
      <c r="F30" s="355">
        <v>27558</v>
      </c>
      <c r="G30" s="355">
        <v>29080</v>
      </c>
      <c r="H30" s="355">
        <v>30030</v>
      </c>
      <c r="I30" s="355">
        <v>29697</v>
      </c>
      <c r="J30" s="355">
        <v>30230</v>
      </c>
      <c r="K30" s="355">
        <v>29482</v>
      </c>
      <c r="L30" s="355">
        <v>32012</v>
      </c>
      <c r="M30" s="355">
        <v>32710</v>
      </c>
      <c r="O30" s="644">
        <f t="shared" si="0"/>
        <v>0.96663270304999538</v>
      </c>
      <c r="P30" s="644">
        <f t="shared" si="1"/>
        <v>0.93736128356883897</v>
      </c>
    </row>
    <row r="31" spans="1:16" s="118" customFormat="1" ht="12.75" customHeight="1">
      <c r="A31" s="106"/>
      <c r="B31" s="105" t="s">
        <v>156</v>
      </c>
      <c r="C31" s="355">
        <v>10264</v>
      </c>
      <c r="D31" s="355">
        <v>10734</v>
      </c>
      <c r="E31" s="355">
        <v>11469</v>
      </c>
      <c r="F31" s="355">
        <v>11853</v>
      </c>
      <c r="G31" s="355">
        <v>12746</v>
      </c>
      <c r="H31" s="355">
        <v>12933</v>
      </c>
      <c r="I31" s="355">
        <v>12752</v>
      </c>
      <c r="J31" s="355">
        <v>13044</v>
      </c>
      <c r="K31" s="355">
        <v>11505</v>
      </c>
      <c r="L31" s="355">
        <v>14067</v>
      </c>
      <c r="M31" s="355">
        <v>15747</v>
      </c>
      <c r="O31" s="644">
        <f t="shared" si="0"/>
        <v>0.40161585427886792</v>
      </c>
      <c r="P31" s="644">
        <f t="shared" si="1"/>
        <v>0.45125735653801619</v>
      </c>
    </row>
    <row r="32" spans="1:16" s="118" customFormat="1" ht="12.75" customHeight="1">
      <c r="A32" s="106"/>
      <c r="B32" s="105" t="s">
        <v>163</v>
      </c>
      <c r="C32" s="355">
        <v>16937</v>
      </c>
      <c r="D32" s="355">
        <v>17569</v>
      </c>
      <c r="E32" s="355">
        <v>17996</v>
      </c>
      <c r="F32" s="355">
        <v>18611</v>
      </c>
      <c r="G32" s="355">
        <v>20112</v>
      </c>
      <c r="H32" s="355">
        <v>21634</v>
      </c>
      <c r="I32" s="355">
        <v>22095</v>
      </c>
      <c r="J32" s="355">
        <v>19870</v>
      </c>
      <c r="K32" s="355">
        <v>21002</v>
      </c>
      <c r="L32" s="355">
        <v>21959</v>
      </c>
      <c r="M32" s="355">
        <v>23514</v>
      </c>
      <c r="O32" s="644">
        <f t="shared" si="0"/>
        <v>0.66272093958702116</v>
      </c>
      <c r="P32" s="644">
        <f t="shared" si="1"/>
        <v>0.67383409421698814</v>
      </c>
    </row>
    <row r="33" spans="1:16" s="118" customFormat="1" ht="16.5" customHeight="1">
      <c r="A33" s="208" t="s">
        <v>76</v>
      </c>
      <c r="B33" s="326" t="s">
        <v>164</v>
      </c>
      <c r="C33" s="354">
        <v>6642</v>
      </c>
      <c r="D33" s="354">
        <v>6369</v>
      </c>
      <c r="E33" s="354">
        <v>6704</v>
      </c>
      <c r="F33" s="354">
        <v>6470</v>
      </c>
      <c r="G33" s="354">
        <v>6573</v>
      </c>
      <c r="H33" s="354">
        <v>6821</v>
      </c>
      <c r="I33" s="354">
        <v>6807</v>
      </c>
      <c r="J33" s="354">
        <v>6753</v>
      </c>
      <c r="K33" s="354">
        <v>6643</v>
      </c>
      <c r="L33" s="354">
        <v>6615</v>
      </c>
      <c r="M33" s="354">
        <v>7038</v>
      </c>
      <c r="O33" s="644">
        <f t="shared" si="0"/>
        <v>0.2598920989984646</v>
      </c>
      <c r="P33" s="644">
        <f t="shared" si="1"/>
        <v>0.20168598941478105</v>
      </c>
    </row>
    <row r="34" spans="1:16" s="118" customFormat="1" ht="12.75" customHeight="1">
      <c r="A34" s="208" t="s">
        <v>77</v>
      </c>
      <c r="B34" s="326" t="s">
        <v>173</v>
      </c>
      <c r="C34" s="354">
        <v>20721</v>
      </c>
      <c r="D34" s="354">
        <v>20728</v>
      </c>
      <c r="E34" s="354">
        <v>21233</v>
      </c>
      <c r="F34" s="354">
        <v>22585</v>
      </c>
      <c r="G34" s="354">
        <v>23439</v>
      </c>
      <c r="H34" s="354">
        <v>23927</v>
      </c>
      <c r="I34" s="354">
        <v>25301</v>
      </c>
      <c r="J34" s="354">
        <v>26123</v>
      </c>
      <c r="K34" s="354">
        <v>27869</v>
      </c>
      <c r="L34" s="354">
        <v>29036</v>
      </c>
      <c r="M34" s="354">
        <v>29674</v>
      </c>
      <c r="O34" s="644">
        <f t="shared" si="0"/>
        <v>0.81078352655031394</v>
      </c>
      <c r="P34" s="644">
        <f t="shared" si="1"/>
        <v>0.85035948421344332</v>
      </c>
    </row>
    <row r="35" spans="1:16" s="118" customFormat="1" ht="12.75" customHeight="1">
      <c r="A35" s="208" t="s">
        <v>78</v>
      </c>
      <c r="B35" s="326" t="s">
        <v>79</v>
      </c>
      <c r="C35" s="354">
        <v>197944</v>
      </c>
      <c r="D35" s="354">
        <v>197951</v>
      </c>
      <c r="E35" s="354">
        <v>198073</v>
      </c>
      <c r="F35" s="354">
        <v>203068</v>
      </c>
      <c r="G35" s="354">
        <v>215365</v>
      </c>
      <c r="H35" s="354">
        <v>227394</v>
      </c>
      <c r="I35" s="354">
        <v>241160</v>
      </c>
      <c r="J35" s="354">
        <v>254572</v>
      </c>
      <c r="K35" s="354">
        <v>256768</v>
      </c>
      <c r="L35" s="354">
        <v>277485</v>
      </c>
      <c r="M35" s="354">
        <v>300958</v>
      </c>
      <c r="O35" s="644">
        <f t="shared" si="0"/>
        <v>7.7452697446781213</v>
      </c>
      <c r="P35" s="644">
        <f t="shared" si="1"/>
        <v>8.624468883531355</v>
      </c>
    </row>
    <row r="36" spans="1:16" s="118" customFormat="1" ht="12.75" customHeight="1">
      <c r="A36" s="208" t="s">
        <v>80</v>
      </c>
      <c r="B36" s="326" t="s">
        <v>174</v>
      </c>
      <c r="C36" s="354">
        <v>501601</v>
      </c>
      <c r="D36" s="354">
        <v>513639</v>
      </c>
      <c r="E36" s="354">
        <v>528110</v>
      </c>
      <c r="F36" s="354">
        <v>541723</v>
      </c>
      <c r="G36" s="354">
        <v>556229</v>
      </c>
      <c r="H36" s="354">
        <v>571387</v>
      </c>
      <c r="I36" s="354">
        <v>585267</v>
      </c>
      <c r="J36" s="354">
        <v>572866</v>
      </c>
      <c r="K36" s="354">
        <v>579715</v>
      </c>
      <c r="L36" s="354">
        <v>606424</v>
      </c>
      <c r="M36" s="354">
        <v>624971</v>
      </c>
      <c r="O36" s="644">
        <f t="shared" si="0"/>
        <v>19.626940191166643</v>
      </c>
      <c r="P36" s="644">
        <f t="shared" si="1"/>
        <v>17.909618427187432</v>
      </c>
    </row>
    <row r="37" spans="1:16" s="118" customFormat="1" ht="12.75" customHeight="1">
      <c r="A37" s="208" t="s">
        <v>53</v>
      </c>
      <c r="B37" s="326" t="s">
        <v>93</v>
      </c>
      <c r="C37" s="354">
        <v>124544</v>
      </c>
      <c r="D37" s="354">
        <v>130835</v>
      </c>
      <c r="E37" s="354">
        <v>134827</v>
      </c>
      <c r="F37" s="354">
        <v>140298</v>
      </c>
      <c r="G37" s="354">
        <v>147627</v>
      </c>
      <c r="H37" s="354">
        <v>153184</v>
      </c>
      <c r="I37" s="354">
        <v>154795</v>
      </c>
      <c r="J37" s="354">
        <v>153703</v>
      </c>
      <c r="K37" s="354">
        <v>150030</v>
      </c>
      <c r="L37" s="354">
        <v>157420</v>
      </c>
      <c r="M37" s="354">
        <v>167296</v>
      </c>
      <c r="O37" s="644">
        <f t="shared" si="0"/>
        <v>4.8732311920603388</v>
      </c>
      <c r="P37" s="644">
        <f t="shared" si="1"/>
        <v>4.7941544877998314</v>
      </c>
    </row>
    <row r="38" spans="1:16" s="118" customFormat="1" ht="12.75" customHeight="1">
      <c r="A38" s="208" t="s">
        <v>10</v>
      </c>
      <c r="B38" s="326" t="s">
        <v>165</v>
      </c>
      <c r="C38" s="354">
        <v>184439</v>
      </c>
      <c r="D38" s="354">
        <v>193103</v>
      </c>
      <c r="E38" s="354">
        <v>207980</v>
      </c>
      <c r="F38" s="354">
        <v>223137</v>
      </c>
      <c r="G38" s="354">
        <v>243205</v>
      </c>
      <c r="H38" s="354">
        <v>261730</v>
      </c>
      <c r="I38" s="354">
        <v>270796</v>
      </c>
      <c r="J38" s="354">
        <v>233699</v>
      </c>
      <c r="K38" s="354">
        <v>239745</v>
      </c>
      <c r="L38" s="354">
        <v>279781</v>
      </c>
      <c r="M38" s="354">
        <v>307448</v>
      </c>
      <c r="O38" s="644">
        <f t="shared" si="0"/>
        <v>7.2168381281508296</v>
      </c>
      <c r="P38" s="644">
        <f t="shared" si="1"/>
        <v>8.8104509908490503</v>
      </c>
    </row>
    <row r="39" spans="1:16" ht="12.75" customHeight="1">
      <c r="A39" s="208" t="s">
        <v>81</v>
      </c>
      <c r="B39" s="326" t="s">
        <v>171</v>
      </c>
      <c r="C39" s="354">
        <v>68157</v>
      </c>
      <c r="D39" s="354">
        <v>71993</v>
      </c>
      <c r="E39" s="354">
        <v>72956</v>
      </c>
      <c r="F39" s="354">
        <v>77039</v>
      </c>
      <c r="G39" s="354">
        <v>83632</v>
      </c>
      <c r="H39" s="354">
        <v>91709</v>
      </c>
      <c r="I39" s="354">
        <v>99727</v>
      </c>
      <c r="J39" s="354">
        <v>107652</v>
      </c>
      <c r="K39" s="354">
        <v>114093</v>
      </c>
      <c r="L39" s="354">
        <v>132730</v>
      </c>
      <c r="M39" s="354">
        <v>136036</v>
      </c>
      <c r="O39" s="644">
        <f t="shared" si="0"/>
        <v>2.6668873519178486</v>
      </c>
      <c r="P39" s="644">
        <f t="shared" si="1"/>
        <v>3.8983454470061325</v>
      </c>
    </row>
    <row r="40" spans="1:16" ht="12.75" customHeight="1">
      <c r="A40" s="208" t="s">
        <v>82</v>
      </c>
      <c r="B40" s="326" t="s">
        <v>166</v>
      </c>
      <c r="C40" s="354">
        <v>83701</v>
      </c>
      <c r="D40" s="354">
        <v>82983</v>
      </c>
      <c r="E40" s="354">
        <v>81189</v>
      </c>
      <c r="F40" s="354">
        <v>79408</v>
      </c>
      <c r="G40" s="354">
        <v>78025</v>
      </c>
      <c r="H40" s="354">
        <v>78807</v>
      </c>
      <c r="I40" s="354">
        <v>72314</v>
      </c>
      <c r="J40" s="354">
        <v>78746</v>
      </c>
      <c r="K40" s="354">
        <v>77632</v>
      </c>
      <c r="L40" s="354">
        <v>80352</v>
      </c>
      <c r="M40" s="354">
        <v>83710</v>
      </c>
      <c r="O40" s="644">
        <f t="shared" si="0"/>
        <v>3.2751021647501481</v>
      </c>
      <c r="P40" s="644">
        <f t="shared" si="1"/>
        <v>2.3988539604875423</v>
      </c>
    </row>
    <row r="41" spans="1:16" ht="12.75" customHeight="1">
      <c r="A41" s="208" t="s">
        <v>83</v>
      </c>
      <c r="B41" s="326" t="s">
        <v>103</v>
      </c>
      <c r="C41" s="354">
        <v>18455</v>
      </c>
      <c r="D41" s="354">
        <v>19960</v>
      </c>
      <c r="E41" s="354">
        <v>21488</v>
      </c>
      <c r="F41" s="354">
        <v>22728</v>
      </c>
      <c r="G41" s="354">
        <v>25240</v>
      </c>
      <c r="H41" s="354">
        <v>28146</v>
      </c>
      <c r="I41" s="354">
        <v>29700</v>
      </c>
      <c r="J41" s="354">
        <v>30554</v>
      </c>
      <c r="K41" s="354">
        <v>32205</v>
      </c>
      <c r="L41" s="354">
        <v>35036</v>
      </c>
      <c r="M41" s="354">
        <v>37963</v>
      </c>
      <c r="O41" s="644">
        <f t="shared" ref="O41:O47" si="2">+C41/$C$5*100</f>
        <v>0.72211814017113285</v>
      </c>
      <c r="P41" s="644">
        <f t="shared" ref="P41:P47" si="3">+M41/$M$5*100</f>
        <v>1.0878950292914655</v>
      </c>
    </row>
    <row r="42" spans="1:16" ht="12.75" customHeight="1">
      <c r="A42" s="208" t="s">
        <v>54</v>
      </c>
      <c r="B42" s="326" t="s">
        <v>175</v>
      </c>
      <c r="C42" s="354">
        <v>111886</v>
      </c>
      <c r="D42" s="354">
        <v>120671</v>
      </c>
      <c r="E42" s="354">
        <v>125288</v>
      </c>
      <c r="F42" s="354">
        <v>127354</v>
      </c>
      <c r="G42" s="354">
        <v>128982</v>
      </c>
      <c r="H42" s="354">
        <v>139971</v>
      </c>
      <c r="I42" s="354">
        <v>148924</v>
      </c>
      <c r="J42" s="354">
        <v>150763</v>
      </c>
      <c r="K42" s="354">
        <v>156464</v>
      </c>
      <c r="L42" s="354">
        <v>177058</v>
      </c>
      <c r="M42" s="354">
        <v>191467</v>
      </c>
      <c r="O42" s="644">
        <f t="shared" si="2"/>
        <v>4.3779414918009945</v>
      </c>
      <c r="P42" s="644">
        <f t="shared" si="3"/>
        <v>5.4868160465018319</v>
      </c>
    </row>
    <row r="43" spans="1:16" ht="12.75" customHeight="1">
      <c r="A43" s="208" t="s">
        <v>85</v>
      </c>
      <c r="B43" s="326" t="s">
        <v>169</v>
      </c>
      <c r="C43" s="354">
        <v>230370</v>
      </c>
      <c r="D43" s="354">
        <v>243964</v>
      </c>
      <c r="E43" s="354">
        <v>251590</v>
      </c>
      <c r="F43" s="354">
        <v>273459</v>
      </c>
      <c r="G43" s="354">
        <v>299479</v>
      </c>
      <c r="H43" s="354">
        <v>298771</v>
      </c>
      <c r="I43" s="354">
        <v>299376</v>
      </c>
      <c r="J43" s="354">
        <v>291316</v>
      </c>
      <c r="K43" s="354">
        <v>280916</v>
      </c>
      <c r="L43" s="354">
        <v>313802</v>
      </c>
      <c r="M43" s="354">
        <v>329658</v>
      </c>
      <c r="O43" s="644">
        <f t="shared" si="2"/>
        <v>9.0140534246125092</v>
      </c>
      <c r="P43" s="644">
        <f t="shared" si="3"/>
        <v>9.4469167232875666</v>
      </c>
    </row>
    <row r="44" spans="1:16" ht="12.75" customHeight="1">
      <c r="A44" s="208" t="s">
        <v>86</v>
      </c>
      <c r="B44" s="326" t="s">
        <v>170</v>
      </c>
      <c r="C44" s="354">
        <v>10265</v>
      </c>
      <c r="D44" s="354">
        <v>10823</v>
      </c>
      <c r="E44" s="354">
        <v>10646</v>
      </c>
      <c r="F44" s="354">
        <v>10719</v>
      </c>
      <c r="G44" s="354">
        <v>11285</v>
      </c>
      <c r="H44" s="354">
        <v>11658</v>
      </c>
      <c r="I44" s="354">
        <v>11877</v>
      </c>
      <c r="J44" s="354">
        <v>12408</v>
      </c>
      <c r="K44" s="354">
        <v>12061</v>
      </c>
      <c r="L44" s="354">
        <v>13207</v>
      </c>
      <c r="M44" s="354">
        <v>14299</v>
      </c>
      <c r="O44" s="644">
        <f t="shared" si="2"/>
        <v>0.40165498286950307</v>
      </c>
      <c r="P44" s="644">
        <f t="shared" si="3"/>
        <v>0.40976242720118705</v>
      </c>
    </row>
    <row r="45" spans="1:16" ht="12.75" customHeight="1">
      <c r="A45" s="208" t="s">
        <v>94</v>
      </c>
      <c r="B45" s="326" t="s">
        <v>84</v>
      </c>
      <c r="C45" s="354">
        <v>53165</v>
      </c>
      <c r="D45" s="354">
        <v>53776</v>
      </c>
      <c r="E45" s="354">
        <v>56603</v>
      </c>
      <c r="F45" s="354">
        <v>56595</v>
      </c>
      <c r="G45" s="354">
        <v>56216</v>
      </c>
      <c r="H45" s="354">
        <v>60367</v>
      </c>
      <c r="I45" s="354">
        <v>60849</v>
      </c>
      <c r="J45" s="354">
        <v>62433</v>
      </c>
      <c r="K45" s="354">
        <v>61474</v>
      </c>
      <c r="L45" s="354">
        <v>64779</v>
      </c>
      <c r="M45" s="354">
        <v>69358</v>
      </c>
      <c r="O45" s="644">
        <f t="shared" si="2"/>
        <v>2.0802715211161353</v>
      </c>
      <c r="P45" s="644">
        <f t="shared" si="3"/>
        <v>1.9875727271711261</v>
      </c>
    </row>
    <row r="46" spans="1:16" ht="12.75" customHeight="1">
      <c r="A46" s="208" t="s">
        <v>87</v>
      </c>
      <c r="B46" s="326" t="s">
        <v>141</v>
      </c>
      <c r="C46" s="354">
        <v>222574</v>
      </c>
      <c r="D46" s="354">
        <v>229330</v>
      </c>
      <c r="E46" s="354">
        <v>241051</v>
      </c>
      <c r="F46" s="354">
        <v>254988</v>
      </c>
      <c r="G46" s="354">
        <v>265423</v>
      </c>
      <c r="H46" s="354">
        <v>271575</v>
      </c>
      <c r="I46" s="354">
        <v>278424</v>
      </c>
      <c r="J46" s="354">
        <v>289188</v>
      </c>
      <c r="K46" s="354">
        <v>295748</v>
      </c>
      <c r="L46" s="354">
        <v>309107</v>
      </c>
      <c r="M46" s="354">
        <v>319140</v>
      </c>
      <c r="O46" s="644">
        <f t="shared" si="2"/>
        <v>8.7090069320211168</v>
      </c>
      <c r="P46" s="644">
        <f t="shared" si="3"/>
        <v>9.1455053512124511</v>
      </c>
    </row>
    <row r="47" spans="1:16" ht="12.75" customHeight="1">
      <c r="A47" s="208" t="s">
        <v>95</v>
      </c>
      <c r="B47" s="326" t="s">
        <v>167</v>
      </c>
      <c r="C47" s="354">
        <v>21362</v>
      </c>
      <c r="D47" s="354">
        <v>20524</v>
      </c>
      <c r="E47" s="354">
        <v>22785</v>
      </c>
      <c r="F47" s="354">
        <v>23892</v>
      </c>
      <c r="G47" s="354">
        <v>26109</v>
      </c>
      <c r="H47" s="354">
        <v>28777</v>
      </c>
      <c r="I47" s="354">
        <v>30427</v>
      </c>
      <c r="J47" s="354">
        <v>28691</v>
      </c>
      <c r="K47" s="354">
        <v>31034</v>
      </c>
      <c r="L47" s="354">
        <v>33359</v>
      </c>
      <c r="M47" s="354">
        <v>36709</v>
      </c>
      <c r="O47" s="644">
        <f t="shared" si="2"/>
        <v>0.83586495314742559</v>
      </c>
      <c r="P47" s="644">
        <f t="shared" si="3"/>
        <v>1.0519595034707585</v>
      </c>
    </row>
    <row r="48" spans="1:16" ht="12.75" customHeight="1">
      <c r="A48" s="208" t="s">
        <v>96</v>
      </c>
      <c r="B48" s="326" t="s">
        <v>104</v>
      </c>
      <c r="C48" s="354">
        <v>67041</v>
      </c>
      <c r="D48" s="354">
        <v>67966</v>
      </c>
      <c r="E48" s="354">
        <v>65669</v>
      </c>
      <c r="F48" s="354">
        <v>66238</v>
      </c>
      <c r="G48" s="354">
        <v>64042</v>
      </c>
      <c r="H48" s="354">
        <v>66801</v>
      </c>
      <c r="I48" s="354">
        <v>63852</v>
      </c>
      <c r="J48" s="354">
        <v>61955</v>
      </c>
      <c r="K48" s="354">
        <v>60477</v>
      </c>
      <c r="L48" s="354">
        <v>63987</v>
      </c>
      <c r="M48" s="354">
        <v>63846</v>
      </c>
    </row>
    <row r="49" spans="1:13" ht="12.75" customHeight="1">
      <c r="A49" s="36" t="s">
        <v>97</v>
      </c>
      <c r="B49" s="37" t="s">
        <v>168</v>
      </c>
      <c r="C49" s="356">
        <v>83</v>
      </c>
      <c r="D49" s="356">
        <v>93</v>
      </c>
      <c r="E49" s="356">
        <v>91</v>
      </c>
      <c r="F49" s="356">
        <v>106</v>
      </c>
      <c r="G49" s="356">
        <v>95</v>
      </c>
      <c r="H49" s="356">
        <v>97</v>
      </c>
      <c r="I49" s="356">
        <v>102</v>
      </c>
      <c r="J49" s="356">
        <v>119</v>
      </c>
      <c r="K49" s="356">
        <v>107</v>
      </c>
      <c r="L49" s="356">
        <v>125</v>
      </c>
      <c r="M49" s="356">
        <v>145</v>
      </c>
    </row>
    <row r="50" spans="1:13" ht="15" customHeight="1">
      <c r="A50" s="21" t="s">
        <v>138</v>
      </c>
      <c r="B50" s="10"/>
      <c r="C50" s="7"/>
      <c r="D50" s="181"/>
      <c r="E50" s="181"/>
      <c r="F50" s="7"/>
      <c r="G50" s="7"/>
      <c r="H50" s="7"/>
      <c r="I50" s="7"/>
      <c r="J50" s="7"/>
      <c r="K50" s="7"/>
      <c r="L50" s="7"/>
      <c r="M50" s="7"/>
    </row>
    <row r="51" spans="1:13" ht="21" customHeight="1">
      <c r="B51" s="209"/>
    </row>
  </sheetData>
  <mergeCells count="1">
    <mergeCell ref="A1:M1"/>
  </mergeCells>
  <phoneticPr fontId="25" type="noConversion"/>
  <conditionalFormatting sqref="A1 A2:B5 C2:G3 A51:G1048576 C4:E4 A50:E50 C5:J49 N1:XFD7 N48:XFD1048576 N8:N47 Q8:XFD47">
    <cfRule type="cellIs" dxfId="866" priority="34" operator="equal">
      <formula>0</formula>
    </cfRule>
  </conditionalFormatting>
  <conditionalFormatting sqref="F4:G4">
    <cfRule type="cellIs" dxfId="865" priority="31" operator="equal">
      <formula>0</formula>
    </cfRule>
  </conditionalFormatting>
  <conditionalFormatting sqref="F50:G50">
    <cfRule type="cellIs" dxfId="864" priority="30" operator="equal">
      <formula>0</formula>
    </cfRule>
  </conditionalFormatting>
  <conditionalFormatting sqref="J2:J3 J51:J1048576">
    <cfRule type="cellIs" dxfId="863" priority="28" operator="equal">
      <formula>0</formula>
    </cfRule>
  </conditionalFormatting>
  <conditionalFormatting sqref="J4">
    <cfRule type="cellIs" dxfId="862" priority="27" operator="equal">
      <formula>0</formula>
    </cfRule>
  </conditionalFormatting>
  <conditionalFormatting sqref="J50">
    <cfRule type="cellIs" dxfId="861" priority="26" operator="equal">
      <formula>0</formula>
    </cfRule>
  </conditionalFormatting>
  <conditionalFormatting sqref="H2:H3 H51:H1048576">
    <cfRule type="cellIs" dxfId="860" priority="24" operator="equal">
      <formula>0</formula>
    </cfRule>
  </conditionalFormatting>
  <conditionalFormatting sqref="H4">
    <cfRule type="cellIs" dxfId="859" priority="23" operator="equal">
      <formula>0</formula>
    </cfRule>
  </conditionalFormatting>
  <conditionalFormatting sqref="H50">
    <cfRule type="cellIs" dxfId="858" priority="22" operator="equal">
      <formula>0</formula>
    </cfRule>
  </conditionalFormatting>
  <conditionalFormatting sqref="I2:I3 I51:I1048576">
    <cfRule type="cellIs" dxfId="857" priority="19" operator="equal">
      <formula>0</formula>
    </cfRule>
  </conditionalFormatting>
  <conditionalFormatting sqref="I4">
    <cfRule type="cellIs" dxfId="856" priority="18" operator="equal">
      <formula>0</formula>
    </cfRule>
  </conditionalFormatting>
  <conditionalFormatting sqref="I50">
    <cfRule type="cellIs" dxfId="855" priority="17" operator="equal">
      <formula>0</formula>
    </cfRule>
  </conditionalFormatting>
  <conditionalFormatting sqref="K50">
    <cfRule type="cellIs" dxfId="854" priority="13" operator="equal">
      <formula>0</formula>
    </cfRule>
  </conditionalFormatting>
  <conditionalFormatting sqref="K6:K49">
    <cfRule type="cellIs" dxfId="853" priority="16" operator="equal">
      <formula>0</formula>
    </cfRule>
  </conditionalFormatting>
  <conditionalFormatting sqref="K2:K3 K51:K1048576">
    <cfRule type="cellIs" dxfId="852" priority="15" operator="equal">
      <formula>0</formula>
    </cfRule>
  </conditionalFormatting>
  <conditionalFormatting sqref="K4">
    <cfRule type="cellIs" dxfId="851" priority="14" operator="equal">
      <formula>0</formula>
    </cfRule>
  </conditionalFormatting>
  <conditionalFormatting sqref="L50">
    <cfRule type="cellIs" dxfId="850" priority="9" operator="equal">
      <formula>0</formula>
    </cfRule>
  </conditionalFormatting>
  <conditionalFormatting sqref="L6:L49">
    <cfRule type="cellIs" dxfId="849" priority="12" operator="equal">
      <formula>0</formula>
    </cfRule>
  </conditionalFormatting>
  <conditionalFormatting sqref="L2:L3 L51:L1048576">
    <cfRule type="cellIs" dxfId="848" priority="11" operator="equal">
      <formula>0</formula>
    </cfRule>
  </conditionalFormatting>
  <conditionalFormatting sqref="L4">
    <cfRule type="cellIs" dxfId="847" priority="10" operator="equal">
      <formula>0</formula>
    </cfRule>
  </conditionalFormatting>
  <conditionalFormatting sqref="K5">
    <cfRule type="cellIs" dxfId="846" priority="7" operator="equal">
      <formula>0</formula>
    </cfRule>
  </conditionalFormatting>
  <conditionalFormatting sqref="L5">
    <cfRule type="cellIs" dxfId="845" priority="6" operator="equal">
      <formula>0</formula>
    </cfRule>
  </conditionalFormatting>
  <conditionalFormatting sqref="M50">
    <cfRule type="cellIs" dxfId="844" priority="2" operator="equal">
      <formula>0</formula>
    </cfRule>
  </conditionalFormatting>
  <conditionalFormatting sqref="M6:M49">
    <cfRule type="cellIs" dxfId="843" priority="5" operator="equal">
      <formula>0</formula>
    </cfRule>
  </conditionalFormatting>
  <conditionalFormatting sqref="M2:M3 M51:M1048576">
    <cfRule type="cellIs" dxfId="842" priority="4" operator="equal">
      <formula>0</formula>
    </cfRule>
  </conditionalFormatting>
  <conditionalFormatting sqref="M4">
    <cfRule type="cellIs" dxfId="841" priority="3" operator="equal">
      <formula>0</formula>
    </cfRule>
  </conditionalFormatting>
  <conditionalFormatting sqref="M5">
    <cfRule type="cellIs" dxfId="84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8" orientation="portrait" r:id="rId1"/>
  <headerFooter>
    <oddHeader>&amp;C&amp;G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21">
    <tabColor indexed="25"/>
    <pageSetUpPr fitToPage="1"/>
  </sheetPr>
  <dimension ref="A1:L29"/>
  <sheetViews>
    <sheetView showGridLines="0" workbookViewId="0">
      <selection sqref="A1:L1"/>
    </sheetView>
  </sheetViews>
  <sheetFormatPr defaultColWidth="9.140625" defaultRowHeight="11.25"/>
  <cols>
    <col min="1" max="1" width="17.140625" style="8" customWidth="1"/>
    <col min="2" max="12" width="7.5703125" style="29" customWidth="1"/>
    <col min="13" max="16384" width="9.140625" style="8"/>
  </cols>
  <sheetData>
    <row r="1" spans="1:12" s="23" customFormat="1" ht="28.5" customHeight="1">
      <c r="A1" s="794" t="s">
        <v>642</v>
      </c>
      <c r="B1" s="794"/>
      <c r="C1" s="794"/>
      <c r="D1" s="794"/>
      <c r="E1" s="794"/>
      <c r="F1" s="794"/>
      <c r="G1" s="794"/>
      <c r="H1" s="794"/>
      <c r="I1" s="794"/>
      <c r="J1" s="794"/>
      <c r="K1" s="794"/>
      <c r="L1" s="794"/>
    </row>
    <row r="2" spans="1:12" ht="15" customHeight="1">
      <c r="A2" s="24"/>
      <c r="B2" s="24"/>
      <c r="C2" s="24"/>
      <c r="D2" s="24"/>
      <c r="E2" s="24"/>
      <c r="F2" s="24"/>
      <c r="G2" s="24"/>
      <c r="H2" s="24"/>
      <c r="I2" s="24"/>
      <c r="J2" s="24"/>
      <c r="K2" s="24"/>
      <c r="L2" s="24"/>
    </row>
    <row r="3" spans="1:12" ht="15" customHeight="1">
      <c r="A3" s="25" t="s">
        <v>14</v>
      </c>
      <c r="B3" s="24"/>
      <c r="C3" s="24"/>
      <c r="D3" s="24"/>
      <c r="E3" s="24"/>
      <c r="F3" s="24"/>
      <c r="G3" s="24"/>
      <c r="H3" s="24"/>
      <c r="I3" s="24"/>
      <c r="J3" s="24"/>
      <c r="K3" s="24"/>
      <c r="L3" s="24"/>
    </row>
    <row r="4" spans="1:12" ht="28.5" customHeight="1" thickBot="1">
      <c r="A4" s="26"/>
      <c r="B4" s="26">
        <v>2013</v>
      </c>
      <c r="C4" s="26">
        <v>2014</v>
      </c>
      <c r="D4" s="26">
        <v>2015</v>
      </c>
      <c r="E4" s="26">
        <v>2016</v>
      </c>
      <c r="F4" s="26">
        <v>2017</v>
      </c>
      <c r="G4" s="26">
        <v>2018</v>
      </c>
      <c r="H4" s="26">
        <v>2019</v>
      </c>
      <c r="I4" s="26">
        <v>2020</v>
      </c>
      <c r="J4" s="26">
        <v>2021</v>
      </c>
      <c r="K4" s="26">
        <v>2022</v>
      </c>
      <c r="L4" s="26">
        <v>2023</v>
      </c>
    </row>
    <row r="5" spans="1:12" ht="20.25" customHeight="1" thickTop="1">
      <c r="A5" s="54" t="s">
        <v>12</v>
      </c>
      <c r="B5" s="357">
        <v>2555676</v>
      </c>
      <c r="C5" s="357">
        <v>2636881</v>
      </c>
      <c r="D5" s="357">
        <v>2716011</v>
      </c>
      <c r="E5" s="357">
        <v>2819978</v>
      </c>
      <c r="F5" s="357">
        <v>2946903</v>
      </c>
      <c r="G5" s="357">
        <v>3060489</v>
      </c>
      <c r="H5" s="357">
        <v>3110949</v>
      </c>
      <c r="I5" s="357">
        <v>3085566</v>
      </c>
      <c r="J5" s="357">
        <v>3102345</v>
      </c>
      <c r="K5" s="357">
        <v>3337082</v>
      </c>
      <c r="L5" s="357">
        <v>3489583</v>
      </c>
    </row>
    <row r="6" spans="1:12" ht="20.25" customHeight="1">
      <c r="A6" s="434" t="s">
        <v>32</v>
      </c>
      <c r="B6" s="358">
        <v>444303</v>
      </c>
      <c r="C6" s="358">
        <v>449006</v>
      </c>
      <c r="D6" s="358">
        <v>451803</v>
      </c>
      <c r="E6" s="358">
        <v>454121</v>
      </c>
      <c r="F6" s="358">
        <v>452417</v>
      </c>
      <c r="G6" s="358">
        <v>454619</v>
      </c>
      <c r="H6" s="358">
        <v>439733</v>
      </c>
      <c r="I6" s="358">
        <v>448843</v>
      </c>
      <c r="J6" s="358">
        <v>438683</v>
      </c>
      <c r="K6" s="358">
        <v>451936</v>
      </c>
      <c r="L6" s="358">
        <v>458737</v>
      </c>
    </row>
    <row r="7" spans="1:12" ht="15" customHeight="1">
      <c r="A7" s="434" t="s">
        <v>33</v>
      </c>
      <c r="B7" s="358">
        <v>362732</v>
      </c>
      <c r="C7" s="358">
        <v>368712</v>
      </c>
      <c r="D7" s="358">
        <v>377162</v>
      </c>
      <c r="E7" s="358">
        <v>386671</v>
      </c>
      <c r="F7" s="358">
        <v>397238</v>
      </c>
      <c r="G7" s="358">
        <v>406492</v>
      </c>
      <c r="H7" s="358">
        <v>406143</v>
      </c>
      <c r="I7" s="358">
        <v>404233</v>
      </c>
      <c r="J7" s="358">
        <v>398986</v>
      </c>
      <c r="K7" s="358">
        <v>421133</v>
      </c>
      <c r="L7" s="358">
        <v>434489</v>
      </c>
    </row>
    <row r="8" spans="1:12" ht="15" customHeight="1">
      <c r="A8" s="434" t="s">
        <v>34</v>
      </c>
      <c r="B8" s="358">
        <v>330636</v>
      </c>
      <c r="C8" s="358">
        <v>343342</v>
      </c>
      <c r="D8" s="358">
        <v>354293</v>
      </c>
      <c r="E8" s="358">
        <v>365201</v>
      </c>
      <c r="F8" s="358">
        <v>383522</v>
      </c>
      <c r="G8" s="358">
        <v>401357</v>
      </c>
      <c r="H8" s="358">
        <v>409110</v>
      </c>
      <c r="I8" s="358">
        <v>400157</v>
      </c>
      <c r="J8" s="358">
        <v>401868</v>
      </c>
      <c r="K8" s="358">
        <v>431686</v>
      </c>
      <c r="L8" s="358">
        <v>451340</v>
      </c>
    </row>
    <row r="9" spans="1:12" ht="15" customHeight="1">
      <c r="A9" s="434" t="s">
        <v>35</v>
      </c>
      <c r="B9" s="358">
        <v>423867</v>
      </c>
      <c r="C9" s="358">
        <v>437660</v>
      </c>
      <c r="D9" s="358">
        <v>454971</v>
      </c>
      <c r="E9" s="358">
        <v>473205</v>
      </c>
      <c r="F9" s="358">
        <v>496645</v>
      </c>
      <c r="G9" s="358">
        <v>515248</v>
      </c>
      <c r="H9" s="358">
        <v>527523</v>
      </c>
      <c r="I9" s="358">
        <v>522962</v>
      </c>
      <c r="J9" s="358">
        <v>530709</v>
      </c>
      <c r="K9" s="358">
        <v>572567</v>
      </c>
      <c r="L9" s="358">
        <v>604764</v>
      </c>
    </row>
    <row r="10" spans="1:12" ht="15" customHeight="1">
      <c r="A10" s="434" t="s">
        <v>36</v>
      </c>
      <c r="B10" s="358">
        <v>276061</v>
      </c>
      <c r="C10" s="358">
        <v>284359</v>
      </c>
      <c r="D10" s="358">
        <v>300215</v>
      </c>
      <c r="E10" s="358">
        <v>315576</v>
      </c>
      <c r="F10" s="358">
        <v>328764</v>
      </c>
      <c r="G10" s="358">
        <v>346248</v>
      </c>
      <c r="H10" s="358">
        <v>357624</v>
      </c>
      <c r="I10" s="358">
        <v>356334</v>
      </c>
      <c r="J10" s="358">
        <v>360932</v>
      </c>
      <c r="K10" s="358">
        <v>393972</v>
      </c>
      <c r="L10" s="358">
        <v>413628</v>
      </c>
    </row>
    <row r="11" spans="1:12" ht="15" customHeight="1">
      <c r="A11" s="434" t="s">
        <v>37</v>
      </c>
      <c r="B11" s="358">
        <v>140451</v>
      </c>
      <c r="C11" s="358">
        <v>148023</v>
      </c>
      <c r="D11" s="358">
        <v>142086</v>
      </c>
      <c r="E11" s="358">
        <v>148366</v>
      </c>
      <c r="F11" s="358">
        <v>155487</v>
      </c>
      <c r="G11" s="358">
        <v>162423</v>
      </c>
      <c r="H11" s="358">
        <v>166497</v>
      </c>
      <c r="I11" s="358">
        <v>163234</v>
      </c>
      <c r="J11" s="358">
        <v>168483</v>
      </c>
      <c r="K11" s="358">
        <v>182719</v>
      </c>
      <c r="L11" s="358">
        <v>195084</v>
      </c>
    </row>
    <row r="12" spans="1:12" ht="15" customHeight="1">
      <c r="A12" s="434" t="s">
        <v>38</v>
      </c>
      <c r="B12" s="358">
        <v>91789</v>
      </c>
      <c r="C12" s="358">
        <v>90218</v>
      </c>
      <c r="D12" s="358">
        <v>96734</v>
      </c>
      <c r="E12" s="358">
        <v>99251</v>
      </c>
      <c r="F12" s="358">
        <v>101661</v>
      </c>
      <c r="G12" s="358">
        <v>110765</v>
      </c>
      <c r="H12" s="358">
        <v>111651</v>
      </c>
      <c r="I12" s="358">
        <v>104871</v>
      </c>
      <c r="J12" s="358">
        <v>112676</v>
      </c>
      <c r="K12" s="358">
        <v>126418</v>
      </c>
      <c r="L12" s="358">
        <v>129961</v>
      </c>
    </row>
    <row r="13" spans="1:12" ht="15" customHeight="1">
      <c r="A13" s="434" t="s">
        <v>39</v>
      </c>
      <c r="B13" s="358">
        <v>59508</v>
      </c>
      <c r="C13" s="358">
        <v>64078</v>
      </c>
      <c r="D13" s="358">
        <v>67068</v>
      </c>
      <c r="E13" s="358">
        <v>69419</v>
      </c>
      <c r="F13" s="358">
        <v>78519</v>
      </c>
      <c r="G13" s="358">
        <v>80663</v>
      </c>
      <c r="H13" s="358">
        <v>81016</v>
      </c>
      <c r="I13" s="358">
        <v>81434</v>
      </c>
      <c r="J13" s="358">
        <v>82744</v>
      </c>
      <c r="K13" s="358">
        <v>91087</v>
      </c>
      <c r="L13" s="358">
        <v>94319</v>
      </c>
    </row>
    <row r="14" spans="1:12" ht="15" customHeight="1">
      <c r="A14" s="434" t="s">
        <v>40</v>
      </c>
      <c r="B14" s="358">
        <v>162537</v>
      </c>
      <c r="C14" s="358">
        <v>156617</v>
      </c>
      <c r="D14" s="358">
        <v>172526</v>
      </c>
      <c r="E14" s="358">
        <v>186358</v>
      </c>
      <c r="F14" s="358">
        <v>200357</v>
      </c>
      <c r="G14" s="358">
        <v>212187</v>
      </c>
      <c r="H14" s="358">
        <v>214194</v>
      </c>
      <c r="I14" s="358">
        <v>206670</v>
      </c>
      <c r="J14" s="358">
        <v>211582</v>
      </c>
      <c r="K14" s="358">
        <v>228130</v>
      </c>
      <c r="L14" s="358">
        <v>242712</v>
      </c>
    </row>
    <row r="15" spans="1:12" ht="15" customHeight="1">
      <c r="A15" s="434" t="s">
        <v>41</v>
      </c>
      <c r="B15" s="358">
        <v>112488</v>
      </c>
      <c r="C15" s="358">
        <v>120797</v>
      </c>
      <c r="D15" s="358">
        <v>123881</v>
      </c>
      <c r="E15" s="358">
        <v>122214</v>
      </c>
      <c r="F15" s="358">
        <v>129436</v>
      </c>
      <c r="G15" s="358">
        <v>136862</v>
      </c>
      <c r="H15" s="358">
        <v>156478</v>
      </c>
      <c r="I15" s="358">
        <v>156121</v>
      </c>
      <c r="J15" s="358">
        <v>150546</v>
      </c>
      <c r="K15" s="358">
        <v>175499</v>
      </c>
      <c r="L15" s="358">
        <v>191492</v>
      </c>
    </row>
    <row r="16" spans="1:12" ht="15" customHeight="1">
      <c r="A16" s="28" t="s">
        <v>72</v>
      </c>
      <c r="B16" s="359">
        <v>149085</v>
      </c>
      <c r="C16" s="359">
        <v>171677</v>
      </c>
      <c r="D16" s="359">
        <v>173315</v>
      </c>
      <c r="E16" s="359">
        <v>197602</v>
      </c>
      <c r="F16" s="359">
        <v>220941</v>
      </c>
      <c r="G16" s="359">
        <v>231785</v>
      </c>
      <c r="H16" s="359">
        <v>238681</v>
      </c>
      <c r="I16" s="359">
        <v>237134</v>
      </c>
      <c r="J16" s="359">
        <v>242765</v>
      </c>
      <c r="K16" s="359">
        <v>259677</v>
      </c>
      <c r="L16" s="359">
        <v>270683</v>
      </c>
    </row>
    <row r="17" spans="1:12" ht="15" customHeight="1">
      <c r="A17" s="333" t="s">
        <v>201</v>
      </c>
      <c r="B17" s="334"/>
      <c r="C17" s="334"/>
      <c r="D17" s="334"/>
      <c r="E17" s="326"/>
      <c r="F17" s="326"/>
      <c r="G17" s="326"/>
      <c r="H17" s="326"/>
      <c r="I17" s="326"/>
      <c r="J17" s="326"/>
      <c r="K17" s="326"/>
      <c r="L17" s="326"/>
    </row>
    <row r="18" spans="1:12" s="4" customFormat="1" ht="15" customHeight="1">
      <c r="A18" s="21" t="s">
        <v>139</v>
      </c>
      <c r="B18" s="27"/>
      <c r="C18" s="27"/>
      <c r="D18" s="27"/>
      <c r="E18" s="27"/>
      <c r="F18" s="27"/>
      <c r="G18" s="27"/>
      <c r="H18" s="27"/>
      <c r="I18" s="27"/>
      <c r="J18" s="27"/>
      <c r="K18" s="27"/>
      <c r="L18" s="27"/>
    </row>
    <row r="19" spans="1:12">
      <c r="A19" s="166"/>
      <c r="B19" s="166"/>
      <c r="C19" s="166"/>
      <c r="D19" s="166"/>
      <c r="E19" s="166"/>
      <c r="F19" s="166"/>
      <c r="G19" s="166"/>
      <c r="H19" s="166"/>
      <c r="I19" s="166"/>
      <c r="J19" s="166"/>
      <c r="K19" s="166"/>
      <c r="L19" s="166"/>
    </row>
    <row r="20" spans="1:12">
      <c r="A20" s="166"/>
      <c r="B20" s="166"/>
      <c r="C20" s="166"/>
      <c r="D20" s="166"/>
      <c r="E20" s="166"/>
      <c r="F20" s="166"/>
      <c r="G20" s="166"/>
      <c r="H20" s="166"/>
      <c r="I20" s="166"/>
      <c r="J20" s="166"/>
      <c r="K20" s="166"/>
      <c r="L20" s="166"/>
    </row>
    <row r="21" spans="1:12">
      <c r="A21" s="166"/>
      <c r="B21" s="641">
        <f>SUM(B6:B9)</f>
        <v>1561538</v>
      </c>
      <c r="C21" s="641">
        <f t="shared" ref="C21:L21" si="0">SUM(C6:C9)</f>
        <v>1598720</v>
      </c>
      <c r="D21" s="641">
        <f t="shared" si="0"/>
        <v>1638229</v>
      </c>
      <c r="E21" s="641">
        <f t="shared" si="0"/>
        <v>1679198</v>
      </c>
      <c r="F21" s="641">
        <f t="shared" si="0"/>
        <v>1729822</v>
      </c>
      <c r="G21" s="641">
        <f t="shared" si="0"/>
        <v>1777716</v>
      </c>
      <c r="H21" s="641">
        <f t="shared" si="0"/>
        <v>1782509</v>
      </c>
      <c r="I21" s="641">
        <f t="shared" si="0"/>
        <v>1776195</v>
      </c>
      <c r="J21" s="641">
        <f t="shared" si="0"/>
        <v>1770246</v>
      </c>
      <c r="K21" s="641">
        <f t="shared" si="0"/>
        <v>1877322</v>
      </c>
      <c r="L21" s="641">
        <f t="shared" si="0"/>
        <v>1949330</v>
      </c>
    </row>
    <row r="22" spans="1:12">
      <c r="A22" s="166"/>
      <c r="B22" s="642">
        <f>+B21/B5*100</f>
        <v>61.100781163183434</v>
      </c>
      <c r="C22" s="642">
        <f t="shared" ref="C22:L22" si="1">+C21/C5*100</f>
        <v>60.629205489364132</v>
      </c>
      <c r="D22" s="642">
        <f t="shared" si="1"/>
        <v>60.317465577274909</v>
      </c>
      <c r="E22" s="642">
        <f t="shared" si="1"/>
        <v>59.546492915902185</v>
      </c>
      <c r="F22" s="642">
        <f t="shared" si="1"/>
        <v>58.699658590730678</v>
      </c>
      <c r="G22" s="642">
        <f t="shared" si="1"/>
        <v>58.086011745181899</v>
      </c>
      <c r="H22" s="642">
        <f t="shared" si="1"/>
        <v>57.297917773643988</v>
      </c>
      <c r="I22" s="642">
        <f t="shared" si="1"/>
        <v>57.564641300818067</v>
      </c>
      <c r="J22" s="642">
        <f t="shared" si="1"/>
        <v>57.061545379382373</v>
      </c>
      <c r="K22" s="642">
        <f t="shared" si="1"/>
        <v>56.256394059240975</v>
      </c>
      <c r="L22" s="642">
        <f t="shared" si="1"/>
        <v>55.861402350939926</v>
      </c>
    </row>
    <row r="23" spans="1:12">
      <c r="A23" s="166"/>
      <c r="B23" s="8"/>
      <c r="C23" s="8"/>
      <c r="D23" s="8"/>
      <c r="E23" s="8"/>
      <c r="F23" s="8"/>
      <c r="G23" s="8"/>
      <c r="H23" s="8"/>
      <c r="I23" s="8"/>
      <c r="J23" s="8"/>
      <c r="K23" s="8"/>
      <c r="L23" s="8"/>
    </row>
    <row r="24" spans="1:12">
      <c r="A24" s="166"/>
      <c r="B24" s="641">
        <f>+B6+B7</f>
        <v>807035</v>
      </c>
      <c r="C24" s="641">
        <f t="shared" ref="C24:L24" si="2">+C6+C7</f>
        <v>817718</v>
      </c>
      <c r="D24" s="641">
        <f t="shared" si="2"/>
        <v>828965</v>
      </c>
      <c r="E24" s="641">
        <f t="shared" si="2"/>
        <v>840792</v>
      </c>
      <c r="F24" s="641">
        <f t="shared" si="2"/>
        <v>849655</v>
      </c>
      <c r="G24" s="641">
        <f t="shared" si="2"/>
        <v>861111</v>
      </c>
      <c r="H24" s="641">
        <f t="shared" si="2"/>
        <v>845876</v>
      </c>
      <c r="I24" s="641">
        <f t="shared" si="2"/>
        <v>853076</v>
      </c>
      <c r="J24" s="641">
        <f t="shared" si="2"/>
        <v>837669</v>
      </c>
      <c r="K24" s="641">
        <f t="shared" si="2"/>
        <v>873069</v>
      </c>
      <c r="L24" s="641">
        <f t="shared" si="2"/>
        <v>893226</v>
      </c>
    </row>
    <row r="25" spans="1:12">
      <c r="A25" s="166"/>
      <c r="B25" s="642">
        <f>+B24/B5*100</f>
        <v>31.578142143213771</v>
      </c>
      <c r="C25" s="642">
        <f t="shared" ref="C25:L25" si="3">+C24/C5*100</f>
        <v>31.010804052211682</v>
      </c>
      <c r="D25" s="642">
        <f t="shared" si="3"/>
        <v>30.521415414002373</v>
      </c>
      <c r="E25" s="642">
        <f t="shared" si="3"/>
        <v>29.815551752531405</v>
      </c>
      <c r="F25" s="642">
        <f t="shared" si="3"/>
        <v>28.83213325990031</v>
      </c>
      <c r="G25" s="642">
        <f t="shared" si="3"/>
        <v>28.136386048111923</v>
      </c>
      <c r="H25" s="642">
        <f t="shared" si="3"/>
        <v>27.190288236804911</v>
      </c>
      <c r="I25" s="642">
        <f t="shared" si="3"/>
        <v>27.647310088327394</v>
      </c>
      <c r="J25" s="642">
        <f t="shared" si="3"/>
        <v>27.00115557747446</v>
      </c>
      <c r="K25" s="642">
        <f t="shared" si="3"/>
        <v>26.16264748663653</v>
      </c>
      <c r="L25" s="642">
        <f t="shared" si="3"/>
        <v>25.596926624184036</v>
      </c>
    </row>
    <row r="26" spans="1:12">
      <c r="A26" s="166"/>
      <c r="B26" s="8"/>
    </row>
    <row r="27" spans="1:12">
      <c r="A27" s="166"/>
      <c r="B27" s="8"/>
    </row>
    <row r="28" spans="1:12">
      <c r="A28" s="166"/>
      <c r="B28" s="641">
        <f>+B8+B9</f>
        <v>754503</v>
      </c>
      <c r="C28" s="641">
        <f t="shared" ref="C28:L28" si="4">+C8+C9</f>
        <v>781002</v>
      </c>
      <c r="D28" s="641">
        <f t="shared" si="4"/>
        <v>809264</v>
      </c>
      <c r="E28" s="641">
        <f t="shared" si="4"/>
        <v>838406</v>
      </c>
      <c r="F28" s="641">
        <f t="shared" si="4"/>
        <v>880167</v>
      </c>
      <c r="G28" s="641">
        <f t="shared" si="4"/>
        <v>916605</v>
      </c>
      <c r="H28" s="641">
        <f t="shared" si="4"/>
        <v>936633</v>
      </c>
      <c r="I28" s="641">
        <f t="shared" si="4"/>
        <v>923119</v>
      </c>
      <c r="J28" s="641">
        <f t="shared" si="4"/>
        <v>932577</v>
      </c>
      <c r="K28" s="641">
        <f t="shared" si="4"/>
        <v>1004253</v>
      </c>
      <c r="L28" s="641">
        <f t="shared" si="4"/>
        <v>1056104</v>
      </c>
    </row>
    <row r="29" spans="1:12">
      <c r="A29" s="166"/>
      <c r="B29" s="642">
        <f>+B28/B5*100</f>
        <v>29.522639019969667</v>
      </c>
      <c r="C29" s="642">
        <f t="shared" ref="C29:L29" si="5">+C28/C5*100</f>
        <v>29.618401437152453</v>
      </c>
      <c r="D29" s="642">
        <f t="shared" si="5"/>
        <v>29.796050163272536</v>
      </c>
      <c r="E29" s="642">
        <f t="shared" si="5"/>
        <v>29.730941163370776</v>
      </c>
      <c r="F29" s="642">
        <f t="shared" si="5"/>
        <v>29.867525330830368</v>
      </c>
      <c r="G29" s="642">
        <f t="shared" si="5"/>
        <v>29.949625697069976</v>
      </c>
      <c r="H29" s="642">
        <f t="shared" si="5"/>
        <v>30.107629536839081</v>
      </c>
      <c r="I29" s="642">
        <f t="shared" si="5"/>
        <v>29.917331212490673</v>
      </c>
      <c r="J29" s="642">
        <f t="shared" si="5"/>
        <v>30.06038980190791</v>
      </c>
      <c r="K29" s="642">
        <f t="shared" si="5"/>
        <v>30.093746572604452</v>
      </c>
      <c r="L29" s="642">
        <f t="shared" si="5"/>
        <v>30.26447572675589</v>
      </c>
    </row>
  </sheetData>
  <mergeCells count="1">
    <mergeCell ref="A1:L1"/>
  </mergeCells>
  <phoneticPr fontId="25" type="noConversion"/>
  <conditionalFormatting sqref="A1 A5:A17 A2:F3 A18:F20 A4:D4 B5:I16 M1:XFD1048576 A30:F1048576 A21:A29">
    <cfRule type="cellIs" dxfId="839" priority="25" operator="equal">
      <formula>0</formula>
    </cfRule>
  </conditionalFormatting>
  <conditionalFormatting sqref="M5:N5">
    <cfRule type="containsText" dxfId="838" priority="23" operator="containsText" text="FALSO">
      <formula>NOT(ISERROR(SEARCH("FALSO",M5)))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31">
    <tabColor indexed="25"/>
    <pageSetUpPr fitToPage="1"/>
  </sheetPr>
  <dimension ref="A1:AK24"/>
  <sheetViews>
    <sheetView showGridLines="0" workbookViewId="0">
      <selection sqref="A1:M1"/>
    </sheetView>
  </sheetViews>
  <sheetFormatPr defaultColWidth="9.140625" defaultRowHeight="17.45" customHeight="1"/>
  <cols>
    <col min="1" max="1" width="17.140625" style="4" customWidth="1"/>
    <col min="2" max="12" width="7.5703125" style="4" customWidth="1"/>
    <col min="13" max="14" width="5.85546875" style="4" bestFit="1" customWidth="1"/>
    <col min="15" max="16384" width="9.140625" style="4"/>
  </cols>
  <sheetData>
    <row r="1" spans="1:37" s="3" customFormat="1" ht="28.5" customHeight="1">
      <c r="A1" s="789" t="s">
        <v>643</v>
      </c>
      <c r="B1" s="789"/>
      <c r="C1" s="789"/>
      <c r="D1" s="789"/>
      <c r="E1" s="789"/>
      <c r="F1" s="789"/>
      <c r="G1" s="789"/>
      <c r="H1" s="789"/>
      <c r="I1" s="789"/>
      <c r="J1" s="789"/>
      <c r="K1" s="789"/>
      <c r="L1" s="789"/>
    </row>
    <row r="2" spans="1:37" ht="15" customHeight="1">
      <c r="A2" s="11"/>
      <c r="B2" s="10"/>
      <c r="C2" s="143"/>
      <c r="D2" s="143"/>
      <c r="E2" s="143"/>
      <c r="F2" s="143"/>
      <c r="G2" s="143"/>
      <c r="H2" s="143"/>
      <c r="I2" s="143"/>
      <c r="J2" s="143"/>
      <c r="K2" s="143"/>
      <c r="L2" s="143"/>
    </row>
    <row r="3" spans="1:37" ht="15" customHeight="1">
      <c r="A3" s="13" t="s">
        <v>14</v>
      </c>
      <c r="B3" s="10"/>
      <c r="C3" s="143"/>
      <c r="D3" s="143"/>
      <c r="E3" s="143"/>
      <c r="F3" s="143"/>
      <c r="G3" s="143"/>
      <c r="H3" s="143"/>
      <c r="I3" s="143"/>
      <c r="J3" s="143"/>
      <c r="K3" s="143"/>
      <c r="L3" s="143"/>
    </row>
    <row r="4" spans="1:37" ht="28.5" customHeight="1" thickBot="1">
      <c r="A4" s="15"/>
      <c r="B4" s="16">
        <v>2013</v>
      </c>
      <c r="C4" s="16">
        <v>2014</v>
      </c>
      <c r="D4" s="16">
        <v>2015</v>
      </c>
      <c r="E4" s="16">
        <v>2016</v>
      </c>
      <c r="F4" s="16">
        <v>2017</v>
      </c>
      <c r="G4" s="16">
        <v>2018</v>
      </c>
      <c r="H4" s="16">
        <v>2019</v>
      </c>
      <c r="I4" s="16">
        <v>2020</v>
      </c>
      <c r="J4" s="16">
        <v>2021</v>
      </c>
      <c r="K4" s="16">
        <v>2022</v>
      </c>
      <c r="L4" s="16">
        <v>2023</v>
      </c>
      <c r="O4" s="448"/>
      <c r="P4" s="648">
        <f>+B4</f>
        <v>2013</v>
      </c>
      <c r="Q4" s="648">
        <f t="shared" ref="Q4:W4" si="0">+C4</f>
        <v>2014</v>
      </c>
      <c r="R4" s="648">
        <f t="shared" si="0"/>
        <v>2015</v>
      </c>
      <c r="S4" s="648">
        <f t="shared" si="0"/>
        <v>2016</v>
      </c>
      <c r="T4" s="648">
        <f t="shared" si="0"/>
        <v>2017</v>
      </c>
      <c r="U4" s="648">
        <f t="shared" si="0"/>
        <v>2018</v>
      </c>
      <c r="V4" s="648">
        <f t="shared" si="0"/>
        <v>2019</v>
      </c>
      <c r="W4" s="648">
        <f t="shared" si="0"/>
        <v>2020</v>
      </c>
      <c r="X4" s="648">
        <f>+J4</f>
        <v>2021</v>
      </c>
      <c r="Y4" s="648">
        <f t="shared" ref="Y4:Z4" si="1">+K4</f>
        <v>2022</v>
      </c>
      <c r="Z4" s="648">
        <f t="shared" si="1"/>
        <v>2023</v>
      </c>
      <c r="AA4" s="648">
        <f>+B4</f>
        <v>2013</v>
      </c>
      <c r="AB4" s="648">
        <f t="shared" ref="AB4:AJ4" si="2">+C4</f>
        <v>2014</v>
      </c>
      <c r="AC4" s="648">
        <f t="shared" si="2"/>
        <v>2015</v>
      </c>
      <c r="AD4" s="648">
        <f t="shared" si="2"/>
        <v>2016</v>
      </c>
      <c r="AE4" s="648">
        <f t="shared" si="2"/>
        <v>2017</v>
      </c>
      <c r="AF4" s="648">
        <f t="shared" si="2"/>
        <v>2018</v>
      </c>
      <c r="AG4" s="648">
        <f t="shared" si="2"/>
        <v>2019</v>
      </c>
      <c r="AH4" s="648">
        <f t="shared" si="2"/>
        <v>2020</v>
      </c>
      <c r="AI4" s="648">
        <f t="shared" si="2"/>
        <v>2021</v>
      </c>
      <c r="AJ4" s="648">
        <f t="shared" si="2"/>
        <v>2022</v>
      </c>
      <c r="AK4" s="648">
        <f>+L4</f>
        <v>2023</v>
      </c>
    </row>
    <row r="5" spans="1:37" ht="20.25" customHeight="1" thickTop="1">
      <c r="A5" s="17" t="s">
        <v>12</v>
      </c>
      <c r="B5" s="347">
        <v>2555676</v>
      </c>
      <c r="C5" s="347">
        <v>2636881</v>
      </c>
      <c r="D5" s="347">
        <v>2716011</v>
      </c>
      <c r="E5" s="347">
        <v>2819978</v>
      </c>
      <c r="F5" s="347">
        <v>2946903</v>
      </c>
      <c r="G5" s="347">
        <v>3060489</v>
      </c>
      <c r="H5" s="347">
        <v>3110949</v>
      </c>
      <c r="I5" s="347">
        <v>3085566</v>
      </c>
      <c r="J5" s="347">
        <v>3102345</v>
      </c>
      <c r="K5" s="347">
        <v>3337082</v>
      </c>
      <c r="L5" s="347">
        <v>3489583</v>
      </c>
    </row>
    <row r="6" spans="1:37" ht="21" customHeight="1">
      <c r="A6" s="17" t="s">
        <v>15</v>
      </c>
      <c r="B6" s="348">
        <v>197532</v>
      </c>
      <c r="C6" s="348">
        <v>203446</v>
      </c>
      <c r="D6" s="348">
        <v>208145</v>
      </c>
      <c r="E6" s="348">
        <v>216490</v>
      </c>
      <c r="F6" s="348">
        <v>226181</v>
      </c>
      <c r="G6" s="348">
        <v>234445</v>
      </c>
      <c r="H6" s="348">
        <v>236315</v>
      </c>
      <c r="I6" s="348">
        <v>234063</v>
      </c>
      <c r="J6" s="348">
        <v>234211</v>
      </c>
      <c r="K6" s="348">
        <v>250317</v>
      </c>
      <c r="L6" s="348">
        <v>255866</v>
      </c>
      <c r="N6" s="647">
        <f>+(L6/B6-1)*100</f>
        <v>29.53141769434826</v>
      </c>
      <c r="O6" s="497">
        <f t="shared" ref="O6:O10" si="3">+L6-B6</f>
        <v>58334</v>
      </c>
      <c r="P6" s="647">
        <f>B6*100/B$5</f>
        <v>7.7291487653364515</v>
      </c>
      <c r="Q6" s="647">
        <f t="shared" ref="Q6:Z21" si="4">C6*100/C$5</f>
        <v>7.7154031600212525</v>
      </c>
      <c r="R6" s="647">
        <f t="shared" si="4"/>
        <v>7.6636287555536411</v>
      </c>
      <c r="S6" s="647">
        <f t="shared" si="4"/>
        <v>7.6770102461792256</v>
      </c>
      <c r="T6" s="647">
        <f t="shared" si="4"/>
        <v>7.675210212212618</v>
      </c>
      <c r="U6" s="647">
        <f t="shared" si="4"/>
        <v>7.6603771488804568</v>
      </c>
      <c r="V6" s="647">
        <f t="shared" si="4"/>
        <v>7.5962351038220168</v>
      </c>
      <c r="W6" s="647">
        <f t="shared" si="4"/>
        <v>7.5857395369277469</v>
      </c>
      <c r="X6" s="647">
        <f t="shared" si="4"/>
        <v>7.5494827299994034</v>
      </c>
      <c r="Y6" s="647">
        <f t="shared" si="4"/>
        <v>7.501074291851384</v>
      </c>
      <c r="Z6" s="647">
        <f t="shared" si="4"/>
        <v>7.3322801033819802</v>
      </c>
      <c r="AA6" s="4">
        <f>+RANK(B6,B$6:B$23,0)</f>
        <v>4</v>
      </c>
      <c r="AB6" s="4">
        <f t="shared" ref="AB6:AK21" si="5">+RANK(C6,C$6:C$23,0)</f>
        <v>4</v>
      </c>
      <c r="AC6" s="4">
        <f t="shared" si="5"/>
        <v>4</v>
      </c>
      <c r="AD6" s="4">
        <f t="shared" si="5"/>
        <v>4</v>
      </c>
      <c r="AE6" s="4">
        <f t="shared" si="5"/>
        <v>4</v>
      </c>
      <c r="AF6" s="4">
        <f t="shared" si="5"/>
        <v>4</v>
      </c>
      <c r="AG6" s="4">
        <f t="shared" si="5"/>
        <v>4</v>
      </c>
      <c r="AH6" s="4">
        <f t="shared" si="5"/>
        <v>4</v>
      </c>
      <c r="AI6" s="4">
        <f t="shared" si="5"/>
        <v>4</v>
      </c>
      <c r="AJ6" s="4">
        <f t="shared" si="5"/>
        <v>4</v>
      </c>
      <c r="AK6" s="4">
        <f>+RANK(L6,L$6:L$23,0)</f>
        <v>4</v>
      </c>
    </row>
    <row r="7" spans="1:37" ht="15" customHeight="1">
      <c r="A7" s="17" t="s">
        <v>16</v>
      </c>
      <c r="B7" s="348">
        <v>29270</v>
      </c>
      <c r="C7" s="348">
        <v>30159</v>
      </c>
      <c r="D7" s="348">
        <v>32039</v>
      </c>
      <c r="E7" s="348">
        <v>33160</v>
      </c>
      <c r="F7" s="348">
        <v>35441</v>
      </c>
      <c r="G7" s="348">
        <v>36806</v>
      </c>
      <c r="H7" s="348">
        <v>38732</v>
      </c>
      <c r="I7" s="348">
        <v>41050</v>
      </c>
      <c r="J7" s="348">
        <v>41359</v>
      </c>
      <c r="K7" s="348">
        <v>45331</v>
      </c>
      <c r="L7" s="348">
        <v>47376</v>
      </c>
      <c r="N7" s="647">
        <f t="shared" ref="N7:N23" si="6">+(L7/B7-1)*100</f>
        <v>61.858558250768716</v>
      </c>
      <c r="O7" s="497">
        <f t="shared" si="3"/>
        <v>18106</v>
      </c>
      <c r="P7" s="647">
        <f t="shared" ref="P7:Z23" si="7">B7*100/B$5</f>
        <v>1.1452938478899517</v>
      </c>
      <c r="Q7" s="647">
        <f t="shared" si="4"/>
        <v>1.1437376203173371</v>
      </c>
      <c r="R7" s="647">
        <f t="shared" si="4"/>
        <v>1.179634397651556</v>
      </c>
      <c r="S7" s="647">
        <f t="shared" si="4"/>
        <v>1.1758956984770803</v>
      </c>
      <c r="T7" s="647">
        <f t="shared" si="4"/>
        <v>1.2026524117013693</v>
      </c>
      <c r="U7" s="647">
        <f t="shared" si="4"/>
        <v>1.2026182743999407</v>
      </c>
      <c r="V7" s="647">
        <f t="shared" si="4"/>
        <v>1.2450220173972637</v>
      </c>
      <c r="W7" s="647">
        <f t="shared" si="4"/>
        <v>1.330388006608836</v>
      </c>
      <c r="X7" s="647">
        <f t="shared" si="4"/>
        <v>1.3331528247180762</v>
      </c>
      <c r="Y7" s="647">
        <f t="shared" si="4"/>
        <v>1.3584023407276178</v>
      </c>
      <c r="Z7" s="647">
        <f t="shared" si="4"/>
        <v>1.3576407267000097</v>
      </c>
      <c r="AA7" s="4">
        <f t="shared" ref="AA7:AK23" si="8">+RANK(B7,B$6:B$23,0)</f>
        <v>15</v>
      </c>
      <c r="AB7" s="4">
        <f t="shared" si="5"/>
        <v>15</v>
      </c>
      <c r="AC7" s="4">
        <f t="shared" si="5"/>
        <v>15</v>
      </c>
      <c r="AD7" s="4">
        <f t="shared" si="5"/>
        <v>14</v>
      </c>
      <c r="AE7" s="4">
        <f t="shared" si="5"/>
        <v>14</v>
      </c>
      <c r="AF7" s="4">
        <f t="shared" si="5"/>
        <v>14</v>
      </c>
      <c r="AG7" s="4">
        <f t="shared" si="5"/>
        <v>14</v>
      </c>
      <c r="AH7" s="4">
        <f t="shared" si="5"/>
        <v>12</v>
      </c>
      <c r="AI7" s="4">
        <f t="shared" si="5"/>
        <v>12</v>
      </c>
      <c r="AJ7" s="4">
        <f t="shared" si="5"/>
        <v>12</v>
      </c>
      <c r="AK7" s="4">
        <f t="shared" si="5"/>
        <v>12</v>
      </c>
    </row>
    <row r="8" spans="1:37" ht="15" customHeight="1">
      <c r="A8" s="17" t="s">
        <v>66</v>
      </c>
      <c r="B8" s="348">
        <v>230411</v>
      </c>
      <c r="C8" s="348">
        <v>240842</v>
      </c>
      <c r="D8" s="348">
        <v>249721</v>
      </c>
      <c r="E8" s="348">
        <v>261360</v>
      </c>
      <c r="F8" s="348">
        <v>273109</v>
      </c>
      <c r="G8" s="348">
        <v>282974</v>
      </c>
      <c r="H8" s="348">
        <v>279950</v>
      </c>
      <c r="I8" s="348">
        <v>281810</v>
      </c>
      <c r="J8" s="348">
        <v>284569</v>
      </c>
      <c r="K8" s="348">
        <v>304660</v>
      </c>
      <c r="L8" s="348">
        <v>312788</v>
      </c>
      <c r="N8" s="647">
        <f t="shared" si="6"/>
        <v>35.752199330761123</v>
      </c>
      <c r="O8" s="497">
        <f t="shared" si="3"/>
        <v>82377</v>
      </c>
      <c r="P8" s="647">
        <f t="shared" si="7"/>
        <v>9.0156576968285496</v>
      </c>
      <c r="Q8" s="647">
        <f t="shared" si="4"/>
        <v>9.133593817847677</v>
      </c>
      <c r="R8" s="647">
        <f t="shared" si="4"/>
        <v>9.1944031154512995</v>
      </c>
      <c r="S8" s="647">
        <f t="shared" si="4"/>
        <v>9.2681574111571088</v>
      </c>
      <c r="T8" s="647">
        <f t="shared" si="4"/>
        <v>9.2676616773609446</v>
      </c>
      <c r="U8" s="647">
        <f t="shared" si="4"/>
        <v>9.2460387866122051</v>
      </c>
      <c r="V8" s="647">
        <f t="shared" si="4"/>
        <v>8.9988617621182474</v>
      </c>
      <c r="W8" s="647">
        <f t="shared" si="4"/>
        <v>9.1331703810581271</v>
      </c>
      <c r="X8" s="647">
        <f t="shared" si="4"/>
        <v>9.1727064526994901</v>
      </c>
      <c r="Y8" s="647">
        <f t="shared" si="4"/>
        <v>9.1295329272699917</v>
      </c>
      <c r="Z8" s="647">
        <f t="shared" si="4"/>
        <v>8.9634778711381848</v>
      </c>
      <c r="AA8" s="4">
        <f t="shared" si="8"/>
        <v>3</v>
      </c>
      <c r="AB8" s="4">
        <f t="shared" si="5"/>
        <v>3</v>
      </c>
      <c r="AC8" s="4">
        <f t="shared" si="5"/>
        <v>3</v>
      </c>
      <c r="AD8" s="4">
        <f t="shared" si="5"/>
        <v>3</v>
      </c>
      <c r="AE8" s="4">
        <f t="shared" si="5"/>
        <v>3</v>
      </c>
      <c r="AF8" s="4">
        <f t="shared" si="5"/>
        <v>3</v>
      </c>
      <c r="AG8" s="4">
        <f t="shared" si="5"/>
        <v>3</v>
      </c>
      <c r="AH8" s="4">
        <f t="shared" si="5"/>
        <v>3</v>
      </c>
      <c r="AI8" s="4">
        <f t="shared" si="5"/>
        <v>3</v>
      </c>
      <c r="AJ8" s="4">
        <f t="shared" si="5"/>
        <v>3</v>
      </c>
      <c r="AK8" s="4">
        <f t="shared" si="5"/>
        <v>3</v>
      </c>
    </row>
    <row r="9" spans="1:37" ht="15" customHeight="1">
      <c r="A9" s="17" t="s">
        <v>17</v>
      </c>
      <c r="B9" s="348">
        <v>19709</v>
      </c>
      <c r="C9" s="348">
        <v>19925</v>
      </c>
      <c r="D9" s="348">
        <v>20381</v>
      </c>
      <c r="E9" s="348">
        <v>20798</v>
      </c>
      <c r="F9" s="348">
        <v>21150</v>
      </c>
      <c r="G9" s="348">
        <v>21768</v>
      </c>
      <c r="H9" s="348">
        <v>21436</v>
      </c>
      <c r="I9" s="348">
        <v>22299</v>
      </c>
      <c r="J9" s="348">
        <v>22605</v>
      </c>
      <c r="K9" s="348">
        <v>23249</v>
      </c>
      <c r="L9" s="348">
        <v>24160</v>
      </c>
      <c r="N9" s="647">
        <f t="shared" si="6"/>
        <v>22.583591252727174</v>
      </c>
      <c r="O9" s="497">
        <f t="shared" si="3"/>
        <v>4451</v>
      </c>
      <c r="P9" s="647">
        <f t="shared" si="7"/>
        <v>0.77118539282757281</v>
      </c>
      <c r="Q9" s="647">
        <f t="shared" si="4"/>
        <v>0.75562757667107461</v>
      </c>
      <c r="R9" s="647">
        <f t="shared" si="4"/>
        <v>0.75040196818054128</v>
      </c>
      <c r="S9" s="647">
        <f t="shared" si="4"/>
        <v>0.73752348422576341</v>
      </c>
      <c r="T9" s="647">
        <f t="shared" si="4"/>
        <v>0.717702618647441</v>
      </c>
      <c r="U9" s="647">
        <f t="shared" si="4"/>
        <v>0.71125888706020512</v>
      </c>
      <c r="V9" s="647">
        <f t="shared" si="4"/>
        <v>0.68905019015097968</v>
      </c>
      <c r="W9" s="647">
        <f t="shared" si="4"/>
        <v>0.72268750692741623</v>
      </c>
      <c r="X9" s="647">
        <f t="shared" si="4"/>
        <v>0.72864236569433771</v>
      </c>
      <c r="Y9" s="647">
        <f t="shared" si="4"/>
        <v>0.69668650635495322</v>
      </c>
      <c r="Z9" s="647">
        <f t="shared" si="4"/>
        <v>0.69234633479129171</v>
      </c>
      <c r="AA9" s="4">
        <f t="shared" si="8"/>
        <v>18</v>
      </c>
      <c r="AB9" s="4">
        <f t="shared" si="5"/>
        <v>18</v>
      </c>
      <c r="AC9" s="4">
        <f t="shared" si="5"/>
        <v>18</v>
      </c>
      <c r="AD9" s="4">
        <f t="shared" si="5"/>
        <v>18</v>
      </c>
      <c r="AE9" s="4">
        <f t="shared" si="5"/>
        <v>18</v>
      </c>
      <c r="AF9" s="4">
        <f t="shared" si="5"/>
        <v>18</v>
      </c>
      <c r="AG9" s="4">
        <f t="shared" si="5"/>
        <v>18</v>
      </c>
      <c r="AH9" s="4">
        <f t="shared" si="5"/>
        <v>18</v>
      </c>
      <c r="AI9" s="4">
        <f t="shared" si="5"/>
        <v>17</v>
      </c>
      <c r="AJ9" s="4">
        <f t="shared" si="5"/>
        <v>17</v>
      </c>
      <c r="AK9" s="4">
        <f t="shared" si="5"/>
        <v>18</v>
      </c>
    </row>
    <row r="10" spans="1:37" ht="15" customHeight="1">
      <c r="A10" s="17" t="s">
        <v>18</v>
      </c>
      <c r="B10" s="348">
        <v>37109</v>
      </c>
      <c r="C10" s="348">
        <v>38714</v>
      </c>
      <c r="D10" s="348">
        <v>38487</v>
      </c>
      <c r="E10" s="348">
        <v>38942</v>
      </c>
      <c r="F10" s="348">
        <v>39544</v>
      </c>
      <c r="G10" s="348">
        <v>41834</v>
      </c>
      <c r="H10" s="348">
        <v>40763</v>
      </c>
      <c r="I10" s="348">
        <v>40114</v>
      </c>
      <c r="J10" s="348">
        <v>40323</v>
      </c>
      <c r="K10" s="348">
        <v>42765</v>
      </c>
      <c r="L10" s="348">
        <v>45470</v>
      </c>
      <c r="M10" s="180"/>
      <c r="N10" s="647">
        <f t="shared" si="6"/>
        <v>22.530922417742328</v>
      </c>
      <c r="O10" s="497">
        <f t="shared" si="3"/>
        <v>8361</v>
      </c>
      <c r="P10" s="647">
        <f t="shared" si="7"/>
        <v>1.4520228698786544</v>
      </c>
      <c r="Q10" s="647">
        <f t="shared" si="4"/>
        <v>1.4681739524840143</v>
      </c>
      <c r="R10" s="647">
        <f t="shared" si="4"/>
        <v>1.4170413890076292</v>
      </c>
      <c r="S10" s="647">
        <f t="shared" si="4"/>
        <v>1.3809327590498932</v>
      </c>
      <c r="T10" s="647">
        <f t="shared" si="4"/>
        <v>1.3418833263259768</v>
      </c>
      <c r="U10" s="647">
        <f t="shared" si="4"/>
        <v>1.3669057461078933</v>
      </c>
      <c r="V10" s="647">
        <f t="shared" si="4"/>
        <v>1.3103075620976108</v>
      </c>
      <c r="W10" s="647">
        <f t="shared" si="4"/>
        <v>1.3000532155202644</v>
      </c>
      <c r="X10" s="647">
        <f t="shared" si="4"/>
        <v>1.2997587308955001</v>
      </c>
      <c r="Y10" s="647">
        <f t="shared" si="4"/>
        <v>1.2815088151864413</v>
      </c>
      <c r="Z10" s="647">
        <f t="shared" si="4"/>
        <v>1.3030210199900676</v>
      </c>
      <c r="AA10" s="4">
        <f t="shared" si="8"/>
        <v>12</v>
      </c>
      <c r="AB10" s="4">
        <f t="shared" si="5"/>
        <v>12</v>
      </c>
      <c r="AC10" s="4">
        <f t="shared" si="5"/>
        <v>12</v>
      </c>
      <c r="AD10" s="4">
        <f t="shared" si="5"/>
        <v>12</v>
      </c>
      <c r="AE10" s="4">
        <f t="shared" si="5"/>
        <v>12</v>
      </c>
      <c r="AF10" s="4">
        <f t="shared" si="5"/>
        <v>12</v>
      </c>
      <c r="AG10" s="4">
        <f t="shared" si="5"/>
        <v>13</v>
      </c>
      <c r="AH10" s="4">
        <f t="shared" si="5"/>
        <v>14</v>
      </c>
      <c r="AI10" s="4">
        <f t="shared" si="5"/>
        <v>14</v>
      </c>
      <c r="AJ10" s="4">
        <f t="shared" si="5"/>
        <v>14</v>
      </c>
      <c r="AK10" s="4">
        <f t="shared" si="5"/>
        <v>13</v>
      </c>
    </row>
    <row r="11" spans="1:37" ht="15" customHeight="1">
      <c r="A11" s="17" t="s">
        <v>19</v>
      </c>
      <c r="B11" s="348">
        <v>92473</v>
      </c>
      <c r="C11" s="348">
        <v>91625</v>
      </c>
      <c r="D11" s="348">
        <v>94165</v>
      </c>
      <c r="E11" s="348">
        <v>95440</v>
      </c>
      <c r="F11" s="348">
        <v>99946</v>
      </c>
      <c r="G11" s="348">
        <v>100811</v>
      </c>
      <c r="H11" s="348">
        <v>101713</v>
      </c>
      <c r="I11" s="348">
        <v>102994</v>
      </c>
      <c r="J11" s="348">
        <v>102989</v>
      </c>
      <c r="K11" s="348">
        <v>109304</v>
      </c>
      <c r="L11" s="348">
        <v>112151</v>
      </c>
      <c r="M11" s="180"/>
      <c r="N11" s="647">
        <f t="shared" si="6"/>
        <v>21.279724892671382</v>
      </c>
      <c r="O11" s="497">
        <f t="shared" ref="O11:O23" si="9">+L11-B11</f>
        <v>19678</v>
      </c>
      <c r="P11" s="647">
        <f t="shared" si="7"/>
        <v>3.6183381618014177</v>
      </c>
      <c r="Q11" s="647">
        <f t="shared" si="4"/>
        <v>3.4747491449178023</v>
      </c>
      <c r="R11" s="647">
        <f t="shared" si="4"/>
        <v>3.4670330863902983</v>
      </c>
      <c r="S11" s="647">
        <f t="shared" si="4"/>
        <v>3.3844235664249864</v>
      </c>
      <c r="T11" s="647">
        <f t="shared" si="4"/>
        <v>3.391560563751165</v>
      </c>
      <c r="U11" s="647">
        <f t="shared" si="4"/>
        <v>3.2939507379376303</v>
      </c>
      <c r="V11" s="647">
        <f t="shared" si="4"/>
        <v>3.2695167937500744</v>
      </c>
      <c r="W11" s="647">
        <f t="shared" si="4"/>
        <v>3.3379289245473927</v>
      </c>
      <c r="X11" s="647">
        <f t="shared" si="4"/>
        <v>3.319714602985806</v>
      </c>
      <c r="Y11" s="647">
        <f t="shared" si="4"/>
        <v>3.2754364441748809</v>
      </c>
      <c r="Z11" s="647">
        <f t="shared" si="4"/>
        <v>3.2138797099825394</v>
      </c>
      <c r="AA11" s="4">
        <f t="shared" si="8"/>
        <v>9</v>
      </c>
      <c r="AB11" s="4">
        <f t="shared" si="5"/>
        <v>9</v>
      </c>
      <c r="AC11" s="4">
        <f t="shared" si="5"/>
        <v>9</v>
      </c>
      <c r="AD11" s="4">
        <f t="shared" si="5"/>
        <v>9</v>
      </c>
      <c r="AE11" s="4">
        <f t="shared" si="5"/>
        <v>9</v>
      </c>
      <c r="AF11" s="4">
        <f t="shared" si="5"/>
        <v>9</v>
      </c>
      <c r="AG11" s="4">
        <f t="shared" si="5"/>
        <v>9</v>
      </c>
      <c r="AH11" s="4">
        <f t="shared" si="5"/>
        <v>9</v>
      </c>
      <c r="AI11" s="4">
        <f t="shared" si="5"/>
        <v>9</v>
      </c>
      <c r="AJ11" s="4">
        <f t="shared" si="5"/>
        <v>9</v>
      </c>
      <c r="AK11" s="4">
        <f t="shared" si="5"/>
        <v>9</v>
      </c>
    </row>
    <row r="12" spans="1:37" ht="15" customHeight="1">
      <c r="A12" s="17" t="s">
        <v>20</v>
      </c>
      <c r="B12" s="348">
        <v>34466</v>
      </c>
      <c r="C12" s="348">
        <v>35478</v>
      </c>
      <c r="D12" s="348">
        <v>36817</v>
      </c>
      <c r="E12" s="348">
        <v>38198</v>
      </c>
      <c r="F12" s="348">
        <v>39029</v>
      </c>
      <c r="G12" s="348">
        <v>40741</v>
      </c>
      <c r="H12" s="348">
        <v>40944</v>
      </c>
      <c r="I12" s="348">
        <v>40465</v>
      </c>
      <c r="J12" s="348">
        <v>40725</v>
      </c>
      <c r="K12" s="348">
        <v>43523</v>
      </c>
      <c r="L12" s="348">
        <v>45228</v>
      </c>
      <c r="M12" s="180"/>
      <c r="N12" s="647">
        <f t="shared" si="6"/>
        <v>31.224975338014271</v>
      </c>
      <c r="O12" s="497">
        <f t="shared" si="9"/>
        <v>10762</v>
      </c>
      <c r="P12" s="647">
        <f t="shared" si="7"/>
        <v>1.3486060048300332</v>
      </c>
      <c r="Q12" s="647">
        <f t="shared" si="4"/>
        <v>1.3454532077860168</v>
      </c>
      <c r="R12" s="647">
        <f t="shared" si="4"/>
        <v>1.3555541564448745</v>
      </c>
      <c r="S12" s="647">
        <f t="shared" si="4"/>
        <v>1.3545495745002265</v>
      </c>
      <c r="T12" s="647">
        <f t="shared" si="4"/>
        <v>1.3244073523967366</v>
      </c>
      <c r="U12" s="647">
        <f t="shared" si="4"/>
        <v>1.3311924989764707</v>
      </c>
      <c r="V12" s="647">
        <f t="shared" si="4"/>
        <v>1.3161257224081784</v>
      </c>
      <c r="W12" s="647">
        <f t="shared" si="4"/>
        <v>1.3114287621784788</v>
      </c>
      <c r="X12" s="647">
        <f t="shared" si="4"/>
        <v>1.312716670776461</v>
      </c>
      <c r="Y12" s="647">
        <f t="shared" si="4"/>
        <v>1.3042232705099845</v>
      </c>
      <c r="Z12" s="647">
        <f t="shared" si="4"/>
        <v>1.2960860939544925</v>
      </c>
      <c r="AA12" s="4">
        <f t="shared" si="8"/>
        <v>13</v>
      </c>
      <c r="AB12" s="4">
        <f t="shared" si="5"/>
        <v>13</v>
      </c>
      <c r="AC12" s="4">
        <f t="shared" si="5"/>
        <v>13</v>
      </c>
      <c r="AD12" s="4">
        <f t="shared" si="5"/>
        <v>13</v>
      </c>
      <c r="AE12" s="4">
        <f t="shared" si="5"/>
        <v>13</v>
      </c>
      <c r="AF12" s="4">
        <f t="shared" si="5"/>
        <v>13</v>
      </c>
      <c r="AG12" s="4">
        <f t="shared" si="5"/>
        <v>12</v>
      </c>
      <c r="AH12" s="4">
        <f t="shared" si="5"/>
        <v>13</v>
      </c>
      <c r="AI12" s="4">
        <f t="shared" si="5"/>
        <v>13</v>
      </c>
      <c r="AJ12" s="4">
        <f t="shared" si="5"/>
        <v>13</v>
      </c>
      <c r="AK12" s="4">
        <f t="shared" si="5"/>
        <v>14</v>
      </c>
    </row>
    <row r="13" spans="1:37" ht="15" customHeight="1">
      <c r="A13" s="17" t="s">
        <v>21</v>
      </c>
      <c r="B13" s="348">
        <v>114172</v>
      </c>
      <c r="C13" s="348">
        <v>119459</v>
      </c>
      <c r="D13" s="348">
        <v>126980</v>
      </c>
      <c r="E13" s="348">
        <v>135848</v>
      </c>
      <c r="F13" s="348">
        <v>145770</v>
      </c>
      <c r="G13" s="348">
        <v>154417</v>
      </c>
      <c r="H13" s="348">
        <v>160288</v>
      </c>
      <c r="I13" s="348">
        <v>144668</v>
      </c>
      <c r="J13" s="348">
        <v>148406</v>
      </c>
      <c r="K13" s="348">
        <v>165503</v>
      </c>
      <c r="L13" s="348">
        <v>178434</v>
      </c>
      <c r="M13" s="180"/>
      <c r="N13" s="647">
        <f t="shared" si="6"/>
        <v>56.285253827558421</v>
      </c>
      <c r="O13" s="497">
        <f t="shared" si="9"/>
        <v>64262</v>
      </c>
      <c r="P13" s="647">
        <f t="shared" si="7"/>
        <v>4.4673894499928783</v>
      </c>
      <c r="Q13" s="647">
        <f t="shared" si="4"/>
        <v>4.5303144131267201</v>
      </c>
      <c r="R13" s="647">
        <f t="shared" si="4"/>
        <v>4.6752387968973617</v>
      </c>
      <c r="S13" s="647">
        <f t="shared" si="4"/>
        <v>4.8173425466439808</v>
      </c>
      <c r="T13" s="647">
        <f t="shared" si="4"/>
        <v>4.9465489702239944</v>
      </c>
      <c r="U13" s="647">
        <f t="shared" si="4"/>
        <v>5.0455008987125911</v>
      </c>
      <c r="V13" s="647">
        <f t="shared" si="4"/>
        <v>5.1523827616589024</v>
      </c>
      <c r="W13" s="647">
        <f t="shared" si="4"/>
        <v>4.688540125215277</v>
      </c>
      <c r="X13" s="647">
        <f t="shared" si="4"/>
        <v>4.7836717064027372</v>
      </c>
      <c r="Y13" s="647">
        <f t="shared" si="4"/>
        <v>4.959512532206281</v>
      </c>
      <c r="Z13" s="647">
        <f t="shared" si="4"/>
        <v>5.1133330257512144</v>
      </c>
      <c r="AA13" s="4">
        <f t="shared" si="8"/>
        <v>7</v>
      </c>
      <c r="AB13" s="4">
        <f t="shared" si="5"/>
        <v>7</v>
      </c>
      <c r="AC13" s="4">
        <f t="shared" si="5"/>
        <v>7</v>
      </c>
      <c r="AD13" s="4">
        <f t="shared" si="5"/>
        <v>6</v>
      </c>
      <c r="AE13" s="4">
        <f t="shared" si="5"/>
        <v>6</v>
      </c>
      <c r="AF13" s="4">
        <f t="shared" si="5"/>
        <v>6</v>
      </c>
      <c r="AG13" s="4">
        <f t="shared" si="5"/>
        <v>6</v>
      </c>
      <c r="AH13" s="4">
        <f t="shared" si="5"/>
        <v>7</v>
      </c>
      <c r="AI13" s="4">
        <f t="shared" si="5"/>
        <v>7</v>
      </c>
      <c r="AJ13" s="4">
        <f t="shared" si="5"/>
        <v>6</v>
      </c>
      <c r="AK13" s="4">
        <f t="shared" si="5"/>
        <v>6</v>
      </c>
    </row>
    <row r="14" spans="1:37" ht="15" customHeight="1">
      <c r="A14" s="17" t="s">
        <v>22</v>
      </c>
      <c r="B14" s="348">
        <v>27724</v>
      </c>
      <c r="C14" s="348">
        <v>28347</v>
      </c>
      <c r="D14" s="348">
        <v>28671</v>
      </c>
      <c r="E14" s="348">
        <v>28979</v>
      </c>
      <c r="F14" s="348">
        <v>29930</v>
      </c>
      <c r="G14" s="348">
        <v>30579</v>
      </c>
      <c r="H14" s="348">
        <v>30148</v>
      </c>
      <c r="I14" s="348">
        <v>30772</v>
      </c>
      <c r="J14" s="348">
        <v>30792</v>
      </c>
      <c r="K14" s="348">
        <v>31779</v>
      </c>
      <c r="L14" s="348">
        <v>32928</v>
      </c>
      <c r="M14" s="180"/>
      <c r="N14" s="647">
        <f t="shared" si="6"/>
        <v>18.770740152936092</v>
      </c>
      <c r="O14" s="497">
        <f t="shared" si="9"/>
        <v>5204</v>
      </c>
      <c r="P14" s="647">
        <f t="shared" si="7"/>
        <v>1.0848010467680567</v>
      </c>
      <c r="Q14" s="647">
        <f t="shared" si="4"/>
        <v>1.0750200710612272</v>
      </c>
      <c r="R14" s="647">
        <f t="shared" si="4"/>
        <v>1.0556290088663116</v>
      </c>
      <c r="S14" s="647">
        <f t="shared" si="4"/>
        <v>1.027632130463429</v>
      </c>
      <c r="T14" s="647">
        <f t="shared" si="4"/>
        <v>1.0156425236935183</v>
      </c>
      <c r="U14" s="647">
        <f t="shared" si="4"/>
        <v>0.99915405675367563</v>
      </c>
      <c r="V14" s="647">
        <f t="shared" si="4"/>
        <v>0.969093353828687</v>
      </c>
      <c r="W14" s="647">
        <f t="shared" si="4"/>
        <v>0.99728866600163468</v>
      </c>
      <c r="X14" s="647">
        <f t="shared" si="4"/>
        <v>0.99253951446405864</v>
      </c>
      <c r="Y14" s="647">
        <f t="shared" si="4"/>
        <v>0.95229904449456138</v>
      </c>
      <c r="Z14" s="647">
        <f t="shared" si="4"/>
        <v>0.9436084483446876</v>
      </c>
      <c r="AA14" s="4">
        <f t="shared" si="8"/>
        <v>16</v>
      </c>
      <c r="AB14" s="4">
        <f t="shared" si="5"/>
        <v>16</v>
      </c>
      <c r="AC14" s="4">
        <f t="shared" si="5"/>
        <v>16</v>
      </c>
      <c r="AD14" s="4">
        <f t="shared" si="5"/>
        <v>16</v>
      </c>
      <c r="AE14" s="4">
        <f t="shared" si="5"/>
        <v>16</v>
      </c>
      <c r="AF14" s="4">
        <f t="shared" si="5"/>
        <v>16</v>
      </c>
      <c r="AG14" s="4">
        <f t="shared" si="5"/>
        <v>16</v>
      </c>
      <c r="AH14" s="4">
        <f t="shared" si="5"/>
        <v>16</v>
      </c>
      <c r="AI14" s="4">
        <f t="shared" si="5"/>
        <v>16</v>
      </c>
      <c r="AJ14" s="4">
        <f t="shared" si="5"/>
        <v>16</v>
      </c>
      <c r="AK14" s="4">
        <f t="shared" si="5"/>
        <v>16</v>
      </c>
    </row>
    <row r="15" spans="1:37" ht="15" customHeight="1">
      <c r="A15" s="17" t="s">
        <v>23</v>
      </c>
      <c r="B15" s="348">
        <v>123221</v>
      </c>
      <c r="C15" s="348">
        <v>128192</v>
      </c>
      <c r="D15" s="348">
        <v>131409</v>
      </c>
      <c r="E15" s="348">
        <v>135744</v>
      </c>
      <c r="F15" s="348">
        <v>142737</v>
      </c>
      <c r="G15" s="348">
        <v>150327</v>
      </c>
      <c r="H15" s="348">
        <v>152235</v>
      </c>
      <c r="I15" s="348">
        <v>151214</v>
      </c>
      <c r="J15" s="348">
        <v>150268</v>
      </c>
      <c r="K15" s="348">
        <v>157094</v>
      </c>
      <c r="L15" s="348">
        <v>163957</v>
      </c>
      <c r="M15" s="180"/>
      <c r="N15" s="647">
        <f t="shared" si="6"/>
        <v>33.059299956987843</v>
      </c>
      <c r="O15" s="497">
        <f t="shared" si="9"/>
        <v>40736</v>
      </c>
      <c r="P15" s="647">
        <f t="shared" si="7"/>
        <v>4.8214640666500763</v>
      </c>
      <c r="Q15" s="647">
        <f t="shared" si="4"/>
        <v>4.8615011447236336</v>
      </c>
      <c r="R15" s="647">
        <f t="shared" si="4"/>
        <v>4.8383088286461282</v>
      </c>
      <c r="S15" s="647">
        <f t="shared" si="4"/>
        <v>4.8136545746101564</v>
      </c>
      <c r="T15" s="647">
        <f t="shared" si="4"/>
        <v>4.8436273606562548</v>
      </c>
      <c r="U15" s="647">
        <f t="shared" si="4"/>
        <v>4.9118621239939104</v>
      </c>
      <c r="V15" s="647">
        <f t="shared" si="4"/>
        <v>4.8935228446367978</v>
      </c>
      <c r="W15" s="647">
        <f t="shared" si="4"/>
        <v>4.9006892090462495</v>
      </c>
      <c r="X15" s="647">
        <f t="shared" si="4"/>
        <v>4.8436908209757457</v>
      </c>
      <c r="Y15" s="647">
        <f t="shared" si="4"/>
        <v>4.7075259163544674</v>
      </c>
      <c r="Z15" s="647">
        <f t="shared" si="4"/>
        <v>4.6984697025403896</v>
      </c>
      <c r="AA15" s="4">
        <f t="shared" si="8"/>
        <v>6</v>
      </c>
      <c r="AB15" s="4">
        <f t="shared" si="5"/>
        <v>6</v>
      </c>
      <c r="AC15" s="4">
        <f t="shared" si="5"/>
        <v>6</v>
      </c>
      <c r="AD15" s="4">
        <f t="shared" si="5"/>
        <v>7</v>
      </c>
      <c r="AE15" s="4">
        <f t="shared" si="5"/>
        <v>7</v>
      </c>
      <c r="AF15" s="4">
        <f t="shared" si="5"/>
        <v>7</v>
      </c>
      <c r="AG15" s="4">
        <f t="shared" si="5"/>
        <v>7</v>
      </c>
      <c r="AH15" s="4">
        <f t="shared" si="5"/>
        <v>6</v>
      </c>
      <c r="AI15" s="4">
        <f t="shared" si="5"/>
        <v>6</v>
      </c>
      <c r="AJ15" s="4">
        <f t="shared" si="5"/>
        <v>7</v>
      </c>
      <c r="AK15" s="4">
        <f t="shared" si="5"/>
        <v>7</v>
      </c>
    </row>
    <row r="16" spans="1:37" ht="15" customHeight="1">
      <c r="A16" s="17" t="s">
        <v>24</v>
      </c>
      <c r="B16" s="348">
        <v>739291</v>
      </c>
      <c r="C16" s="348">
        <v>764524</v>
      </c>
      <c r="D16" s="348">
        <v>780947</v>
      </c>
      <c r="E16" s="348">
        <v>817508</v>
      </c>
      <c r="F16" s="348">
        <v>847011</v>
      </c>
      <c r="G16" s="348">
        <v>886123</v>
      </c>
      <c r="H16" s="348">
        <v>905022</v>
      </c>
      <c r="I16" s="348">
        <v>895425</v>
      </c>
      <c r="J16" s="348">
        <v>900307</v>
      </c>
      <c r="K16" s="348">
        <v>981424</v>
      </c>
      <c r="L16" s="348">
        <v>1039751</v>
      </c>
      <c r="M16" s="180"/>
      <c r="N16" s="647">
        <f t="shared" si="6"/>
        <v>40.641641789227776</v>
      </c>
      <c r="O16" s="497">
        <f t="shared" si="9"/>
        <v>300460</v>
      </c>
      <c r="P16" s="647">
        <f t="shared" si="7"/>
        <v>28.927414899228229</v>
      </c>
      <c r="Q16" s="647">
        <f t="shared" si="4"/>
        <v>28.993496483155667</v>
      </c>
      <c r="R16" s="647">
        <f t="shared" si="4"/>
        <v>28.753454974961443</v>
      </c>
      <c r="S16" s="647">
        <f t="shared" si="4"/>
        <v>28.989871552189413</v>
      </c>
      <c r="T16" s="647">
        <f t="shared" si="4"/>
        <v>28.74241194908689</v>
      </c>
      <c r="U16" s="647">
        <f t="shared" si="4"/>
        <v>28.953641068469778</v>
      </c>
      <c r="V16" s="647">
        <f t="shared" si="4"/>
        <v>29.091508732544312</v>
      </c>
      <c r="W16" s="647">
        <f t="shared" si="4"/>
        <v>29.019797340261075</v>
      </c>
      <c r="X16" s="647">
        <f t="shared" si="4"/>
        <v>29.020208906488477</v>
      </c>
      <c r="Y16" s="647">
        <f t="shared" si="4"/>
        <v>29.409645912207132</v>
      </c>
      <c r="Z16" s="647">
        <f t="shared" si="4"/>
        <v>29.795852398409782</v>
      </c>
      <c r="AA16" s="4">
        <f t="shared" si="8"/>
        <v>1</v>
      </c>
      <c r="AB16" s="4">
        <f t="shared" si="5"/>
        <v>1</v>
      </c>
      <c r="AC16" s="4">
        <f t="shared" si="5"/>
        <v>1</v>
      </c>
      <c r="AD16" s="4">
        <f t="shared" si="5"/>
        <v>1</v>
      </c>
      <c r="AE16" s="4">
        <f t="shared" si="5"/>
        <v>1</v>
      </c>
      <c r="AF16" s="4">
        <f t="shared" si="5"/>
        <v>1</v>
      </c>
      <c r="AG16" s="4">
        <f t="shared" si="5"/>
        <v>1</v>
      </c>
      <c r="AH16" s="4">
        <f t="shared" si="5"/>
        <v>1</v>
      </c>
      <c r="AI16" s="4">
        <f t="shared" si="5"/>
        <v>1</v>
      </c>
      <c r="AJ16" s="4">
        <f t="shared" si="5"/>
        <v>1</v>
      </c>
      <c r="AK16" s="4">
        <f t="shared" si="5"/>
        <v>1</v>
      </c>
    </row>
    <row r="17" spans="1:37" ht="15" customHeight="1">
      <c r="A17" s="17" t="s">
        <v>25</v>
      </c>
      <c r="B17" s="348">
        <v>20094</v>
      </c>
      <c r="C17" s="348">
        <v>20497</v>
      </c>
      <c r="D17" s="348">
        <v>20704</v>
      </c>
      <c r="E17" s="348">
        <v>21614</v>
      </c>
      <c r="F17" s="348">
        <v>22068</v>
      </c>
      <c r="G17" s="348">
        <v>22056</v>
      </c>
      <c r="H17" s="348">
        <v>22201</v>
      </c>
      <c r="I17" s="348">
        <v>22475</v>
      </c>
      <c r="J17" s="348">
        <v>21854</v>
      </c>
      <c r="K17" s="348">
        <v>23056</v>
      </c>
      <c r="L17" s="348">
        <v>24444</v>
      </c>
      <c r="M17" s="180"/>
      <c r="N17" s="647">
        <f t="shared" si="6"/>
        <v>21.648253209913413</v>
      </c>
      <c r="O17" s="497">
        <f t="shared" si="9"/>
        <v>4350</v>
      </c>
      <c r="P17" s="647">
        <f t="shared" si="7"/>
        <v>0.78624990022209384</v>
      </c>
      <c r="Q17" s="647">
        <f t="shared" si="4"/>
        <v>0.77731987146936099</v>
      </c>
      <c r="R17" s="647">
        <f t="shared" si="4"/>
        <v>0.76229440896962497</v>
      </c>
      <c r="S17" s="647">
        <f t="shared" si="4"/>
        <v>0.76645988018346245</v>
      </c>
      <c r="T17" s="647">
        <f t="shared" si="4"/>
        <v>0.74885396635043633</v>
      </c>
      <c r="U17" s="647">
        <f t="shared" si="4"/>
        <v>0.72066914796949111</v>
      </c>
      <c r="V17" s="647">
        <f t="shared" si="4"/>
        <v>0.71364075720945597</v>
      </c>
      <c r="W17" s="647">
        <f t="shared" si="4"/>
        <v>0.72839148473894255</v>
      </c>
      <c r="X17" s="647">
        <f t="shared" si="4"/>
        <v>0.70443487104109959</v>
      </c>
      <c r="Y17" s="647">
        <f t="shared" si="4"/>
        <v>0.69090301047442049</v>
      </c>
      <c r="Z17" s="647">
        <f t="shared" si="4"/>
        <v>0.70048484303138803</v>
      </c>
      <c r="AA17" s="4">
        <f t="shared" si="8"/>
        <v>17</v>
      </c>
      <c r="AB17" s="4">
        <f t="shared" si="5"/>
        <v>17</v>
      </c>
      <c r="AC17" s="4">
        <f t="shared" si="5"/>
        <v>17</v>
      </c>
      <c r="AD17" s="4">
        <f t="shared" si="5"/>
        <v>17</v>
      </c>
      <c r="AE17" s="4">
        <f t="shared" si="5"/>
        <v>17</v>
      </c>
      <c r="AF17" s="4">
        <f t="shared" si="5"/>
        <v>17</v>
      </c>
      <c r="AG17" s="4">
        <f t="shared" si="5"/>
        <v>17</v>
      </c>
      <c r="AH17" s="4">
        <f t="shared" si="5"/>
        <v>17</v>
      </c>
      <c r="AI17" s="4">
        <f t="shared" si="5"/>
        <v>18</v>
      </c>
      <c r="AJ17" s="4">
        <f t="shared" si="5"/>
        <v>18</v>
      </c>
      <c r="AK17" s="4">
        <f t="shared" si="5"/>
        <v>17</v>
      </c>
    </row>
    <row r="18" spans="1:37" ht="15" customHeight="1">
      <c r="A18" s="17" t="s">
        <v>26</v>
      </c>
      <c r="B18" s="348">
        <v>492740</v>
      </c>
      <c r="C18" s="348">
        <v>511719</v>
      </c>
      <c r="D18" s="348">
        <v>532550</v>
      </c>
      <c r="E18" s="348">
        <v>551277</v>
      </c>
      <c r="F18" s="348">
        <v>580272</v>
      </c>
      <c r="G18" s="348">
        <v>593048</v>
      </c>
      <c r="H18" s="348">
        <v>607009</v>
      </c>
      <c r="I18" s="348">
        <v>599969</v>
      </c>
      <c r="J18" s="348">
        <v>603391</v>
      </c>
      <c r="K18" s="348">
        <v>647496</v>
      </c>
      <c r="L18" s="348">
        <v>675046</v>
      </c>
      <c r="M18" s="180"/>
      <c r="N18" s="647">
        <f t="shared" si="6"/>
        <v>36.998417015058664</v>
      </c>
      <c r="O18" s="497">
        <f t="shared" si="9"/>
        <v>182306</v>
      </c>
      <c r="P18" s="647">
        <f t="shared" si="7"/>
        <v>19.280221749548847</v>
      </c>
      <c r="Q18" s="647">
        <f t="shared" si="4"/>
        <v>19.40622273056691</v>
      </c>
      <c r="R18" s="647">
        <f t="shared" si="4"/>
        <v>19.607799821134744</v>
      </c>
      <c r="S18" s="647">
        <f t="shared" si="4"/>
        <v>19.548982297025013</v>
      </c>
      <c r="T18" s="647">
        <f t="shared" si="4"/>
        <v>19.690909405569169</v>
      </c>
      <c r="U18" s="647">
        <f t="shared" si="4"/>
        <v>19.377556985174593</v>
      </c>
      <c r="V18" s="647">
        <f t="shared" si="4"/>
        <v>19.512020287057101</v>
      </c>
      <c r="W18" s="647">
        <f t="shared" si="4"/>
        <v>19.444374225020628</v>
      </c>
      <c r="X18" s="647">
        <f t="shared" si="4"/>
        <v>19.449513190828227</v>
      </c>
      <c r="Y18" s="647">
        <f t="shared" si="4"/>
        <v>19.403059319489302</v>
      </c>
      <c r="Z18" s="647">
        <f t="shared" si="4"/>
        <v>19.344603638887513</v>
      </c>
      <c r="AA18" s="4">
        <f t="shared" si="8"/>
        <v>2</v>
      </c>
      <c r="AB18" s="4">
        <f t="shared" si="5"/>
        <v>2</v>
      </c>
      <c r="AC18" s="4">
        <f t="shared" si="5"/>
        <v>2</v>
      </c>
      <c r="AD18" s="4">
        <f t="shared" si="5"/>
        <v>2</v>
      </c>
      <c r="AE18" s="4">
        <f t="shared" si="5"/>
        <v>2</v>
      </c>
      <c r="AF18" s="4">
        <f t="shared" si="5"/>
        <v>2</v>
      </c>
      <c r="AG18" s="4">
        <f t="shared" si="5"/>
        <v>2</v>
      </c>
      <c r="AH18" s="4">
        <f t="shared" si="5"/>
        <v>2</v>
      </c>
      <c r="AI18" s="4">
        <f t="shared" si="5"/>
        <v>2</v>
      </c>
      <c r="AJ18" s="4">
        <f t="shared" si="5"/>
        <v>2</v>
      </c>
      <c r="AK18" s="4">
        <f t="shared" si="5"/>
        <v>2</v>
      </c>
    </row>
    <row r="19" spans="1:37" ht="15" customHeight="1">
      <c r="A19" s="17" t="s">
        <v>27</v>
      </c>
      <c r="B19" s="348">
        <v>96319</v>
      </c>
      <c r="C19" s="348">
        <v>97672</v>
      </c>
      <c r="D19" s="348">
        <v>99795</v>
      </c>
      <c r="E19" s="348">
        <v>101230</v>
      </c>
      <c r="F19" s="348">
        <v>104902</v>
      </c>
      <c r="G19" s="348">
        <v>107738</v>
      </c>
      <c r="H19" s="348">
        <v>110106</v>
      </c>
      <c r="I19" s="348">
        <v>110997</v>
      </c>
      <c r="J19" s="348">
        <v>110211</v>
      </c>
      <c r="K19" s="348">
        <v>116005</v>
      </c>
      <c r="L19" s="348">
        <v>120066</v>
      </c>
      <c r="M19" s="180"/>
      <c r="N19" s="647">
        <f t="shared" si="6"/>
        <v>24.654533373477715</v>
      </c>
      <c r="O19" s="497">
        <f t="shared" si="9"/>
        <v>23747</v>
      </c>
      <c r="P19" s="647">
        <f t="shared" si="7"/>
        <v>3.7688267213840878</v>
      </c>
      <c r="Q19" s="647">
        <f t="shared" si="4"/>
        <v>3.7040731075843012</v>
      </c>
      <c r="R19" s="647">
        <f t="shared" si="4"/>
        <v>3.6743223794012616</v>
      </c>
      <c r="S19" s="647">
        <f t="shared" si="4"/>
        <v>3.5897443171542474</v>
      </c>
      <c r="T19" s="647">
        <f t="shared" si="4"/>
        <v>3.5597371206313881</v>
      </c>
      <c r="U19" s="647">
        <f t="shared" si="4"/>
        <v>3.5202871175161876</v>
      </c>
      <c r="V19" s="647">
        <f t="shared" si="4"/>
        <v>3.5393058516870575</v>
      </c>
      <c r="W19" s="647">
        <f t="shared" si="4"/>
        <v>3.5972978701476488</v>
      </c>
      <c r="X19" s="647">
        <f t="shared" si="4"/>
        <v>3.5525062493049613</v>
      </c>
      <c r="Y19" s="647">
        <f t="shared" si="4"/>
        <v>3.4762406197989741</v>
      </c>
      <c r="Z19" s="647">
        <f t="shared" si="4"/>
        <v>3.4406976420964912</v>
      </c>
      <c r="AA19" s="4">
        <f t="shared" si="8"/>
        <v>8</v>
      </c>
      <c r="AB19" s="4">
        <f t="shared" si="5"/>
        <v>8</v>
      </c>
      <c r="AC19" s="4">
        <f t="shared" si="5"/>
        <v>8</v>
      </c>
      <c r="AD19" s="4">
        <f t="shared" si="5"/>
        <v>8</v>
      </c>
      <c r="AE19" s="4">
        <f t="shared" si="5"/>
        <v>8</v>
      </c>
      <c r="AF19" s="4">
        <f t="shared" si="5"/>
        <v>8</v>
      </c>
      <c r="AG19" s="4">
        <f t="shared" si="5"/>
        <v>8</v>
      </c>
      <c r="AH19" s="4">
        <f t="shared" si="5"/>
        <v>8</v>
      </c>
      <c r="AI19" s="4">
        <f t="shared" si="5"/>
        <v>8</v>
      </c>
      <c r="AJ19" s="4">
        <f t="shared" si="5"/>
        <v>8</v>
      </c>
      <c r="AK19" s="4">
        <f t="shared" si="5"/>
        <v>8</v>
      </c>
    </row>
    <row r="20" spans="1:37" ht="15" customHeight="1">
      <c r="A20" s="17" t="s">
        <v>28</v>
      </c>
      <c r="B20" s="348">
        <v>143967</v>
      </c>
      <c r="C20" s="348">
        <v>145403</v>
      </c>
      <c r="D20" s="348">
        <v>148477</v>
      </c>
      <c r="E20" s="348">
        <v>152690</v>
      </c>
      <c r="F20" s="348">
        <v>161083</v>
      </c>
      <c r="G20" s="348">
        <v>170243</v>
      </c>
      <c r="H20" s="348">
        <v>173740</v>
      </c>
      <c r="I20" s="348">
        <v>174949</v>
      </c>
      <c r="J20" s="348">
        <v>176465</v>
      </c>
      <c r="K20" s="348">
        <v>189206</v>
      </c>
      <c r="L20" s="348">
        <v>195528</v>
      </c>
      <c r="M20" s="180"/>
      <c r="N20" s="647">
        <f t="shared" si="6"/>
        <v>35.814457479839135</v>
      </c>
      <c r="O20" s="497">
        <f t="shared" si="9"/>
        <v>51561</v>
      </c>
      <c r="P20" s="647">
        <f t="shared" si="7"/>
        <v>5.6332258079662676</v>
      </c>
      <c r="Q20" s="647">
        <f t="shared" si="4"/>
        <v>5.5142040918797628</v>
      </c>
      <c r="R20" s="647">
        <f t="shared" si="4"/>
        <v>5.4667304366587617</v>
      </c>
      <c r="S20" s="647">
        <f t="shared" si="4"/>
        <v>5.4145812485061944</v>
      </c>
      <c r="T20" s="647">
        <f t="shared" si="4"/>
        <v>5.4661792396967259</v>
      </c>
      <c r="U20" s="647">
        <f t="shared" si="4"/>
        <v>5.5626078054846788</v>
      </c>
      <c r="V20" s="647">
        <f t="shared" si="4"/>
        <v>5.5847910075028553</v>
      </c>
      <c r="W20" s="647">
        <f t="shared" si="4"/>
        <v>5.6699159894813462</v>
      </c>
      <c r="X20" s="647">
        <f t="shared" si="4"/>
        <v>5.6881165698850387</v>
      </c>
      <c r="Y20" s="647">
        <f t="shared" si="4"/>
        <v>5.6698037387154407</v>
      </c>
      <c r="Z20" s="647">
        <f t="shared" si="4"/>
        <v>5.6031909829913777</v>
      </c>
      <c r="AA20" s="4">
        <f t="shared" si="8"/>
        <v>5</v>
      </c>
      <c r="AB20" s="4">
        <f t="shared" si="5"/>
        <v>5</v>
      </c>
      <c r="AC20" s="4">
        <f t="shared" si="5"/>
        <v>5</v>
      </c>
      <c r="AD20" s="4">
        <f t="shared" si="5"/>
        <v>5</v>
      </c>
      <c r="AE20" s="4">
        <f t="shared" si="5"/>
        <v>5</v>
      </c>
      <c r="AF20" s="4">
        <f t="shared" si="5"/>
        <v>5</v>
      </c>
      <c r="AG20" s="4">
        <f t="shared" si="5"/>
        <v>5</v>
      </c>
      <c r="AH20" s="4">
        <f t="shared" si="5"/>
        <v>5</v>
      </c>
      <c r="AI20" s="4">
        <f t="shared" si="5"/>
        <v>5</v>
      </c>
      <c r="AJ20" s="4">
        <f t="shared" si="5"/>
        <v>5</v>
      </c>
      <c r="AK20" s="4">
        <f t="shared" si="5"/>
        <v>5</v>
      </c>
    </row>
    <row r="21" spans="1:37" ht="15" customHeight="1">
      <c r="A21" s="17" t="s">
        <v>29</v>
      </c>
      <c r="B21" s="348">
        <v>53023</v>
      </c>
      <c r="C21" s="348">
        <v>54568</v>
      </c>
      <c r="D21" s="348">
        <v>56865</v>
      </c>
      <c r="E21" s="348">
        <v>57001</v>
      </c>
      <c r="F21" s="348">
        <v>59646</v>
      </c>
      <c r="G21" s="348">
        <v>62987</v>
      </c>
      <c r="H21" s="348">
        <v>63449</v>
      </c>
      <c r="I21" s="348">
        <v>64864</v>
      </c>
      <c r="J21" s="348">
        <v>65112</v>
      </c>
      <c r="K21" s="348">
        <v>68558</v>
      </c>
      <c r="L21" s="348">
        <v>72633</v>
      </c>
      <c r="M21" s="180"/>
      <c r="N21" s="647">
        <f t="shared" si="6"/>
        <v>36.98395036116402</v>
      </c>
      <c r="O21" s="497">
        <f t="shared" si="9"/>
        <v>19610</v>
      </c>
      <c r="P21" s="647">
        <f t="shared" si="7"/>
        <v>2.0747152612459483</v>
      </c>
      <c r="Q21" s="647">
        <f t="shared" si="4"/>
        <v>2.0694145848826699</v>
      </c>
      <c r="R21" s="647">
        <f t="shared" si="4"/>
        <v>2.0936954968149983</v>
      </c>
      <c r="S21" s="647">
        <f t="shared" si="4"/>
        <v>2.0213278259617629</v>
      </c>
      <c r="T21" s="647">
        <f t="shared" si="4"/>
        <v>2.024023186375663</v>
      </c>
      <c r="U21" s="647">
        <f t="shared" si="4"/>
        <v>2.058069805184727</v>
      </c>
      <c r="V21" s="647">
        <f t="shared" si="4"/>
        <v>2.0395384173768196</v>
      </c>
      <c r="W21" s="647">
        <f t="shared" si="4"/>
        <v>2.1021750952661522</v>
      </c>
      <c r="X21" s="647">
        <f t="shared" si="4"/>
        <v>2.0987994565401333</v>
      </c>
      <c r="Y21" s="647">
        <f t="shared" si="4"/>
        <v>2.0544295884847901</v>
      </c>
      <c r="Z21" s="647">
        <f t="shared" si="4"/>
        <v>2.0814234824046314</v>
      </c>
      <c r="AA21" s="4">
        <f t="shared" si="8"/>
        <v>11</v>
      </c>
      <c r="AB21" s="4">
        <f t="shared" si="5"/>
        <v>11</v>
      </c>
      <c r="AC21" s="4">
        <f t="shared" si="5"/>
        <v>11</v>
      </c>
      <c r="AD21" s="4">
        <f t="shared" si="5"/>
        <v>11</v>
      </c>
      <c r="AE21" s="4">
        <f t="shared" si="5"/>
        <v>11</v>
      </c>
      <c r="AF21" s="4">
        <f t="shared" si="5"/>
        <v>11</v>
      </c>
      <c r="AG21" s="4">
        <f t="shared" si="5"/>
        <v>11</v>
      </c>
      <c r="AH21" s="4">
        <f t="shared" si="5"/>
        <v>11</v>
      </c>
      <c r="AI21" s="4">
        <f t="shared" si="5"/>
        <v>11</v>
      </c>
      <c r="AJ21" s="4">
        <f t="shared" si="5"/>
        <v>11</v>
      </c>
      <c r="AK21" s="4">
        <f t="shared" si="5"/>
        <v>11</v>
      </c>
    </row>
    <row r="22" spans="1:37" ht="15" customHeight="1">
      <c r="A22" s="17" t="s">
        <v>30</v>
      </c>
      <c r="B22" s="348">
        <v>31008</v>
      </c>
      <c r="C22" s="348">
        <v>31502</v>
      </c>
      <c r="D22" s="348">
        <v>32630</v>
      </c>
      <c r="E22" s="348">
        <v>33121</v>
      </c>
      <c r="F22" s="348">
        <v>34749</v>
      </c>
      <c r="G22" s="348">
        <v>35689</v>
      </c>
      <c r="H22" s="348">
        <v>36501</v>
      </c>
      <c r="I22" s="348">
        <v>36381</v>
      </c>
      <c r="J22" s="348">
        <v>36810</v>
      </c>
      <c r="K22" s="348">
        <v>38651</v>
      </c>
      <c r="L22" s="348">
        <v>40275</v>
      </c>
      <c r="M22" s="180"/>
      <c r="N22" s="647">
        <f t="shared" si="6"/>
        <v>29.885835913312686</v>
      </c>
      <c r="O22" s="497">
        <f t="shared" si="9"/>
        <v>9267</v>
      </c>
      <c r="P22" s="647">
        <f t="shared" si="7"/>
        <v>1.2132993384137896</v>
      </c>
      <c r="Q22" s="647">
        <f t="shared" si="7"/>
        <v>1.1946690047825441</v>
      </c>
      <c r="R22" s="647">
        <f t="shared" si="7"/>
        <v>1.2013942506123871</v>
      </c>
      <c r="S22" s="647">
        <f t="shared" si="7"/>
        <v>1.1745127089643961</v>
      </c>
      <c r="T22" s="647">
        <f t="shared" si="7"/>
        <v>1.1791701321692638</v>
      </c>
      <c r="U22" s="647">
        <f t="shared" si="7"/>
        <v>1.1661208388594111</v>
      </c>
      <c r="V22" s="647">
        <f t="shared" si="7"/>
        <v>1.1733075662763999</v>
      </c>
      <c r="W22" s="647">
        <f t="shared" si="7"/>
        <v>1.1790705497791978</v>
      </c>
      <c r="X22" s="647">
        <f t="shared" si="7"/>
        <v>1.1865218085029228</v>
      </c>
      <c r="Y22" s="647">
        <f t="shared" si="7"/>
        <v>1.1582274574014064</v>
      </c>
      <c r="Z22" s="647">
        <f t="shared" si="7"/>
        <v>1.1541493639784468</v>
      </c>
      <c r="AA22" s="4">
        <f t="shared" si="8"/>
        <v>14</v>
      </c>
      <c r="AB22" s="4">
        <f t="shared" si="8"/>
        <v>14</v>
      </c>
      <c r="AC22" s="4">
        <f t="shared" si="8"/>
        <v>14</v>
      </c>
      <c r="AD22" s="4">
        <f t="shared" si="8"/>
        <v>15</v>
      </c>
      <c r="AE22" s="4">
        <f t="shared" si="8"/>
        <v>15</v>
      </c>
      <c r="AF22" s="4">
        <f t="shared" si="8"/>
        <v>15</v>
      </c>
      <c r="AG22" s="4">
        <f t="shared" si="8"/>
        <v>15</v>
      </c>
      <c r="AH22" s="4">
        <f t="shared" si="8"/>
        <v>15</v>
      </c>
      <c r="AI22" s="4">
        <f t="shared" si="8"/>
        <v>15</v>
      </c>
      <c r="AJ22" s="4">
        <f t="shared" si="8"/>
        <v>15</v>
      </c>
      <c r="AK22" s="4">
        <f t="shared" si="8"/>
        <v>15</v>
      </c>
    </row>
    <row r="23" spans="1:37" s="20" customFormat="1" ht="15" customHeight="1">
      <c r="A23" s="19" t="s">
        <v>31</v>
      </c>
      <c r="B23" s="349">
        <v>73147</v>
      </c>
      <c r="C23" s="349">
        <v>74809</v>
      </c>
      <c r="D23" s="349">
        <v>77228</v>
      </c>
      <c r="E23" s="349">
        <v>80578</v>
      </c>
      <c r="F23" s="349">
        <v>84335</v>
      </c>
      <c r="G23" s="349">
        <v>87903</v>
      </c>
      <c r="H23" s="349">
        <v>90397</v>
      </c>
      <c r="I23" s="349">
        <v>91057</v>
      </c>
      <c r="J23" s="349">
        <v>91948</v>
      </c>
      <c r="K23" s="349">
        <v>99161</v>
      </c>
      <c r="L23" s="349">
        <v>103482</v>
      </c>
      <c r="M23" s="180"/>
      <c r="N23" s="647">
        <f t="shared" si="6"/>
        <v>41.471283853062999</v>
      </c>
      <c r="O23" s="497">
        <f t="shared" si="9"/>
        <v>30335</v>
      </c>
      <c r="P23" s="647">
        <f t="shared" si="7"/>
        <v>2.8621390191870959</v>
      </c>
      <c r="Q23" s="647">
        <f t="shared" si="7"/>
        <v>2.8370260167220289</v>
      </c>
      <c r="R23" s="647">
        <f t="shared" si="7"/>
        <v>2.8434347283571384</v>
      </c>
      <c r="S23" s="647">
        <f t="shared" si="7"/>
        <v>2.8573981782836602</v>
      </c>
      <c r="T23" s="647">
        <f t="shared" si="7"/>
        <v>2.8618179831504462</v>
      </c>
      <c r="U23" s="647">
        <f t="shared" si="7"/>
        <v>2.8721880719061561</v>
      </c>
      <c r="V23" s="647">
        <f t="shared" si="7"/>
        <v>2.9057692684772394</v>
      </c>
      <c r="W23" s="647">
        <f t="shared" si="7"/>
        <v>2.9510631112735881</v>
      </c>
      <c r="X23" s="647">
        <f t="shared" si="7"/>
        <v>2.9638225277975208</v>
      </c>
      <c r="Y23" s="647">
        <f t="shared" si="7"/>
        <v>2.9714882642979705</v>
      </c>
      <c r="Z23" s="647">
        <f t="shared" si="7"/>
        <v>2.9654546116255149</v>
      </c>
      <c r="AA23" s="4">
        <f t="shared" si="8"/>
        <v>10</v>
      </c>
      <c r="AB23" s="4">
        <f t="shared" si="8"/>
        <v>10</v>
      </c>
      <c r="AC23" s="4">
        <f t="shared" si="8"/>
        <v>10</v>
      </c>
      <c r="AD23" s="4">
        <f t="shared" si="8"/>
        <v>10</v>
      </c>
      <c r="AE23" s="4">
        <f t="shared" si="8"/>
        <v>10</v>
      </c>
      <c r="AF23" s="4">
        <f t="shared" si="8"/>
        <v>10</v>
      </c>
      <c r="AG23" s="4">
        <f t="shared" si="8"/>
        <v>10</v>
      </c>
      <c r="AH23" s="4">
        <f t="shared" si="8"/>
        <v>10</v>
      </c>
      <c r="AI23" s="4">
        <f t="shared" si="8"/>
        <v>10</v>
      </c>
      <c r="AJ23" s="4">
        <f t="shared" si="8"/>
        <v>10</v>
      </c>
      <c r="AK23" s="4">
        <f t="shared" si="8"/>
        <v>10</v>
      </c>
    </row>
    <row r="24" spans="1:37" ht="15" customHeight="1">
      <c r="A24" s="21" t="s">
        <v>140</v>
      </c>
      <c r="B24" s="18"/>
      <c r="D24" s="18"/>
      <c r="E24" s="18"/>
      <c r="F24" s="18"/>
      <c r="G24" s="18"/>
      <c r="H24" s="18"/>
      <c r="I24" s="18"/>
      <c r="J24" s="18"/>
      <c r="K24" s="18"/>
      <c r="L24" s="18"/>
    </row>
  </sheetData>
  <mergeCells count="1">
    <mergeCell ref="A1:L1"/>
  </mergeCells>
  <phoneticPr fontId="25" type="noConversion"/>
  <conditionalFormatting sqref="A1 A2:F3 A24:F1048576 A4:D4 A5:I23 M1:XFD3 M24:XFD1048576 M4:M23 AL4:XFD23">
    <cfRule type="cellIs" dxfId="837" priority="55" operator="equal">
      <formula>0</formula>
    </cfRule>
    <cfRule type="cellIs" priority="56" operator="equal">
      <formula>0</formula>
    </cfRule>
  </conditionalFormatting>
  <conditionalFormatting sqref="M5">
    <cfRule type="cellIs" dxfId="836" priority="54" operator="equal">
      <formula>0</formula>
    </cfRule>
  </conditionalFormatting>
  <conditionalFormatting sqref="M5">
    <cfRule type="containsText" dxfId="835" priority="53" operator="containsText" text="FALSO">
      <formula>NOT(ISERROR(SEARCH("FALSO",M5)))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B371-FCF8-42A7-BD1C-1350BD76F1E5}">
  <sheetPr>
    <tabColor indexed="25"/>
    <pageSetUpPr fitToPage="1"/>
  </sheetPr>
  <dimension ref="A1:O34"/>
  <sheetViews>
    <sheetView showGridLines="0" workbookViewId="0">
      <selection sqref="A1:M1"/>
    </sheetView>
  </sheetViews>
  <sheetFormatPr defaultColWidth="9.140625" defaultRowHeight="17.45" customHeight="1"/>
  <cols>
    <col min="1" max="1" width="24.42578125" style="4" customWidth="1"/>
    <col min="2" max="12" width="7.5703125" style="4" customWidth="1"/>
    <col min="13" max="14" width="5.85546875" style="4" bestFit="1" customWidth="1"/>
    <col min="15" max="16384" width="9.140625" style="4"/>
  </cols>
  <sheetData>
    <row r="1" spans="1:13" s="3" customFormat="1" ht="28.5" customHeight="1">
      <c r="A1" s="796" t="s">
        <v>644</v>
      </c>
      <c r="B1" s="796"/>
      <c r="C1" s="796"/>
      <c r="D1" s="796"/>
      <c r="E1" s="796"/>
      <c r="F1" s="796"/>
      <c r="G1" s="796"/>
      <c r="H1" s="796"/>
      <c r="I1" s="796"/>
      <c r="J1" s="796"/>
      <c r="K1" s="796"/>
      <c r="L1" s="796"/>
    </row>
    <row r="2" spans="1:13" ht="15" customHeight="1">
      <c r="A2" s="11"/>
      <c r="B2" s="176"/>
      <c r="C2" s="176"/>
      <c r="D2" s="176"/>
      <c r="E2" s="176"/>
      <c r="F2" s="176"/>
      <c r="G2" s="176"/>
      <c r="H2" s="176"/>
      <c r="I2" s="176"/>
      <c r="J2" s="176"/>
      <c r="K2" s="176"/>
      <c r="L2" s="176"/>
    </row>
    <row r="3" spans="1:13" ht="15" customHeight="1">
      <c r="A3" s="13" t="s">
        <v>42</v>
      </c>
      <c r="B3" s="176"/>
      <c r="C3" s="176"/>
      <c r="D3" s="176"/>
      <c r="E3" s="176"/>
      <c r="F3" s="176"/>
      <c r="G3" s="176"/>
      <c r="H3" s="176"/>
      <c r="I3" s="176"/>
      <c r="J3" s="176"/>
      <c r="K3" s="176"/>
      <c r="L3" s="176"/>
    </row>
    <row r="4" spans="1:13" ht="20.25" customHeight="1" thickBot="1">
      <c r="A4" s="15"/>
      <c r="B4" s="16">
        <v>2013</v>
      </c>
      <c r="C4" s="16">
        <v>2014</v>
      </c>
      <c r="D4" s="16">
        <v>2015</v>
      </c>
      <c r="E4" s="16">
        <v>2016</v>
      </c>
      <c r="F4" s="16">
        <v>2017</v>
      </c>
      <c r="G4" s="16">
        <v>2018</v>
      </c>
      <c r="H4" s="16">
        <v>2019</v>
      </c>
      <c r="I4" s="16">
        <v>2020</v>
      </c>
      <c r="J4" s="16">
        <v>2021</v>
      </c>
      <c r="K4" s="16">
        <v>2022</v>
      </c>
      <c r="L4" s="16">
        <v>2023</v>
      </c>
    </row>
    <row r="5" spans="1:13" ht="21" customHeight="1" thickTop="1">
      <c r="A5" s="116" t="s">
        <v>12</v>
      </c>
      <c r="B5" s="347">
        <v>2555676</v>
      </c>
      <c r="C5" s="347">
        <v>2636881</v>
      </c>
      <c r="D5" s="347">
        <v>2716011</v>
      </c>
      <c r="E5" s="347">
        <v>2819978</v>
      </c>
      <c r="F5" s="347">
        <v>2946903</v>
      </c>
      <c r="G5" s="347">
        <v>3060489</v>
      </c>
      <c r="H5" s="347">
        <v>3110949</v>
      </c>
      <c r="I5" s="347">
        <v>3085566</v>
      </c>
      <c r="J5" s="347">
        <v>3102345</v>
      </c>
      <c r="K5" s="347">
        <v>3337082</v>
      </c>
      <c r="L5" s="347">
        <v>3489582.9999999995</v>
      </c>
    </row>
    <row r="6" spans="1:13" ht="15" customHeight="1">
      <c r="A6" s="17" t="s">
        <v>551</v>
      </c>
      <c r="B6" s="347">
        <v>933126.00000000012</v>
      </c>
      <c r="C6" s="347">
        <v>966786.99999999988</v>
      </c>
      <c r="D6" s="347">
        <v>1002830.9999999999</v>
      </c>
      <c r="E6" s="347">
        <v>1038348.9999999998</v>
      </c>
      <c r="F6" s="347">
        <v>1090049.0000000002</v>
      </c>
      <c r="G6" s="347">
        <v>1119718.0000000005</v>
      </c>
      <c r="H6" s="347">
        <v>1132969.9999999998</v>
      </c>
      <c r="I6" s="347">
        <v>1127589.9999999998</v>
      </c>
      <c r="J6" s="347">
        <v>1137435.9999999998</v>
      </c>
      <c r="K6" s="347">
        <v>1215310.0000000002</v>
      </c>
      <c r="L6" s="347">
        <v>1260100.0000000002</v>
      </c>
    </row>
    <row r="7" spans="1:13" ht="15" customHeight="1">
      <c r="A7" s="661" t="s">
        <v>552</v>
      </c>
      <c r="B7" s="348">
        <v>53023</v>
      </c>
      <c r="C7" s="348">
        <v>54568</v>
      </c>
      <c r="D7" s="348">
        <v>56865</v>
      </c>
      <c r="E7" s="348">
        <v>57001</v>
      </c>
      <c r="F7" s="348">
        <v>59646</v>
      </c>
      <c r="G7" s="348">
        <v>62987.000000000007</v>
      </c>
      <c r="H7" s="348">
        <v>63449</v>
      </c>
      <c r="I7" s="348">
        <v>64864</v>
      </c>
      <c r="J7" s="348">
        <v>65112</v>
      </c>
      <c r="K7" s="348">
        <v>68558</v>
      </c>
      <c r="L7" s="348">
        <v>72633</v>
      </c>
    </row>
    <row r="8" spans="1:13" ht="15" customHeight="1">
      <c r="A8" s="661" t="s">
        <v>553</v>
      </c>
      <c r="B8" s="348">
        <v>107406</v>
      </c>
      <c r="C8" s="348">
        <v>112832.00000000001</v>
      </c>
      <c r="D8" s="348">
        <v>116890</v>
      </c>
      <c r="E8" s="348">
        <v>122550</v>
      </c>
      <c r="F8" s="348">
        <v>129416</v>
      </c>
      <c r="G8" s="348">
        <v>135825</v>
      </c>
      <c r="H8" s="348">
        <v>139055</v>
      </c>
      <c r="I8" s="348">
        <v>138839</v>
      </c>
      <c r="J8" s="348">
        <v>141395</v>
      </c>
      <c r="K8" s="348">
        <v>153121</v>
      </c>
      <c r="L8" s="348">
        <v>160086</v>
      </c>
    </row>
    <row r="9" spans="1:13" ht="15" customHeight="1">
      <c r="A9" s="661" t="s">
        <v>554</v>
      </c>
      <c r="B9" s="348">
        <v>121303</v>
      </c>
      <c r="C9" s="348">
        <v>125966</v>
      </c>
      <c r="D9" s="348">
        <v>131033.00000000001</v>
      </c>
      <c r="E9" s="348">
        <v>136891</v>
      </c>
      <c r="F9" s="348">
        <v>141727</v>
      </c>
      <c r="G9" s="348">
        <v>145043</v>
      </c>
      <c r="H9" s="348">
        <v>138907.99999999997</v>
      </c>
      <c r="I9" s="348">
        <v>141053.99999999997</v>
      </c>
      <c r="J9" s="348">
        <v>141116.99999999997</v>
      </c>
      <c r="K9" s="348">
        <v>149246</v>
      </c>
      <c r="L9" s="348">
        <v>150333</v>
      </c>
      <c r="M9" s="466"/>
    </row>
    <row r="10" spans="1:13" ht="15" customHeight="1">
      <c r="A10" s="661" t="s">
        <v>555</v>
      </c>
      <c r="B10" s="348">
        <v>484471</v>
      </c>
      <c r="C10" s="348">
        <v>501063.99999999994</v>
      </c>
      <c r="D10" s="348">
        <v>519452</v>
      </c>
      <c r="E10" s="348">
        <v>537773</v>
      </c>
      <c r="F10" s="348">
        <v>569098</v>
      </c>
      <c r="G10" s="348">
        <v>581232</v>
      </c>
      <c r="H10" s="348">
        <v>596772</v>
      </c>
      <c r="I10" s="348">
        <v>586860.00000000012</v>
      </c>
      <c r="J10" s="348">
        <v>588688</v>
      </c>
      <c r="K10" s="348">
        <v>633694</v>
      </c>
      <c r="L10" s="348">
        <v>658882.00000000012</v>
      </c>
      <c r="M10" s="466"/>
    </row>
    <row r="11" spans="1:13" ht="15" customHeight="1">
      <c r="A11" s="661" t="s">
        <v>556</v>
      </c>
      <c r="B11" s="348">
        <v>12212.999999999998</v>
      </c>
      <c r="C11" s="348">
        <v>12481</v>
      </c>
      <c r="D11" s="348">
        <v>12990</v>
      </c>
      <c r="E11" s="348">
        <v>13302</v>
      </c>
      <c r="F11" s="348">
        <v>14461</v>
      </c>
      <c r="G11" s="348">
        <v>14799</v>
      </c>
      <c r="H11" s="348">
        <v>15061.000000000002</v>
      </c>
      <c r="I11" s="348">
        <v>14649</v>
      </c>
      <c r="J11" s="348">
        <v>14857.000000000002</v>
      </c>
      <c r="K11" s="348">
        <v>15757.000000000002</v>
      </c>
      <c r="L11" s="348">
        <v>16238</v>
      </c>
      <c r="M11" s="466"/>
    </row>
    <row r="12" spans="1:13" ht="15" customHeight="1">
      <c r="A12" s="661" t="s">
        <v>557</v>
      </c>
      <c r="B12" s="348">
        <v>105008.99999999999</v>
      </c>
      <c r="C12" s="348">
        <v>109577</v>
      </c>
      <c r="D12" s="348">
        <v>113797.99999999999</v>
      </c>
      <c r="E12" s="348">
        <v>117764.99999999999</v>
      </c>
      <c r="F12" s="348">
        <v>121423</v>
      </c>
      <c r="G12" s="348">
        <v>124176</v>
      </c>
      <c r="H12" s="348">
        <v>123941</v>
      </c>
      <c r="I12" s="348">
        <v>124025</v>
      </c>
      <c r="J12" s="348">
        <v>127874.00000000001</v>
      </c>
      <c r="K12" s="348">
        <v>134241</v>
      </c>
      <c r="L12" s="348">
        <v>138339</v>
      </c>
      <c r="M12" s="466"/>
    </row>
    <row r="13" spans="1:13" ht="15" customHeight="1">
      <c r="A13" s="661" t="s">
        <v>558</v>
      </c>
      <c r="B13" s="348">
        <v>32813</v>
      </c>
      <c r="C13" s="348">
        <v>32882.000000000007</v>
      </c>
      <c r="D13" s="348">
        <v>33847</v>
      </c>
      <c r="E13" s="348">
        <v>34594.999999999993</v>
      </c>
      <c r="F13" s="348">
        <v>35335</v>
      </c>
      <c r="G13" s="348">
        <v>36289.000000000007</v>
      </c>
      <c r="H13" s="348">
        <v>36417</v>
      </c>
      <c r="I13" s="348">
        <v>37413</v>
      </c>
      <c r="J13" s="348">
        <v>38175.000000000015</v>
      </c>
      <c r="K13" s="348">
        <v>40025.000000000007</v>
      </c>
      <c r="L13" s="348">
        <v>42126.999999999993</v>
      </c>
      <c r="M13" s="466"/>
    </row>
    <row r="14" spans="1:13" ht="15" customHeight="1">
      <c r="A14" s="661" t="s">
        <v>559</v>
      </c>
      <c r="B14" s="348">
        <v>16888</v>
      </c>
      <c r="C14" s="348">
        <v>17417</v>
      </c>
      <c r="D14" s="348">
        <v>17956.000000000004</v>
      </c>
      <c r="E14" s="348">
        <v>18472</v>
      </c>
      <c r="F14" s="348">
        <v>18943</v>
      </c>
      <c r="G14" s="348">
        <v>19367.000000000004</v>
      </c>
      <c r="H14" s="348">
        <v>19367</v>
      </c>
      <c r="I14" s="348">
        <v>19886</v>
      </c>
      <c r="J14" s="348">
        <v>20217.999999999996</v>
      </c>
      <c r="K14" s="348">
        <v>20667.999999999996</v>
      </c>
      <c r="L14" s="348">
        <v>21461.999999999993</v>
      </c>
      <c r="M14" s="466"/>
    </row>
    <row r="15" spans="1:13" ht="15" customHeight="1">
      <c r="A15" s="17" t="s">
        <v>560</v>
      </c>
      <c r="B15" s="347">
        <v>405897.00000000029</v>
      </c>
      <c r="C15" s="347">
        <v>416808.00000000023</v>
      </c>
      <c r="D15" s="347">
        <v>426185</v>
      </c>
      <c r="E15" s="347">
        <v>438938.99999999994</v>
      </c>
      <c r="F15" s="347">
        <v>455651.00000000006</v>
      </c>
      <c r="G15" s="347">
        <v>471228.00000000006</v>
      </c>
      <c r="H15" s="347">
        <v>474235.00000000012</v>
      </c>
      <c r="I15" s="347">
        <v>476406.00000000023</v>
      </c>
      <c r="J15" s="347">
        <v>477289.00000000006</v>
      </c>
      <c r="K15" s="347">
        <v>506309.99999999988</v>
      </c>
      <c r="L15" s="347">
        <v>524218.00000000012</v>
      </c>
      <c r="M15" s="466"/>
    </row>
    <row r="16" spans="1:13" ht="15" customHeight="1">
      <c r="A16" s="661" t="s">
        <v>561</v>
      </c>
      <c r="B16" s="348">
        <v>101729.00000000001</v>
      </c>
      <c r="C16" s="348">
        <v>105834</v>
      </c>
      <c r="D16" s="348">
        <v>108508</v>
      </c>
      <c r="E16" s="348">
        <v>114017</v>
      </c>
      <c r="F16" s="348">
        <v>118713.00000000001</v>
      </c>
      <c r="G16" s="348">
        <v>125109.00000000001</v>
      </c>
      <c r="H16" s="348">
        <v>126163.00000000001</v>
      </c>
      <c r="I16" s="348">
        <v>127075</v>
      </c>
      <c r="J16" s="348">
        <v>124894</v>
      </c>
      <c r="K16" s="348">
        <v>135023</v>
      </c>
      <c r="L16" s="348">
        <v>139483</v>
      </c>
      <c r="M16" s="466"/>
    </row>
    <row r="17" spans="1:15" ht="15" customHeight="1">
      <c r="A17" s="661" t="s">
        <v>562</v>
      </c>
      <c r="B17" s="348">
        <v>99480</v>
      </c>
      <c r="C17" s="348">
        <v>98821</v>
      </c>
      <c r="D17" s="348">
        <v>101551</v>
      </c>
      <c r="E17" s="348">
        <v>103167.00000000001</v>
      </c>
      <c r="F17" s="348">
        <v>107820.00000000001</v>
      </c>
      <c r="G17" s="348">
        <v>109081.99999999999</v>
      </c>
      <c r="H17" s="348">
        <v>110360.99999999999</v>
      </c>
      <c r="I17" s="348">
        <v>111631.00000000001</v>
      </c>
      <c r="J17" s="348">
        <v>111741.99999999999</v>
      </c>
      <c r="K17" s="348">
        <v>119330.00000000001</v>
      </c>
      <c r="L17" s="348">
        <v>122152</v>
      </c>
      <c r="M17" s="466"/>
    </row>
    <row r="18" spans="1:15" ht="15" customHeight="1">
      <c r="A18" s="661" t="s">
        <v>563</v>
      </c>
      <c r="B18" s="348">
        <v>84147</v>
      </c>
      <c r="C18" s="348">
        <v>88098.000000000015</v>
      </c>
      <c r="D18" s="348">
        <v>90173</v>
      </c>
      <c r="E18" s="348">
        <v>93302</v>
      </c>
      <c r="F18" s="348">
        <v>96838</v>
      </c>
      <c r="G18" s="348">
        <v>98908</v>
      </c>
      <c r="H18" s="348">
        <v>99524.000000000015</v>
      </c>
      <c r="I18" s="348">
        <v>99673</v>
      </c>
      <c r="J18" s="348">
        <v>101975</v>
      </c>
      <c r="K18" s="348">
        <v>105680</v>
      </c>
      <c r="L18" s="348">
        <v>109519</v>
      </c>
      <c r="M18" s="466"/>
    </row>
    <row r="19" spans="1:15" ht="15" customHeight="1">
      <c r="A19" s="661" t="s">
        <v>564</v>
      </c>
      <c r="B19" s="348">
        <v>57790</v>
      </c>
      <c r="C19" s="348">
        <v>59194.999999999985</v>
      </c>
      <c r="D19" s="348">
        <v>60825.999999999993</v>
      </c>
      <c r="E19" s="348">
        <v>62720.000000000015</v>
      </c>
      <c r="F19" s="348">
        <v>65047.999999999993</v>
      </c>
      <c r="G19" s="348">
        <v>68123</v>
      </c>
      <c r="H19" s="348">
        <v>69618</v>
      </c>
      <c r="I19" s="348">
        <v>69458</v>
      </c>
      <c r="J19" s="348">
        <v>69853</v>
      </c>
      <c r="K19" s="348">
        <v>74206</v>
      </c>
      <c r="L19" s="348">
        <v>77276</v>
      </c>
      <c r="M19" s="466"/>
    </row>
    <row r="20" spans="1:15" ht="15" customHeight="1">
      <c r="A20" s="661" t="s">
        <v>565</v>
      </c>
      <c r="B20" s="348">
        <v>19693</v>
      </c>
      <c r="C20" s="348">
        <v>20702</v>
      </c>
      <c r="D20" s="348">
        <v>20362</v>
      </c>
      <c r="E20" s="348">
        <v>20449</v>
      </c>
      <c r="F20" s="348">
        <v>20492</v>
      </c>
      <c r="G20" s="348">
        <v>22102</v>
      </c>
      <c r="H20" s="348">
        <v>21918</v>
      </c>
      <c r="I20" s="348">
        <v>21929</v>
      </c>
      <c r="J20" s="348">
        <v>21615</v>
      </c>
      <c r="K20" s="348">
        <v>22628</v>
      </c>
      <c r="L20" s="348">
        <v>23604</v>
      </c>
      <c r="M20" s="466"/>
    </row>
    <row r="21" spans="1:15" ht="15" customHeight="1">
      <c r="A21" s="661" t="s">
        <v>566</v>
      </c>
      <c r="B21" s="348">
        <v>43057.999999999993</v>
      </c>
      <c r="C21" s="348">
        <v>44158</v>
      </c>
      <c r="D21" s="348">
        <v>44765</v>
      </c>
      <c r="E21" s="348">
        <v>45284</v>
      </c>
      <c r="F21" s="348">
        <v>46740.000000000007</v>
      </c>
      <c r="G21" s="348">
        <v>47904</v>
      </c>
      <c r="H21" s="348">
        <v>46651</v>
      </c>
      <c r="I21" s="348">
        <v>46640</v>
      </c>
      <c r="J21" s="348">
        <v>47210</v>
      </c>
      <c r="K21" s="348">
        <v>49443</v>
      </c>
      <c r="L21" s="348">
        <v>52184</v>
      </c>
      <c r="M21" s="466"/>
    </row>
    <row r="22" spans="1:15" s="20" customFormat="1" ht="15" customHeight="1">
      <c r="A22" s="17" t="s">
        <v>567</v>
      </c>
      <c r="B22" s="347">
        <v>181980.00000000003</v>
      </c>
      <c r="C22" s="347">
        <v>187163.99999999997</v>
      </c>
      <c r="D22" s="347">
        <v>191426.99999999997</v>
      </c>
      <c r="E22" s="347">
        <v>195958</v>
      </c>
      <c r="F22" s="347">
        <v>207117.99999999994</v>
      </c>
      <c r="G22" s="347">
        <v>218361</v>
      </c>
      <c r="H22" s="347">
        <v>222503.00000000012</v>
      </c>
      <c r="I22" s="347">
        <v>222503</v>
      </c>
      <c r="J22" s="347">
        <v>220224.99999999991</v>
      </c>
      <c r="K22" s="347">
        <v>233662.99999999994</v>
      </c>
      <c r="L22" s="347">
        <v>244696.99999999994</v>
      </c>
      <c r="M22" s="466"/>
      <c r="O22" s="4"/>
    </row>
    <row r="23" spans="1:15" ht="15" customHeight="1">
      <c r="A23" s="661" t="s">
        <v>568</v>
      </c>
      <c r="B23" s="348">
        <v>79682</v>
      </c>
      <c r="C23" s="348">
        <v>83007</v>
      </c>
      <c r="D23" s="348">
        <v>85074</v>
      </c>
      <c r="E23" s="348">
        <v>87605.999999999985</v>
      </c>
      <c r="F23" s="348">
        <v>92480</v>
      </c>
      <c r="G23" s="348">
        <v>100447</v>
      </c>
      <c r="H23" s="348">
        <v>102230.00000000001</v>
      </c>
      <c r="I23" s="348">
        <v>101028.99999999999</v>
      </c>
      <c r="J23" s="348">
        <v>99264.999999999985</v>
      </c>
      <c r="K23" s="348">
        <v>105262</v>
      </c>
      <c r="L23" s="348">
        <v>111666</v>
      </c>
    </row>
    <row r="24" spans="1:15" ht="17.45" customHeight="1">
      <c r="A24" s="661" t="s">
        <v>569</v>
      </c>
      <c r="B24" s="348">
        <v>49139</v>
      </c>
      <c r="C24" s="348">
        <v>49897</v>
      </c>
      <c r="D24" s="348">
        <v>51350</v>
      </c>
      <c r="E24" s="348">
        <v>51114</v>
      </c>
      <c r="F24" s="348">
        <v>53556</v>
      </c>
      <c r="G24" s="348">
        <v>54546.999999999993</v>
      </c>
      <c r="H24" s="348">
        <v>55892</v>
      </c>
      <c r="I24" s="348">
        <v>55002</v>
      </c>
      <c r="J24" s="348">
        <v>54352.000000000007</v>
      </c>
      <c r="K24" s="348">
        <v>58043.999999999993</v>
      </c>
      <c r="L24" s="348">
        <v>59990</v>
      </c>
    </row>
    <row r="25" spans="1:15" ht="17.45" customHeight="1">
      <c r="A25" s="661" t="s">
        <v>570</v>
      </c>
      <c r="B25" s="348">
        <v>53158.999999999993</v>
      </c>
      <c r="C25" s="348">
        <v>54260</v>
      </c>
      <c r="D25" s="348">
        <v>55003</v>
      </c>
      <c r="E25" s="348">
        <v>57238.000000000007</v>
      </c>
      <c r="F25" s="348">
        <v>61082</v>
      </c>
      <c r="G25" s="348">
        <v>63366.999999999993</v>
      </c>
      <c r="H25" s="348">
        <v>64381</v>
      </c>
      <c r="I25" s="348">
        <v>66472</v>
      </c>
      <c r="J25" s="348">
        <v>66608</v>
      </c>
      <c r="K25" s="348">
        <v>70357</v>
      </c>
      <c r="L25" s="348">
        <v>73041</v>
      </c>
    </row>
    <row r="26" spans="1:15" ht="17.45" customHeight="1">
      <c r="A26" s="17" t="s">
        <v>571</v>
      </c>
      <c r="B26" s="347">
        <v>692704</v>
      </c>
      <c r="C26" s="347">
        <v>715126</v>
      </c>
      <c r="D26" s="347">
        <v>730551</v>
      </c>
      <c r="E26" s="347">
        <v>765222</v>
      </c>
      <c r="F26" s="347">
        <v>790694</v>
      </c>
      <c r="G26" s="347">
        <v>826919</v>
      </c>
      <c r="H26" s="347">
        <v>845336</v>
      </c>
      <c r="I26" s="347">
        <v>835460</v>
      </c>
      <c r="J26" s="347">
        <v>838586</v>
      </c>
      <c r="K26" s="347">
        <v>915180</v>
      </c>
      <c r="L26" s="347">
        <v>969558</v>
      </c>
    </row>
    <row r="27" spans="1:15" ht="17.45" customHeight="1">
      <c r="A27" s="17" t="s">
        <v>572</v>
      </c>
      <c r="B27" s="347">
        <v>128055</v>
      </c>
      <c r="C27" s="347">
        <v>129592</v>
      </c>
      <c r="D27" s="347">
        <v>132359</v>
      </c>
      <c r="E27" s="347">
        <v>135968</v>
      </c>
      <c r="F27" s="347">
        <v>143619</v>
      </c>
      <c r="G27" s="347">
        <v>152137</v>
      </c>
      <c r="H27" s="347">
        <v>155943</v>
      </c>
      <c r="I27" s="347">
        <v>156000</v>
      </c>
      <c r="J27" s="347">
        <v>157437</v>
      </c>
      <c r="K27" s="347">
        <v>168606.00000000003</v>
      </c>
      <c r="L27" s="347">
        <v>173313</v>
      </c>
    </row>
    <row r="28" spans="1:15" ht="17.45" customHeight="1">
      <c r="A28" s="17" t="s">
        <v>573</v>
      </c>
      <c r="B28" s="347">
        <v>99741.999999999971</v>
      </c>
      <c r="C28" s="347">
        <v>101944.99999999997</v>
      </c>
      <c r="D28" s="347">
        <v>105678.00000000003</v>
      </c>
      <c r="E28" s="347">
        <v>109694</v>
      </c>
      <c r="F28" s="347">
        <v>114002.00000000001</v>
      </c>
      <c r="G28" s="347">
        <v>117709.00000000001</v>
      </c>
      <c r="H28" s="347">
        <v>119673.99999999999</v>
      </c>
      <c r="I28" s="347">
        <v>122938.99999999997</v>
      </c>
      <c r="J28" s="347">
        <v>122965.99999999997</v>
      </c>
      <c r="K28" s="347">
        <v>132510.00000000003</v>
      </c>
      <c r="L28" s="347">
        <v>139263</v>
      </c>
    </row>
    <row r="29" spans="1:15" ht="17.45" customHeight="1">
      <c r="A29" s="661" t="s">
        <v>574</v>
      </c>
      <c r="B29" s="348">
        <v>21618</v>
      </c>
      <c r="C29" s="348">
        <v>21990</v>
      </c>
      <c r="D29" s="348">
        <v>23369</v>
      </c>
      <c r="E29" s="348">
        <v>24792</v>
      </c>
      <c r="F29" s="348">
        <v>26345</v>
      </c>
      <c r="G29" s="348">
        <v>27966</v>
      </c>
      <c r="H29" s="348">
        <v>29548</v>
      </c>
      <c r="I29" s="348">
        <v>33057</v>
      </c>
      <c r="J29" s="348">
        <v>33366</v>
      </c>
      <c r="K29" s="348">
        <v>35947</v>
      </c>
      <c r="L29" s="348">
        <v>37881</v>
      </c>
    </row>
    <row r="30" spans="1:15" ht="17.45" customHeight="1">
      <c r="A30" s="661" t="s">
        <v>575</v>
      </c>
      <c r="B30" s="348">
        <v>23564</v>
      </c>
      <c r="C30" s="348">
        <v>23979.999999999996</v>
      </c>
      <c r="D30" s="348">
        <v>24788</v>
      </c>
      <c r="E30" s="348">
        <v>25090</v>
      </c>
      <c r="F30" s="348">
        <v>26560</v>
      </c>
      <c r="G30" s="348">
        <v>26946.000000000004</v>
      </c>
      <c r="H30" s="348">
        <v>26981</v>
      </c>
      <c r="I30" s="348">
        <v>26942</v>
      </c>
      <c r="J30" s="348">
        <v>27020.999999999993</v>
      </c>
      <c r="K30" s="348">
        <v>29984</v>
      </c>
      <c r="L30" s="348">
        <v>31710.000000000004</v>
      </c>
    </row>
    <row r="31" spans="1:15" ht="17.45" customHeight="1">
      <c r="A31" s="661" t="s">
        <v>576</v>
      </c>
      <c r="B31" s="348">
        <v>20094</v>
      </c>
      <c r="C31" s="348">
        <v>20497.000000000004</v>
      </c>
      <c r="D31" s="348">
        <v>20703.999999999996</v>
      </c>
      <c r="E31" s="348">
        <v>21614.000000000004</v>
      </c>
      <c r="F31" s="348">
        <v>22068</v>
      </c>
      <c r="G31" s="348">
        <v>22055.999999999996</v>
      </c>
      <c r="H31" s="348">
        <v>22201.000000000004</v>
      </c>
      <c r="I31" s="348">
        <v>22475</v>
      </c>
      <c r="J31" s="348">
        <v>21854</v>
      </c>
      <c r="K31" s="348">
        <v>23056</v>
      </c>
      <c r="L31" s="348">
        <v>24444.000000000004</v>
      </c>
    </row>
    <row r="32" spans="1:15" ht="17.45" customHeight="1">
      <c r="A32" s="661" t="s">
        <v>577</v>
      </c>
      <c r="B32" s="348">
        <v>34466</v>
      </c>
      <c r="C32" s="348">
        <v>35478</v>
      </c>
      <c r="D32" s="348">
        <v>36817</v>
      </c>
      <c r="E32" s="348">
        <v>38198</v>
      </c>
      <c r="F32" s="348">
        <v>39028.999999999993</v>
      </c>
      <c r="G32" s="348">
        <v>40741</v>
      </c>
      <c r="H32" s="348">
        <v>40943.999999999993</v>
      </c>
      <c r="I32" s="348">
        <v>40465</v>
      </c>
      <c r="J32" s="348">
        <v>40724.999999999993</v>
      </c>
      <c r="K32" s="348">
        <v>43523</v>
      </c>
      <c r="L32" s="348">
        <v>45228</v>
      </c>
    </row>
    <row r="33" spans="1:15" ht="17.45" customHeight="1">
      <c r="A33" s="19" t="s">
        <v>578</v>
      </c>
      <c r="B33" s="663">
        <v>114172.00000000001</v>
      </c>
      <c r="C33" s="663">
        <v>119459</v>
      </c>
      <c r="D33" s="663">
        <v>126979.99999999999</v>
      </c>
      <c r="E33" s="663">
        <v>135848.00000000003</v>
      </c>
      <c r="F33" s="663">
        <v>145770.00000000003</v>
      </c>
      <c r="G33" s="663">
        <v>154417</v>
      </c>
      <c r="H33" s="663">
        <v>160288</v>
      </c>
      <c r="I33" s="663">
        <v>144667.99999999997</v>
      </c>
      <c r="J33" s="663">
        <v>148406</v>
      </c>
      <c r="K33" s="663">
        <v>165503</v>
      </c>
      <c r="L33" s="663">
        <v>178434</v>
      </c>
      <c r="O33" s="20"/>
    </row>
    <row r="34" spans="1:15" ht="17.45" customHeight="1">
      <c r="A34" s="21" t="s">
        <v>138</v>
      </c>
      <c r="C34" s="18"/>
      <c r="D34" s="18"/>
      <c r="E34" s="18"/>
      <c r="F34" s="18"/>
      <c r="G34" s="18"/>
      <c r="H34" s="18"/>
      <c r="I34" s="18"/>
      <c r="J34" s="18"/>
      <c r="K34" s="18"/>
      <c r="L34" s="18"/>
    </row>
  </sheetData>
  <mergeCells count="1">
    <mergeCell ref="A1:L1"/>
  </mergeCells>
  <conditionalFormatting sqref="A1 A35:E1048576 M1:N61 P1:XFD61 M62:XFD1048576">
    <cfRule type="cellIs" dxfId="834" priority="26" operator="equal">
      <formula>0</formula>
    </cfRule>
    <cfRule type="cellIs" priority="27" operator="equal">
      <formula>0</formula>
    </cfRule>
  </conditionalFormatting>
  <conditionalFormatting sqref="M4:N4">
    <cfRule type="cellIs" dxfId="833" priority="25" operator="equal">
      <formula>0</formula>
    </cfRule>
  </conditionalFormatting>
  <conditionalFormatting sqref="M4:N4">
    <cfRule type="containsText" dxfId="832" priority="24" operator="containsText" text="FALSO">
      <formula>NOT(ISERROR(SEARCH("FALSO",M4)))</formula>
    </cfRule>
  </conditionalFormatting>
  <conditionalFormatting sqref="H35:H1048576">
    <cfRule type="cellIs" dxfId="831" priority="22" operator="equal">
      <formula>0</formula>
    </cfRule>
    <cfRule type="cellIs" priority="23" operator="equal">
      <formula>0</formula>
    </cfRule>
  </conditionalFormatting>
  <conditionalFormatting sqref="F35:F1048576">
    <cfRule type="cellIs" dxfId="830" priority="20" operator="equal">
      <formula>0</formula>
    </cfRule>
    <cfRule type="cellIs" priority="21" operator="equal">
      <formula>0</formula>
    </cfRule>
  </conditionalFormatting>
  <conditionalFormatting sqref="G35:G1048576">
    <cfRule type="cellIs" dxfId="829" priority="18" operator="equal">
      <formula>0</formula>
    </cfRule>
    <cfRule type="cellIs" priority="19" operator="equal">
      <formula>0</formula>
    </cfRule>
  </conditionalFormatting>
  <conditionalFormatting sqref="I35:I1048576">
    <cfRule type="cellIs" dxfId="828" priority="16" operator="equal">
      <formula>0</formula>
    </cfRule>
    <cfRule type="cellIs" priority="17" operator="equal">
      <formula>0</formula>
    </cfRule>
  </conditionalFormatting>
  <conditionalFormatting sqref="K35:K1048576">
    <cfRule type="cellIs" dxfId="827" priority="12" operator="equal">
      <formula>0</formula>
    </cfRule>
    <cfRule type="cellIs" priority="13" operator="equal">
      <formula>0</formula>
    </cfRule>
  </conditionalFormatting>
  <conditionalFormatting sqref="J35:J1048576">
    <cfRule type="cellIs" dxfId="826" priority="14" operator="equal">
      <formula>0</formula>
    </cfRule>
    <cfRule type="cellIs" priority="15" operator="equal">
      <formula>0</formula>
    </cfRule>
  </conditionalFormatting>
  <conditionalFormatting sqref="L35:L1048576">
    <cfRule type="cellIs" dxfId="825" priority="10" operator="equal">
      <formula>0</formula>
    </cfRule>
    <cfRule type="cellIs" priority="11" operator="equal">
      <formula>0</formula>
    </cfRule>
  </conditionalFormatting>
  <conditionalFormatting sqref="C34:D34 B5:L33">
    <cfRule type="cellIs" dxfId="824" priority="9" operator="equal">
      <formula>0</formula>
    </cfRule>
  </conditionalFormatting>
  <conditionalFormatting sqref="E34">
    <cfRule type="cellIs" dxfId="823" priority="8" operator="equal">
      <formula>0</formula>
    </cfRule>
  </conditionalFormatting>
  <conditionalFormatting sqref="H34">
    <cfRule type="cellIs" dxfId="822" priority="7" operator="equal">
      <formula>0</formula>
    </cfRule>
  </conditionalFormatting>
  <conditionalFormatting sqref="F34">
    <cfRule type="cellIs" dxfId="821" priority="6" operator="equal">
      <formula>0</formula>
    </cfRule>
  </conditionalFormatting>
  <conditionalFormatting sqref="G34">
    <cfRule type="cellIs" dxfId="820" priority="5" operator="equal">
      <formula>0</formula>
    </cfRule>
  </conditionalFormatting>
  <conditionalFormatting sqref="I34">
    <cfRule type="cellIs" dxfId="819" priority="4" operator="equal">
      <formula>0</formula>
    </cfRule>
  </conditionalFormatting>
  <conditionalFormatting sqref="J34">
    <cfRule type="cellIs" dxfId="818" priority="3" operator="equal">
      <formula>0</formula>
    </cfRule>
  </conditionalFormatting>
  <conditionalFormatting sqref="K34">
    <cfRule type="cellIs" dxfId="817" priority="2" operator="equal">
      <formula>0</formula>
    </cfRule>
  </conditionalFormatting>
  <conditionalFormatting sqref="L34">
    <cfRule type="cellIs" dxfId="816"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4" orientation="portrait" r:id="rId1"/>
  <headerFooter>
    <oddHeader xml:space="preserve">&amp;C&amp;G
</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tabColor indexed="25"/>
    <pageSetUpPr fitToPage="1"/>
  </sheetPr>
  <dimension ref="A1:P330"/>
  <sheetViews>
    <sheetView showGridLines="0" workbookViewId="0">
      <selection sqref="A1:M1"/>
    </sheetView>
  </sheetViews>
  <sheetFormatPr defaultColWidth="9.140625" defaultRowHeight="11.25"/>
  <cols>
    <col min="1" max="1" width="2" style="61" customWidth="1"/>
    <col min="2" max="2" width="28.42578125" style="61" customWidth="1"/>
    <col min="3" max="3" width="7.5703125" style="144" customWidth="1"/>
    <col min="4" max="4" width="7.5703125" style="175" customWidth="1"/>
    <col min="5" max="5" width="7.5703125" style="199" customWidth="1"/>
    <col min="6" max="13" width="7.5703125" style="211" customWidth="1"/>
    <col min="14" max="14" width="5.85546875" style="61" bestFit="1" customWidth="1"/>
    <col min="15" max="16384" width="9.140625" style="61"/>
  </cols>
  <sheetData>
    <row r="1" spans="1:16" s="129" customFormat="1" ht="28.5" customHeight="1">
      <c r="A1" s="789" t="s">
        <v>645</v>
      </c>
      <c r="B1" s="789"/>
      <c r="C1" s="789"/>
      <c r="D1" s="789"/>
      <c r="E1" s="789"/>
      <c r="F1" s="789"/>
      <c r="G1" s="789"/>
      <c r="H1" s="789"/>
      <c r="I1" s="789"/>
      <c r="J1" s="789"/>
      <c r="K1" s="789"/>
      <c r="L1" s="789"/>
      <c r="M1" s="789"/>
    </row>
    <row r="2" spans="1:16" s="118" customFormat="1" ht="15.75" customHeight="1">
      <c r="A2" s="5"/>
      <c r="B2" s="5"/>
      <c r="C2" s="5"/>
      <c r="D2" s="5"/>
      <c r="E2" s="5"/>
      <c r="F2" s="5"/>
      <c r="G2" s="5"/>
      <c r="H2" s="5"/>
      <c r="I2" s="5"/>
      <c r="J2" s="5"/>
      <c r="K2" s="5"/>
      <c r="L2" s="5"/>
      <c r="M2" s="5"/>
    </row>
    <row r="3" spans="1:16" s="118" customFormat="1" ht="15.75" customHeight="1">
      <c r="A3" s="30" t="s">
        <v>42</v>
      </c>
      <c r="B3" s="21"/>
      <c r="C3" s="97"/>
      <c r="D3" s="97"/>
      <c r="E3" s="97"/>
      <c r="F3" s="97"/>
      <c r="G3" s="97"/>
      <c r="H3" s="97"/>
      <c r="I3" s="97"/>
      <c r="J3" s="97"/>
      <c r="K3" s="97"/>
      <c r="L3" s="97"/>
      <c r="M3" s="97"/>
    </row>
    <row r="4" spans="1:16" s="118" customFormat="1" ht="28.5" customHeight="1" thickBot="1">
      <c r="A4" s="107" t="s">
        <v>1</v>
      </c>
      <c r="B4" s="32"/>
      <c r="C4" s="6">
        <v>2013</v>
      </c>
      <c r="D4" s="6">
        <v>2014</v>
      </c>
      <c r="E4" s="6">
        <v>2015</v>
      </c>
      <c r="F4" s="6">
        <v>2016</v>
      </c>
      <c r="G4" s="6">
        <v>2017</v>
      </c>
      <c r="H4" s="6">
        <v>2018</v>
      </c>
      <c r="I4" s="6">
        <v>2019</v>
      </c>
      <c r="J4" s="6">
        <v>2020</v>
      </c>
      <c r="K4" s="6">
        <v>2021</v>
      </c>
      <c r="L4" s="6">
        <v>2022</v>
      </c>
      <c r="M4" s="6">
        <v>2023</v>
      </c>
    </row>
    <row r="5" spans="1:16" s="118" customFormat="1" ht="16.5" customHeight="1" thickTop="1">
      <c r="A5" s="34" t="s">
        <v>43</v>
      </c>
      <c r="B5" s="208"/>
      <c r="C5" s="354">
        <v>2384121</v>
      </c>
      <c r="D5" s="354">
        <v>2458163</v>
      </c>
      <c r="E5" s="354">
        <v>2537653</v>
      </c>
      <c r="F5" s="354">
        <v>2641919</v>
      </c>
      <c r="G5" s="354">
        <v>2767521</v>
      </c>
      <c r="H5" s="354">
        <v>2877918</v>
      </c>
      <c r="I5" s="354">
        <v>2930482</v>
      </c>
      <c r="J5" s="354">
        <v>2902825</v>
      </c>
      <c r="K5" s="354">
        <v>2922343</v>
      </c>
      <c r="L5" s="354">
        <v>3148147</v>
      </c>
      <c r="M5" s="354">
        <v>3296134</v>
      </c>
      <c r="O5" s="467">
        <f>+M5-19518</f>
        <v>3276616</v>
      </c>
      <c r="P5" s="118">
        <f>+(M5/L5-1)*100</f>
        <v>4.7007652438084913</v>
      </c>
    </row>
    <row r="6" spans="1:16" s="118" customFormat="1" ht="16.5" customHeight="1">
      <c r="A6" s="208" t="s">
        <v>73</v>
      </c>
      <c r="B6" s="326" t="s">
        <v>172</v>
      </c>
      <c r="C6" s="354">
        <v>52455</v>
      </c>
      <c r="D6" s="354">
        <v>54661</v>
      </c>
      <c r="E6" s="354">
        <v>57045</v>
      </c>
      <c r="F6" s="354">
        <v>60375</v>
      </c>
      <c r="G6" s="354">
        <v>61737</v>
      </c>
      <c r="H6" s="354">
        <v>65121</v>
      </c>
      <c r="I6" s="354">
        <v>66106</v>
      </c>
      <c r="J6" s="354">
        <v>69923</v>
      </c>
      <c r="K6" s="354">
        <v>68486</v>
      </c>
      <c r="L6" s="354">
        <v>74274</v>
      </c>
      <c r="M6" s="354">
        <v>78184</v>
      </c>
    </row>
    <row r="7" spans="1:16" s="118" customFormat="1" ht="12.75" customHeight="1">
      <c r="A7" s="208" t="s">
        <v>74</v>
      </c>
      <c r="B7" s="326" t="s">
        <v>102</v>
      </c>
      <c r="C7" s="354">
        <v>8319</v>
      </c>
      <c r="D7" s="354">
        <v>8158</v>
      </c>
      <c r="E7" s="354">
        <v>8132</v>
      </c>
      <c r="F7" s="354">
        <v>8049</v>
      </c>
      <c r="G7" s="354">
        <v>8407</v>
      </c>
      <c r="H7" s="354">
        <v>8338</v>
      </c>
      <c r="I7" s="354">
        <v>8161</v>
      </c>
      <c r="J7" s="354">
        <v>8029</v>
      </c>
      <c r="K7" s="354">
        <v>8140</v>
      </c>
      <c r="L7" s="354">
        <v>8518</v>
      </c>
      <c r="M7" s="354">
        <v>9125</v>
      </c>
    </row>
    <row r="8" spans="1:16" s="118" customFormat="1" ht="12.75" customHeight="1">
      <c r="A8" s="208" t="s">
        <v>75</v>
      </c>
      <c r="B8" s="326" t="s">
        <v>101</v>
      </c>
      <c r="C8" s="354">
        <v>541161</v>
      </c>
      <c r="D8" s="354">
        <v>557477</v>
      </c>
      <c r="E8" s="354">
        <v>572207</v>
      </c>
      <c r="F8" s="354">
        <v>589603</v>
      </c>
      <c r="G8" s="354">
        <v>613379</v>
      </c>
      <c r="H8" s="354">
        <v>633595</v>
      </c>
      <c r="I8" s="354">
        <v>625633</v>
      </c>
      <c r="J8" s="354">
        <v>614674</v>
      </c>
      <c r="K8" s="354">
        <v>612054</v>
      </c>
      <c r="L8" s="354">
        <v>642354</v>
      </c>
      <c r="M8" s="354">
        <v>650876</v>
      </c>
      <c r="O8" s="644">
        <f>+C8/$C$5*100</f>
        <v>22.698554309953227</v>
      </c>
      <c r="P8" s="644">
        <f>+M8/$M$5*100</f>
        <v>19.746648649599805</v>
      </c>
    </row>
    <row r="9" spans="1:16" s="118" customFormat="1" ht="12.75" customHeight="1">
      <c r="A9" s="106"/>
      <c r="B9" s="105" t="s">
        <v>88</v>
      </c>
      <c r="C9" s="355">
        <v>68898</v>
      </c>
      <c r="D9" s="355">
        <v>70623</v>
      </c>
      <c r="E9" s="355">
        <v>72014</v>
      </c>
      <c r="F9" s="355">
        <v>73877</v>
      </c>
      <c r="G9" s="355">
        <v>75799</v>
      </c>
      <c r="H9" s="355">
        <v>76198</v>
      </c>
      <c r="I9" s="355">
        <v>76999</v>
      </c>
      <c r="J9" s="355">
        <v>75224</v>
      </c>
      <c r="K9" s="355">
        <v>74493</v>
      </c>
      <c r="L9" s="355">
        <v>77930</v>
      </c>
      <c r="M9" s="355">
        <v>79233</v>
      </c>
      <c r="O9" s="644">
        <f t="shared" ref="O9:O72" si="0">+C9/$C$5*100</f>
        <v>2.8898701030694331</v>
      </c>
      <c r="P9" s="644">
        <f t="shared" ref="P9:P72" si="1">+M9/$M$5*100</f>
        <v>2.4038161069907962</v>
      </c>
    </row>
    <row r="10" spans="1:16" s="118" customFormat="1" ht="12.75" customHeight="1">
      <c r="A10" s="106"/>
      <c r="B10" s="105" t="s">
        <v>89</v>
      </c>
      <c r="C10" s="355">
        <v>11460</v>
      </c>
      <c r="D10" s="355">
        <v>11508</v>
      </c>
      <c r="E10" s="355">
        <v>11582</v>
      </c>
      <c r="F10" s="355">
        <v>11909</v>
      </c>
      <c r="G10" s="355">
        <v>12094</v>
      </c>
      <c r="H10" s="355">
        <v>12893</v>
      </c>
      <c r="I10" s="355">
        <v>13412</v>
      </c>
      <c r="J10" s="355">
        <v>12638</v>
      </c>
      <c r="K10" s="355">
        <v>12483</v>
      </c>
      <c r="L10" s="355">
        <v>13403</v>
      </c>
      <c r="M10" s="355">
        <v>13757</v>
      </c>
      <c r="O10" s="644">
        <f t="shared" si="0"/>
        <v>0.48068030104176757</v>
      </c>
      <c r="P10" s="644">
        <f t="shared" si="1"/>
        <v>0.41736774051054965</v>
      </c>
    </row>
    <row r="11" spans="1:16" s="118" customFormat="1" ht="12.75" customHeight="1">
      <c r="A11" s="106"/>
      <c r="B11" s="105" t="s">
        <v>90</v>
      </c>
      <c r="C11" s="355">
        <v>432</v>
      </c>
      <c r="D11" s="355">
        <v>448</v>
      </c>
      <c r="E11" s="355">
        <v>517</v>
      </c>
      <c r="F11" s="355">
        <v>482</v>
      </c>
      <c r="G11" s="355">
        <v>495</v>
      </c>
      <c r="H11" s="355">
        <v>484</v>
      </c>
      <c r="I11" s="355">
        <v>488</v>
      </c>
      <c r="J11" s="355">
        <v>487</v>
      </c>
      <c r="K11" s="355">
        <v>465</v>
      </c>
      <c r="L11" s="355">
        <v>471</v>
      </c>
      <c r="M11" s="355">
        <v>455</v>
      </c>
      <c r="O11" s="644">
        <f t="shared" si="0"/>
        <v>1.8119885693721083E-2</v>
      </c>
      <c r="P11" s="644">
        <f t="shared" si="1"/>
        <v>1.3804050442124016E-2</v>
      </c>
    </row>
    <row r="12" spans="1:16" s="118" customFormat="1" ht="12.75" customHeight="1">
      <c r="A12" s="106"/>
      <c r="B12" s="105" t="s">
        <v>0</v>
      </c>
      <c r="C12" s="355">
        <v>39489</v>
      </c>
      <c r="D12" s="355">
        <v>40612</v>
      </c>
      <c r="E12" s="355">
        <v>41676</v>
      </c>
      <c r="F12" s="355">
        <v>40854</v>
      </c>
      <c r="G12" s="355">
        <v>41361</v>
      </c>
      <c r="H12" s="355">
        <v>41962</v>
      </c>
      <c r="I12" s="355">
        <v>40293</v>
      </c>
      <c r="J12" s="355">
        <v>38891</v>
      </c>
      <c r="K12" s="355">
        <v>39175</v>
      </c>
      <c r="L12" s="355">
        <v>41534</v>
      </c>
      <c r="M12" s="355">
        <v>41044</v>
      </c>
      <c r="O12" s="644">
        <f t="shared" si="0"/>
        <v>1.6563337179614626</v>
      </c>
      <c r="P12" s="644">
        <f t="shared" si="1"/>
        <v>1.2452163655967872</v>
      </c>
    </row>
    <row r="13" spans="1:16" s="118" customFormat="1" ht="12.75" customHeight="1">
      <c r="A13" s="106"/>
      <c r="B13" s="105" t="s">
        <v>91</v>
      </c>
      <c r="C13" s="355">
        <v>69844</v>
      </c>
      <c r="D13" s="355">
        <v>74266</v>
      </c>
      <c r="E13" s="355">
        <v>75891</v>
      </c>
      <c r="F13" s="355">
        <v>76992</v>
      </c>
      <c r="G13" s="355">
        <v>77738</v>
      </c>
      <c r="H13" s="355">
        <v>76638</v>
      </c>
      <c r="I13" s="355">
        <v>70646</v>
      </c>
      <c r="J13" s="355">
        <v>67487</v>
      </c>
      <c r="K13" s="355">
        <v>64748</v>
      </c>
      <c r="L13" s="355">
        <v>67285</v>
      </c>
      <c r="M13" s="355">
        <v>64632</v>
      </c>
      <c r="O13" s="644">
        <f t="shared" si="0"/>
        <v>2.9295492972042947</v>
      </c>
      <c r="P13" s="644">
        <f t="shared" si="1"/>
        <v>1.9608426113744162</v>
      </c>
    </row>
    <row r="14" spans="1:16" s="118" customFormat="1" ht="12.75" customHeight="1">
      <c r="A14" s="106"/>
      <c r="B14" s="105" t="s">
        <v>146</v>
      </c>
      <c r="C14" s="355">
        <v>43266</v>
      </c>
      <c r="D14" s="355">
        <v>45762</v>
      </c>
      <c r="E14" s="355">
        <v>45788</v>
      </c>
      <c r="F14" s="355">
        <v>47395</v>
      </c>
      <c r="G14" s="355">
        <v>47716</v>
      </c>
      <c r="H14" s="355">
        <v>46464</v>
      </c>
      <c r="I14" s="355">
        <v>42722</v>
      </c>
      <c r="J14" s="355">
        <v>40782</v>
      </c>
      <c r="K14" s="355">
        <v>40694</v>
      </c>
      <c r="L14" s="355">
        <v>42801</v>
      </c>
      <c r="M14" s="355">
        <v>39748</v>
      </c>
      <c r="O14" s="644">
        <f t="shared" si="0"/>
        <v>1.8147568852419822</v>
      </c>
      <c r="P14" s="644">
        <f t="shared" si="1"/>
        <v>1.205897575766034</v>
      </c>
    </row>
    <row r="15" spans="1:16" s="118" customFormat="1" ht="12.75" customHeight="1">
      <c r="A15" s="106"/>
      <c r="B15" s="105" t="s">
        <v>147</v>
      </c>
      <c r="C15" s="355">
        <v>21974</v>
      </c>
      <c r="D15" s="355">
        <v>22246</v>
      </c>
      <c r="E15" s="355">
        <v>22725</v>
      </c>
      <c r="F15" s="355">
        <v>22715</v>
      </c>
      <c r="G15" s="355">
        <v>23200</v>
      </c>
      <c r="H15" s="355">
        <v>23991</v>
      </c>
      <c r="I15" s="355">
        <v>24017</v>
      </c>
      <c r="J15" s="355">
        <v>23028</v>
      </c>
      <c r="K15" s="355">
        <v>22977</v>
      </c>
      <c r="L15" s="355">
        <v>24179</v>
      </c>
      <c r="M15" s="355">
        <v>24713</v>
      </c>
      <c r="O15" s="644">
        <f t="shared" si="0"/>
        <v>0.9216814079486737</v>
      </c>
      <c r="P15" s="644">
        <f t="shared" si="1"/>
        <v>0.7497571397279359</v>
      </c>
    </row>
    <row r="16" spans="1:16" s="118" customFormat="1" ht="12.75" customHeight="1">
      <c r="A16" s="106"/>
      <c r="B16" s="105" t="s">
        <v>148</v>
      </c>
      <c r="C16" s="355">
        <v>10506</v>
      </c>
      <c r="D16" s="355">
        <v>10591</v>
      </c>
      <c r="E16" s="355">
        <v>10302</v>
      </c>
      <c r="F16" s="355">
        <v>10853</v>
      </c>
      <c r="G16" s="355">
        <v>11304</v>
      </c>
      <c r="H16" s="355">
        <v>12594</v>
      </c>
      <c r="I16" s="355">
        <v>12492</v>
      </c>
      <c r="J16" s="355">
        <v>12851</v>
      </c>
      <c r="K16" s="355">
        <v>12963</v>
      </c>
      <c r="L16" s="355">
        <v>13511</v>
      </c>
      <c r="M16" s="355">
        <v>13700</v>
      </c>
      <c r="O16" s="644">
        <f t="shared" si="0"/>
        <v>0.44066555346813352</v>
      </c>
      <c r="P16" s="644">
        <f t="shared" si="1"/>
        <v>0.41563844188373406</v>
      </c>
    </row>
    <row r="17" spans="1:16" s="118" customFormat="1" ht="12.75" customHeight="1">
      <c r="A17" s="106"/>
      <c r="B17" s="105" t="s">
        <v>149</v>
      </c>
      <c r="C17" s="355">
        <v>11690</v>
      </c>
      <c r="D17" s="355">
        <v>11721</v>
      </c>
      <c r="E17" s="355">
        <v>11701</v>
      </c>
      <c r="F17" s="355">
        <v>11810</v>
      </c>
      <c r="G17" s="355">
        <v>11876</v>
      </c>
      <c r="H17" s="355">
        <v>11703</v>
      </c>
      <c r="I17" s="355">
        <v>11157</v>
      </c>
      <c r="J17" s="355">
        <v>10757</v>
      </c>
      <c r="K17" s="355">
        <v>10533</v>
      </c>
      <c r="L17" s="355">
        <v>11057</v>
      </c>
      <c r="M17" s="355">
        <v>10724</v>
      </c>
      <c r="O17" s="644">
        <f t="shared" si="0"/>
        <v>0.49032746240648023</v>
      </c>
      <c r="P17" s="644">
        <f t="shared" si="1"/>
        <v>0.32535085042052297</v>
      </c>
    </row>
    <row r="18" spans="1:16" s="118" customFormat="1" ht="12.75" customHeight="1">
      <c r="A18" s="106"/>
      <c r="B18" s="105" t="s">
        <v>150</v>
      </c>
      <c r="C18" s="355">
        <v>2068</v>
      </c>
      <c r="D18" s="355">
        <v>1979</v>
      </c>
      <c r="E18" s="355">
        <v>1851</v>
      </c>
      <c r="F18" s="355">
        <v>1849</v>
      </c>
      <c r="G18" s="355">
        <v>1816</v>
      </c>
      <c r="H18" s="355">
        <v>1811</v>
      </c>
      <c r="I18" s="355">
        <v>1732</v>
      </c>
      <c r="J18" s="355">
        <v>1593</v>
      </c>
      <c r="K18" s="355">
        <v>1314</v>
      </c>
      <c r="L18" s="355">
        <v>1444</v>
      </c>
      <c r="M18" s="355">
        <v>1501</v>
      </c>
      <c r="O18" s="644">
        <f t="shared" si="0"/>
        <v>8.6740563922720365E-2</v>
      </c>
      <c r="P18" s="644">
        <f t="shared" si="1"/>
        <v>4.5538197172809117E-2</v>
      </c>
    </row>
    <row r="19" spans="1:16" s="118" customFormat="1" ht="12.75" customHeight="1">
      <c r="A19" s="106"/>
      <c r="B19" s="105" t="s">
        <v>151</v>
      </c>
      <c r="C19" s="355">
        <v>10686</v>
      </c>
      <c r="D19" s="355">
        <v>10835</v>
      </c>
      <c r="E19" s="355">
        <v>10993</v>
      </c>
      <c r="F19" s="355">
        <v>11378</v>
      </c>
      <c r="G19" s="355">
        <v>11402</v>
      </c>
      <c r="H19" s="355">
        <v>11878</v>
      </c>
      <c r="I19" s="355">
        <v>11680</v>
      </c>
      <c r="J19" s="355">
        <v>11826</v>
      </c>
      <c r="K19" s="355">
        <v>12269</v>
      </c>
      <c r="L19" s="355">
        <v>12735</v>
      </c>
      <c r="M19" s="355">
        <v>12907</v>
      </c>
      <c r="O19" s="644">
        <f t="shared" si="0"/>
        <v>0.44821550584051728</v>
      </c>
      <c r="P19" s="644">
        <f t="shared" si="1"/>
        <v>0.39157995397031797</v>
      </c>
    </row>
    <row r="20" spans="1:16" s="118" customFormat="1" ht="12.75" customHeight="1">
      <c r="A20" s="106"/>
      <c r="B20" s="105" t="s">
        <v>160</v>
      </c>
      <c r="C20" s="355">
        <v>6132</v>
      </c>
      <c r="D20" s="355">
        <v>6351</v>
      </c>
      <c r="E20" s="355">
        <v>6590</v>
      </c>
      <c r="F20" s="355">
        <v>6999</v>
      </c>
      <c r="G20" s="355">
        <v>7546</v>
      </c>
      <c r="H20" s="355">
        <v>8213</v>
      </c>
      <c r="I20" s="355">
        <v>8896</v>
      </c>
      <c r="J20" s="355">
        <v>9384</v>
      </c>
      <c r="K20" s="355">
        <v>9615</v>
      </c>
      <c r="L20" s="355">
        <v>10267</v>
      </c>
      <c r="M20" s="355">
        <v>10807</v>
      </c>
      <c r="O20" s="644">
        <f t="shared" si="0"/>
        <v>0.25720171081920756</v>
      </c>
      <c r="P20" s="644">
        <f t="shared" si="1"/>
        <v>0.32786895192974558</v>
      </c>
    </row>
    <row r="21" spans="1:16" s="118" customFormat="1" ht="12.75" customHeight="1">
      <c r="A21" s="106"/>
      <c r="B21" s="105" t="s">
        <v>152</v>
      </c>
      <c r="C21" s="355">
        <v>21744</v>
      </c>
      <c r="D21" s="355">
        <v>22699</v>
      </c>
      <c r="E21" s="355">
        <v>23915</v>
      </c>
      <c r="F21" s="355">
        <v>24861</v>
      </c>
      <c r="G21" s="355">
        <v>26958</v>
      </c>
      <c r="H21" s="355">
        <v>27966</v>
      </c>
      <c r="I21" s="355">
        <v>29155</v>
      </c>
      <c r="J21" s="355">
        <v>29521</v>
      </c>
      <c r="K21" s="355">
        <v>29274</v>
      </c>
      <c r="L21" s="355">
        <v>27899</v>
      </c>
      <c r="M21" s="355">
        <v>27908</v>
      </c>
      <c r="O21" s="644">
        <f t="shared" si="0"/>
        <v>0.91203424658396115</v>
      </c>
      <c r="P21" s="644">
        <f t="shared" si="1"/>
        <v>0.84668887854680663</v>
      </c>
    </row>
    <row r="22" spans="1:16" s="118" customFormat="1" ht="12.75" customHeight="1">
      <c r="A22" s="106"/>
      <c r="B22" s="105" t="s">
        <v>159</v>
      </c>
      <c r="C22" s="355">
        <v>32711</v>
      </c>
      <c r="D22" s="355">
        <v>33339</v>
      </c>
      <c r="E22" s="355">
        <v>33839</v>
      </c>
      <c r="F22" s="355">
        <v>34814</v>
      </c>
      <c r="G22" s="355">
        <v>36196</v>
      </c>
      <c r="H22" s="355">
        <v>36786</v>
      </c>
      <c r="I22" s="355">
        <v>36794</v>
      </c>
      <c r="J22" s="355">
        <v>37208</v>
      </c>
      <c r="K22" s="355">
        <v>38721</v>
      </c>
      <c r="L22" s="355">
        <v>39310</v>
      </c>
      <c r="M22" s="355">
        <v>39620</v>
      </c>
      <c r="O22" s="644">
        <f t="shared" si="0"/>
        <v>1.3720360669613665</v>
      </c>
      <c r="P22" s="644">
        <f t="shared" si="1"/>
        <v>1.2020142384987988</v>
      </c>
    </row>
    <row r="23" spans="1:16" s="118" customFormat="1" ht="12.75" customHeight="1">
      <c r="A23" s="106"/>
      <c r="B23" s="105" t="s">
        <v>92</v>
      </c>
      <c r="C23" s="355">
        <v>7713</v>
      </c>
      <c r="D23" s="355">
        <v>7725</v>
      </c>
      <c r="E23" s="355">
        <v>7969</v>
      </c>
      <c r="F23" s="355">
        <v>8160</v>
      </c>
      <c r="G23" s="355">
        <v>8615</v>
      </c>
      <c r="H23" s="355">
        <v>8591</v>
      </c>
      <c r="I23" s="355">
        <v>8821</v>
      </c>
      <c r="J23" s="355">
        <v>8702</v>
      </c>
      <c r="K23" s="355">
        <v>8981</v>
      </c>
      <c r="L23" s="355">
        <v>9228</v>
      </c>
      <c r="M23" s="355">
        <v>9028</v>
      </c>
      <c r="O23" s="644">
        <f t="shared" si="0"/>
        <v>0.32351545915664515</v>
      </c>
      <c r="P23" s="644">
        <f t="shared" si="1"/>
        <v>0.27389663162966066</v>
      </c>
    </row>
    <row r="24" spans="1:16" s="118" customFormat="1" ht="12.75" customHeight="1">
      <c r="A24" s="106"/>
      <c r="B24" s="105" t="s">
        <v>157</v>
      </c>
      <c r="C24" s="355">
        <v>60405</v>
      </c>
      <c r="D24" s="355">
        <v>61966</v>
      </c>
      <c r="E24" s="355">
        <v>64158</v>
      </c>
      <c r="F24" s="355">
        <v>67563</v>
      </c>
      <c r="G24" s="355">
        <v>71045</v>
      </c>
      <c r="H24" s="355">
        <v>75036</v>
      </c>
      <c r="I24" s="355">
        <v>75489</v>
      </c>
      <c r="J24" s="355">
        <v>75937</v>
      </c>
      <c r="K24" s="355">
        <v>76878</v>
      </c>
      <c r="L24" s="355">
        <v>81148</v>
      </c>
      <c r="M24" s="355">
        <v>83214</v>
      </c>
      <c r="O24" s="644">
        <f t="shared" si="0"/>
        <v>2.5336381836324584</v>
      </c>
      <c r="P24" s="644">
        <f t="shared" si="1"/>
        <v>2.5245939637162809</v>
      </c>
    </row>
    <row r="25" spans="1:16" s="118" customFormat="1" ht="12.75" customHeight="1">
      <c r="A25" s="106"/>
      <c r="B25" s="105" t="s">
        <v>158</v>
      </c>
      <c r="C25" s="355">
        <v>8899</v>
      </c>
      <c r="D25" s="355">
        <v>9510</v>
      </c>
      <c r="E25" s="355">
        <v>9285</v>
      </c>
      <c r="F25" s="355">
        <v>9765</v>
      </c>
      <c r="G25" s="355">
        <v>10976</v>
      </c>
      <c r="H25" s="355">
        <v>12056</v>
      </c>
      <c r="I25" s="355">
        <v>12568</v>
      </c>
      <c r="J25" s="355">
        <v>12400</v>
      </c>
      <c r="K25" s="355">
        <v>12110</v>
      </c>
      <c r="L25" s="355">
        <v>12469</v>
      </c>
      <c r="M25" s="355">
        <v>13541</v>
      </c>
      <c r="O25" s="644">
        <f t="shared" si="0"/>
        <v>0.373261256454685</v>
      </c>
      <c r="P25" s="644">
        <f t="shared" si="1"/>
        <v>0.41081460887209076</v>
      </c>
    </row>
    <row r="26" spans="1:16" s="118" customFormat="1" ht="12.75" customHeight="1">
      <c r="A26" s="106"/>
      <c r="B26" s="105" t="s">
        <v>153</v>
      </c>
      <c r="C26" s="355">
        <v>16550</v>
      </c>
      <c r="D26" s="355">
        <v>15269</v>
      </c>
      <c r="E26" s="355">
        <v>17136</v>
      </c>
      <c r="F26" s="355">
        <v>16972</v>
      </c>
      <c r="G26" s="355">
        <v>18065</v>
      </c>
      <c r="H26" s="355">
        <v>18910</v>
      </c>
      <c r="I26" s="355">
        <v>17605</v>
      </c>
      <c r="J26" s="355">
        <v>18845</v>
      </c>
      <c r="K26" s="355">
        <v>17925</v>
      </c>
      <c r="L26" s="355">
        <v>20678</v>
      </c>
      <c r="M26" s="355">
        <v>21892</v>
      </c>
      <c r="O26" s="644">
        <f t="shared" si="0"/>
        <v>0.6941761764608424</v>
      </c>
      <c r="P26" s="644">
        <f t="shared" si="1"/>
        <v>0.66417202698676692</v>
      </c>
    </row>
    <row r="27" spans="1:16" s="118" customFormat="1" ht="12.75" customHeight="1">
      <c r="A27" s="106"/>
      <c r="B27" s="105" t="s">
        <v>161</v>
      </c>
      <c r="C27" s="355">
        <v>18189</v>
      </c>
      <c r="D27" s="355">
        <v>19494</v>
      </c>
      <c r="E27" s="355">
        <v>20424</v>
      </c>
      <c r="F27" s="355">
        <v>20500</v>
      </c>
      <c r="G27" s="355">
        <v>21382</v>
      </c>
      <c r="H27" s="355">
        <v>22319</v>
      </c>
      <c r="I27" s="355">
        <v>22588</v>
      </c>
      <c r="J27" s="355">
        <v>22718</v>
      </c>
      <c r="K27" s="355">
        <v>22915</v>
      </c>
      <c r="L27" s="355">
        <v>24036</v>
      </c>
      <c r="M27" s="355">
        <v>24415</v>
      </c>
      <c r="O27" s="644">
        <f t="shared" si="0"/>
        <v>0.76292268722938139</v>
      </c>
      <c r="P27" s="644">
        <f t="shared" si="1"/>
        <v>0.74071624515265466</v>
      </c>
    </row>
    <row r="28" spans="1:16" s="118" customFormat="1" ht="12.75" customHeight="1">
      <c r="A28" s="106"/>
      <c r="B28" s="105" t="s">
        <v>154</v>
      </c>
      <c r="C28" s="355">
        <v>26593</v>
      </c>
      <c r="D28" s="355">
        <v>26984</v>
      </c>
      <c r="E28" s="355">
        <v>28071</v>
      </c>
      <c r="F28" s="355">
        <v>31454</v>
      </c>
      <c r="G28" s="355">
        <v>35253</v>
      </c>
      <c r="H28" s="355">
        <v>41183</v>
      </c>
      <c r="I28" s="355">
        <v>41297</v>
      </c>
      <c r="J28" s="355">
        <v>39566</v>
      </c>
      <c r="K28" s="355">
        <v>38960</v>
      </c>
      <c r="L28" s="355">
        <v>38860</v>
      </c>
      <c r="M28" s="355">
        <v>42535</v>
      </c>
      <c r="O28" s="644">
        <f t="shared" si="0"/>
        <v>1.1154215746600111</v>
      </c>
      <c r="P28" s="644">
        <f t="shared" si="1"/>
        <v>1.2904511770455933</v>
      </c>
    </row>
    <row r="29" spans="1:16" s="118" customFormat="1" ht="12.75" customHeight="1">
      <c r="A29" s="106"/>
      <c r="B29" s="105" t="s">
        <v>162</v>
      </c>
      <c r="C29" s="355">
        <v>3565</v>
      </c>
      <c r="D29" s="355">
        <v>3186</v>
      </c>
      <c r="E29" s="355">
        <v>3606</v>
      </c>
      <c r="F29" s="355">
        <v>4046</v>
      </c>
      <c r="G29" s="355">
        <v>4373</v>
      </c>
      <c r="H29" s="355">
        <v>5130</v>
      </c>
      <c r="I29" s="355">
        <v>5936</v>
      </c>
      <c r="J29" s="355">
        <v>5450</v>
      </c>
      <c r="K29" s="355">
        <v>6241</v>
      </c>
      <c r="L29" s="355">
        <v>7864</v>
      </c>
      <c r="M29" s="355">
        <v>7385</v>
      </c>
      <c r="O29" s="644">
        <f t="shared" si="0"/>
        <v>0.14953100115304552</v>
      </c>
      <c r="P29" s="644">
        <f t="shared" si="1"/>
        <v>0.22405035717601288</v>
      </c>
    </row>
    <row r="30" spans="1:16" s="130" customFormat="1" ht="12.75" customHeight="1">
      <c r="A30" s="106"/>
      <c r="B30" s="105" t="s">
        <v>155</v>
      </c>
      <c r="C30" s="355">
        <v>23174</v>
      </c>
      <c r="D30" s="355">
        <v>24180</v>
      </c>
      <c r="E30" s="355">
        <v>24900</v>
      </c>
      <c r="F30" s="355">
        <v>26003</v>
      </c>
      <c r="G30" s="355">
        <v>27489</v>
      </c>
      <c r="H30" s="355">
        <v>28428</v>
      </c>
      <c r="I30" s="355">
        <v>28128</v>
      </c>
      <c r="J30" s="355">
        <v>28617</v>
      </c>
      <c r="K30" s="355">
        <v>27926</v>
      </c>
      <c r="L30" s="355">
        <v>30338</v>
      </c>
      <c r="M30" s="355">
        <v>31019</v>
      </c>
      <c r="O30" s="644">
        <f t="shared" si="0"/>
        <v>0.9720144237645657</v>
      </c>
      <c r="P30" s="644">
        <f t="shared" si="1"/>
        <v>0.94107217728405457</v>
      </c>
    </row>
    <row r="31" spans="1:16" s="118" customFormat="1" ht="12.75" customHeight="1">
      <c r="A31" s="106"/>
      <c r="B31" s="105" t="s">
        <v>156</v>
      </c>
      <c r="C31" s="355">
        <v>9311</v>
      </c>
      <c r="D31" s="355">
        <v>9716</v>
      </c>
      <c r="E31" s="355">
        <v>10447</v>
      </c>
      <c r="F31" s="355">
        <v>10893</v>
      </c>
      <c r="G31" s="355">
        <v>11782</v>
      </c>
      <c r="H31" s="355">
        <v>11982</v>
      </c>
      <c r="I31" s="355">
        <v>11862</v>
      </c>
      <c r="J31" s="355">
        <v>12152</v>
      </c>
      <c r="K31" s="355">
        <v>10655</v>
      </c>
      <c r="L31" s="355">
        <v>13239</v>
      </c>
      <c r="M31" s="355">
        <v>14943</v>
      </c>
      <c r="O31" s="644">
        <f t="shared" si="0"/>
        <v>0.39054225855147451</v>
      </c>
      <c r="P31" s="644">
        <f t="shared" si="1"/>
        <v>0.45334928737727287</v>
      </c>
    </row>
    <row r="32" spans="1:16" s="118" customFormat="1" ht="12.75" customHeight="1">
      <c r="A32" s="106"/>
      <c r="B32" s="105" t="s">
        <v>163</v>
      </c>
      <c r="C32" s="355">
        <v>15862</v>
      </c>
      <c r="D32" s="355">
        <v>16467</v>
      </c>
      <c r="E32" s="355">
        <v>16827</v>
      </c>
      <c r="F32" s="355">
        <v>17459</v>
      </c>
      <c r="G32" s="355">
        <v>18898</v>
      </c>
      <c r="H32" s="355">
        <v>20379</v>
      </c>
      <c r="I32" s="355">
        <v>20856</v>
      </c>
      <c r="J32" s="355">
        <v>18610</v>
      </c>
      <c r="K32" s="355">
        <v>19739</v>
      </c>
      <c r="L32" s="355">
        <v>20668</v>
      </c>
      <c r="M32" s="355">
        <v>22155</v>
      </c>
      <c r="O32" s="644">
        <f t="shared" si="0"/>
        <v>0.66531858072639771</v>
      </c>
      <c r="P32" s="644">
        <f t="shared" si="1"/>
        <v>0.67215107152803866</v>
      </c>
    </row>
    <row r="33" spans="1:16" s="118" customFormat="1" ht="16.5" customHeight="1">
      <c r="A33" s="208" t="s">
        <v>76</v>
      </c>
      <c r="B33" s="326" t="s">
        <v>164</v>
      </c>
      <c r="C33" s="354">
        <v>6577</v>
      </c>
      <c r="D33" s="354">
        <v>6277</v>
      </c>
      <c r="E33" s="354">
        <v>6611</v>
      </c>
      <c r="F33" s="354">
        <v>6390</v>
      </c>
      <c r="G33" s="354">
        <v>6505</v>
      </c>
      <c r="H33" s="354">
        <v>6748</v>
      </c>
      <c r="I33" s="354">
        <v>6736</v>
      </c>
      <c r="J33" s="354">
        <v>6671</v>
      </c>
      <c r="K33" s="354">
        <v>6574</v>
      </c>
      <c r="L33" s="354">
        <v>6551</v>
      </c>
      <c r="M33" s="354">
        <v>6954</v>
      </c>
      <c r="O33" s="644">
        <f t="shared" si="0"/>
        <v>0.27586687085093414</v>
      </c>
      <c r="P33" s="644">
        <f t="shared" si="1"/>
        <v>0.21097443247149539</v>
      </c>
    </row>
    <row r="34" spans="1:16" s="118" customFormat="1" ht="12.75" customHeight="1">
      <c r="A34" s="208" t="s">
        <v>77</v>
      </c>
      <c r="B34" s="326" t="s">
        <v>173</v>
      </c>
      <c r="C34" s="354">
        <v>20353</v>
      </c>
      <c r="D34" s="354">
        <v>20348</v>
      </c>
      <c r="E34" s="354">
        <v>20860</v>
      </c>
      <c r="F34" s="354">
        <v>22233</v>
      </c>
      <c r="G34" s="354">
        <v>23079</v>
      </c>
      <c r="H34" s="354">
        <v>23567</v>
      </c>
      <c r="I34" s="354">
        <v>24904</v>
      </c>
      <c r="J34" s="354">
        <v>25711</v>
      </c>
      <c r="K34" s="354">
        <v>27469</v>
      </c>
      <c r="L34" s="354">
        <v>28585</v>
      </c>
      <c r="M34" s="354">
        <v>29229</v>
      </c>
      <c r="O34" s="644">
        <f t="shared" si="0"/>
        <v>0.85368989241737314</v>
      </c>
      <c r="P34" s="644">
        <f t="shared" si="1"/>
        <v>0.88676613268756677</v>
      </c>
    </row>
    <row r="35" spans="1:16" s="118" customFormat="1" ht="12.75" customHeight="1">
      <c r="A35" s="208" t="s">
        <v>78</v>
      </c>
      <c r="B35" s="326" t="s">
        <v>79</v>
      </c>
      <c r="C35" s="354">
        <v>178328</v>
      </c>
      <c r="D35" s="354">
        <v>178366</v>
      </c>
      <c r="E35" s="354">
        <v>178864</v>
      </c>
      <c r="F35" s="354">
        <v>183547</v>
      </c>
      <c r="G35" s="354">
        <v>195420</v>
      </c>
      <c r="H35" s="354">
        <v>206868</v>
      </c>
      <c r="I35" s="354">
        <v>219984</v>
      </c>
      <c r="J35" s="354">
        <v>232381</v>
      </c>
      <c r="K35" s="354">
        <v>234450</v>
      </c>
      <c r="L35" s="354">
        <v>253501</v>
      </c>
      <c r="M35" s="354">
        <v>275564</v>
      </c>
      <c r="O35" s="644">
        <f t="shared" si="0"/>
        <v>7.479821703680309</v>
      </c>
      <c r="P35" s="644">
        <f t="shared" si="1"/>
        <v>8.3602183649087092</v>
      </c>
    </row>
    <row r="36" spans="1:16" s="118" customFormat="1" ht="12.75" customHeight="1">
      <c r="A36" s="208" t="s">
        <v>80</v>
      </c>
      <c r="B36" s="326" t="s">
        <v>174</v>
      </c>
      <c r="C36" s="354">
        <v>452371</v>
      </c>
      <c r="D36" s="354">
        <v>463519</v>
      </c>
      <c r="E36" s="354">
        <v>478256</v>
      </c>
      <c r="F36" s="354">
        <v>492250</v>
      </c>
      <c r="G36" s="354">
        <v>507360</v>
      </c>
      <c r="H36" s="354">
        <v>522673</v>
      </c>
      <c r="I36" s="354">
        <v>538367</v>
      </c>
      <c r="J36" s="354">
        <v>525816</v>
      </c>
      <c r="K36" s="354">
        <v>533620</v>
      </c>
      <c r="L36" s="354">
        <v>559353</v>
      </c>
      <c r="M36" s="354">
        <v>577407</v>
      </c>
      <c r="O36" s="644">
        <f t="shared" si="0"/>
        <v>18.974330581375693</v>
      </c>
      <c r="P36" s="644">
        <f t="shared" si="1"/>
        <v>17.517704073924179</v>
      </c>
    </row>
    <row r="37" spans="1:16" s="118" customFormat="1" ht="12.75" customHeight="1">
      <c r="A37" s="208" t="s">
        <v>53</v>
      </c>
      <c r="B37" s="326" t="s">
        <v>93</v>
      </c>
      <c r="C37" s="354">
        <v>116904</v>
      </c>
      <c r="D37" s="354">
        <v>122986</v>
      </c>
      <c r="E37" s="354">
        <v>127238</v>
      </c>
      <c r="F37" s="354">
        <v>132842</v>
      </c>
      <c r="G37" s="354">
        <v>140148</v>
      </c>
      <c r="H37" s="354">
        <v>145741</v>
      </c>
      <c r="I37" s="354">
        <v>147408</v>
      </c>
      <c r="J37" s="354">
        <v>146314</v>
      </c>
      <c r="K37" s="354">
        <v>142969</v>
      </c>
      <c r="L37" s="354">
        <v>149925</v>
      </c>
      <c r="M37" s="354">
        <v>159412</v>
      </c>
      <c r="O37" s="644">
        <f t="shared" si="0"/>
        <v>4.903442400784189</v>
      </c>
      <c r="P37" s="644">
        <f t="shared" si="1"/>
        <v>4.8363325034722493</v>
      </c>
    </row>
    <row r="38" spans="1:16" s="118" customFormat="1" ht="12.75" customHeight="1">
      <c r="A38" s="208" t="s">
        <v>10</v>
      </c>
      <c r="B38" s="326" t="s">
        <v>165</v>
      </c>
      <c r="C38" s="354">
        <v>166559</v>
      </c>
      <c r="D38" s="354">
        <v>174663</v>
      </c>
      <c r="E38" s="354">
        <v>189219</v>
      </c>
      <c r="F38" s="354">
        <v>204110</v>
      </c>
      <c r="G38" s="354">
        <v>223805</v>
      </c>
      <c r="H38" s="354">
        <v>241853</v>
      </c>
      <c r="I38" s="354">
        <v>251350</v>
      </c>
      <c r="J38" s="354">
        <v>214079</v>
      </c>
      <c r="K38" s="354">
        <v>220649</v>
      </c>
      <c r="L38" s="354">
        <v>259660</v>
      </c>
      <c r="M38" s="354">
        <v>286812</v>
      </c>
      <c r="O38" s="644">
        <f t="shared" si="0"/>
        <v>6.9861806510659488</v>
      </c>
      <c r="P38" s="644">
        <f t="shared" si="1"/>
        <v>8.7014666272669743</v>
      </c>
    </row>
    <row r="39" spans="1:16" s="118" customFormat="1" ht="12.75" customHeight="1">
      <c r="A39" s="208" t="s">
        <v>81</v>
      </c>
      <c r="B39" s="326" t="s">
        <v>171</v>
      </c>
      <c r="C39" s="354">
        <v>64630</v>
      </c>
      <c r="D39" s="354">
        <v>67783</v>
      </c>
      <c r="E39" s="354">
        <v>68812</v>
      </c>
      <c r="F39" s="354">
        <v>72936</v>
      </c>
      <c r="G39" s="354">
        <v>79205</v>
      </c>
      <c r="H39" s="354">
        <v>86973</v>
      </c>
      <c r="I39" s="354">
        <v>94794</v>
      </c>
      <c r="J39" s="354">
        <v>102655</v>
      </c>
      <c r="K39" s="354">
        <v>109224</v>
      </c>
      <c r="L39" s="354">
        <v>127560</v>
      </c>
      <c r="M39" s="354">
        <v>130681</v>
      </c>
      <c r="O39" s="644">
        <f t="shared" si="0"/>
        <v>2.7108523434842442</v>
      </c>
      <c r="P39" s="644">
        <f t="shared" si="1"/>
        <v>3.9646749798400189</v>
      </c>
    </row>
    <row r="40" spans="1:16" ht="12.75" customHeight="1">
      <c r="A40" s="208" t="s">
        <v>82</v>
      </c>
      <c r="B40" s="326" t="s">
        <v>166</v>
      </c>
      <c r="C40" s="354">
        <v>80489</v>
      </c>
      <c r="D40" s="354">
        <v>79315</v>
      </c>
      <c r="E40" s="354">
        <v>77783</v>
      </c>
      <c r="F40" s="354">
        <v>76080</v>
      </c>
      <c r="G40" s="354">
        <v>74708</v>
      </c>
      <c r="H40" s="354">
        <v>75395</v>
      </c>
      <c r="I40" s="354">
        <v>69033</v>
      </c>
      <c r="J40" s="354">
        <v>75376</v>
      </c>
      <c r="K40" s="354">
        <v>74155</v>
      </c>
      <c r="L40" s="354">
        <v>76725</v>
      </c>
      <c r="M40" s="354">
        <v>79929</v>
      </c>
      <c r="O40" s="644">
        <f t="shared" si="0"/>
        <v>3.3760450916711022</v>
      </c>
      <c r="P40" s="644">
        <f t="shared" si="1"/>
        <v>2.4249317533813857</v>
      </c>
    </row>
    <row r="41" spans="1:16" ht="12.75" customHeight="1">
      <c r="A41" s="208" t="s">
        <v>83</v>
      </c>
      <c r="B41" s="326" t="s">
        <v>103</v>
      </c>
      <c r="C41" s="354">
        <v>15074</v>
      </c>
      <c r="D41" s="354">
        <v>16356</v>
      </c>
      <c r="E41" s="354">
        <v>17668</v>
      </c>
      <c r="F41" s="354">
        <v>18643</v>
      </c>
      <c r="G41" s="354">
        <v>20754</v>
      </c>
      <c r="H41" s="354">
        <v>23132</v>
      </c>
      <c r="I41" s="354">
        <v>24348</v>
      </c>
      <c r="J41" s="354">
        <v>24974</v>
      </c>
      <c r="K41" s="354">
        <v>26345</v>
      </c>
      <c r="L41" s="354">
        <v>28809</v>
      </c>
      <c r="M41" s="354">
        <v>31375</v>
      </c>
      <c r="O41" s="644">
        <f t="shared" si="0"/>
        <v>0.63226656700729533</v>
      </c>
      <c r="P41" s="644">
        <f t="shared" si="1"/>
        <v>0.95187270905855159</v>
      </c>
    </row>
    <row r="42" spans="1:16" ht="12.75" customHeight="1">
      <c r="A42" s="208" t="s">
        <v>54</v>
      </c>
      <c r="B42" s="326" t="s">
        <v>175</v>
      </c>
      <c r="C42" s="354">
        <v>97511</v>
      </c>
      <c r="D42" s="354">
        <v>105085</v>
      </c>
      <c r="E42" s="354">
        <v>109770</v>
      </c>
      <c r="F42" s="354">
        <v>111974</v>
      </c>
      <c r="G42" s="354">
        <v>113617</v>
      </c>
      <c r="H42" s="354">
        <v>123636</v>
      </c>
      <c r="I42" s="354">
        <v>132611</v>
      </c>
      <c r="J42" s="354">
        <v>134408</v>
      </c>
      <c r="K42" s="354">
        <v>139839</v>
      </c>
      <c r="L42" s="354">
        <v>159252</v>
      </c>
      <c r="M42" s="354">
        <v>173417</v>
      </c>
      <c r="O42" s="644">
        <f t="shared" si="0"/>
        <v>4.0900189210195288</v>
      </c>
      <c r="P42" s="644">
        <f t="shared" si="1"/>
        <v>5.2612242099380664</v>
      </c>
    </row>
    <row r="43" spans="1:16" ht="12.75" customHeight="1">
      <c r="A43" s="208" t="s">
        <v>85</v>
      </c>
      <c r="B43" s="326" t="s">
        <v>169</v>
      </c>
      <c r="C43" s="354">
        <v>225603</v>
      </c>
      <c r="D43" s="354">
        <v>238916</v>
      </c>
      <c r="E43" s="354">
        <v>246451</v>
      </c>
      <c r="F43" s="354">
        <v>268226</v>
      </c>
      <c r="G43" s="354">
        <v>294174</v>
      </c>
      <c r="H43" s="354">
        <v>293550</v>
      </c>
      <c r="I43" s="354">
        <v>293948</v>
      </c>
      <c r="J43" s="354">
        <v>285919</v>
      </c>
      <c r="K43" s="354">
        <v>275843</v>
      </c>
      <c r="L43" s="354">
        <v>307876</v>
      </c>
      <c r="M43" s="354">
        <v>323487</v>
      </c>
      <c r="O43" s="644">
        <f t="shared" si="0"/>
        <v>9.4627328059272156</v>
      </c>
      <c r="P43" s="644">
        <f t="shared" si="1"/>
        <v>9.8141337700469702</v>
      </c>
    </row>
    <row r="44" spans="1:16" ht="12.75" customHeight="1">
      <c r="A44" s="208" t="s">
        <v>86</v>
      </c>
      <c r="B44" s="326" t="s">
        <v>170</v>
      </c>
      <c r="C44" s="354">
        <v>10222</v>
      </c>
      <c r="D44" s="354">
        <v>10787</v>
      </c>
      <c r="E44" s="354">
        <v>10612</v>
      </c>
      <c r="F44" s="354">
        <v>10688</v>
      </c>
      <c r="G44" s="354">
        <v>11236</v>
      </c>
      <c r="H44" s="354">
        <v>11602</v>
      </c>
      <c r="I44" s="354">
        <v>11794</v>
      </c>
      <c r="J44" s="354">
        <v>12327</v>
      </c>
      <c r="K44" s="354">
        <v>11997</v>
      </c>
      <c r="L44" s="354">
        <v>13111</v>
      </c>
      <c r="M44" s="354">
        <v>14202</v>
      </c>
      <c r="O44" s="644">
        <f t="shared" si="0"/>
        <v>0.42875340639170584</v>
      </c>
      <c r="P44" s="644">
        <f t="shared" si="1"/>
        <v>0.43086840522867087</v>
      </c>
    </row>
    <row r="45" spans="1:16" ht="12.75" customHeight="1">
      <c r="A45" s="208" t="s">
        <v>94</v>
      </c>
      <c r="B45" s="326" t="s">
        <v>84</v>
      </c>
      <c r="C45" s="354">
        <v>50566</v>
      </c>
      <c r="D45" s="354">
        <v>50957</v>
      </c>
      <c r="E45" s="354">
        <v>53876</v>
      </c>
      <c r="F45" s="354">
        <v>53906</v>
      </c>
      <c r="G45" s="354">
        <v>53502</v>
      </c>
      <c r="H45" s="354">
        <v>57690</v>
      </c>
      <c r="I45" s="354">
        <v>58269</v>
      </c>
      <c r="J45" s="354">
        <v>59807</v>
      </c>
      <c r="K45" s="354">
        <v>58921</v>
      </c>
      <c r="L45" s="354">
        <v>62076</v>
      </c>
      <c r="M45" s="354">
        <v>66613</v>
      </c>
      <c r="O45" s="644">
        <f t="shared" si="0"/>
        <v>2.1209493981219913</v>
      </c>
      <c r="P45" s="644">
        <f t="shared" si="1"/>
        <v>2.0209433232993561</v>
      </c>
    </row>
    <row r="46" spans="1:16" ht="12.75" customHeight="1">
      <c r="A46" s="208" t="s">
        <v>87</v>
      </c>
      <c r="B46" s="326" t="s">
        <v>141</v>
      </c>
      <c r="C46" s="354">
        <v>215109</v>
      </c>
      <c r="D46" s="354">
        <v>221126</v>
      </c>
      <c r="E46" s="354">
        <v>232717</v>
      </c>
      <c r="F46" s="354">
        <v>246800</v>
      </c>
      <c r="G46" s="354">
        <v>257306</v>
      </c>
      <c r="H46" s="354">
        <v>263021</v>
      </c>
      <c r="I46" s="354">
        <v>269760</v>
      </c>
      <c r="J46" s="354">
        <v>280115</v>
      </c>
      <c r="K46" s="354">
        <v>286750</v>
      </c>
      <c r="L46" s="354">
        <v>299622</v>
      </c>
      <c r="M46" s="354">
        <v>309289</v>
      </c>
      <c r="O46" s="644">
        <f t="shared" si="0"/>
        <v>9.0225705826172415</v>
      </c>
      <c r="P46" s="644">
        <f t="shared" si="1"/>
        <v>9.3833867191079001</v>
      </c>
    </row>
    <row r="47" spans="1:16" ht="12.75" customHeight="1">
      <c r="A47" s="208" t="s">
        <v>95</v>
      </c>
      <c r="B47" s="326" t="s">
        <v>167</v>
      </c>
      <c r="C47" s="354">
        <v>19836</v>
      </c>
      <c r="D47" s="354">
        <v>18760</v>
      </c>
      <c r="E47" s="354">
        <v>21039</v>
      </c>
      <c r="F47" s="354">
        <v>22077</v>
      </c>
      <c r="G47" s="354">
        <v>24123</v>
      </c>
      <c r="H47" s="354">
        <v>26529</v>
      </c>
      <c r="I47" s="354">
        <v>28069</v>
      </c>
      <c r="J47" s="354">
        <v>26263</v>
      </c>
      <c r="K47" s="354">
        <v>28680</v>
      </c>
      <c r="L47" s="354">
        <v>30827</v>
      </c>
      <c r="M47" s="354">
        <v>34107</v>
      </c>
      <c r="O47" s="644">
        <f t="shared" si="0"/>
        <v>0.83200475143669295</v>
      </c>
      <c r="P47" s="644">
        <f t="shared" si="1"/>
        <v>1.0347576888560963</v>
      </c>
    </row>
    <row r="48" spans="1:16" ht="12.75" customHeight="1">
      <c r="A48" s="208" t="s">
        <v>96</v>
      </c>
      <c r="B48" s="326" t="s">
        <v>104</v>
      </c>
      <c r="C48" s="354">
        <v>61973</v>
      </c>
      <c r="D48" s="354">
        <v>62532</v>
      </c>
      <c r="E48" s="354">
        <v>60404</v>
      </c>
      <c r="F48" s="354">
        <v>61086</v>
      </c>
      <c r="G48" s="354">
        <v>58964</v>
      </c>
      <c r="H48" s="354">
        <v>61792</v>
      </c>
      <c r="I48" s="354">
        <v>59107</v>
      </c>
      <c r="J48" s="354">
        <v>57266</v>
      </c>
      <c r="K48" s="354">
        <v>56071</v>
      </c>
      <c r="L48" s="354">
        <v>59443</v>
      </c>
      <c r="M48" s="354">
        <v>59326</v>
      </c>
      <c r="O48" s="644">
        <f t="shared" si="0"/>
        <v>2.5994066576318904</v>
      </c>
      <c r="P48" s="644">
        <f t="shared" si="1"/>
        <v>1.7998661462185699</v>
      </c>
    </row>
    <row r="49" spans="1:16" ht="12.75" customHeight="1">
      <c r="A49" s="36" t="s">
        <v>97</v>
      </c>
      <c r="B49" s="37" t="s">
        <v>168</v>
      </c>
      <c r="C49" s="356">
        <v>81</v>
      </c>
      <c r="D49" s="356">
        <v>91</v>
      </c>
      <c r="E49" s="356">
        <v>89</v>
      </c>
      <c r="F49" s="356">
        <v>104</v>
      </c>
      <c r="G49" s="356">
        <v>92</v>
      </c>
      <c r="H49" s="356">
        <v>94</v>
      </c>
      <c r="I49" s="356">
        <v>100</v>
      </c>
      <c r="J49" s="356">
        <v>117</v>
      </c>
      <c r="K49" s="356">
        <v>107</v>
      </c>
      <c r="L49" s="356">
        <v>125</v>
      </c>
      <c r="M49" s="356">
        <v>145</v>
      </c>
      <c r="O49" s="644">
        <f t="shared" si="0"/>
        <v>3.397478567572703E-3</v>
      </c>
      <c r="P49" s="644">
        <f t="shared" si="1"/>
        <v>4.3990929980395211E-3</v>
      </c>
    </row>
    <row r="50" spans="1:16" ht="15" customHeight="1">
      <c r="A50" s="21" t="s">
        <v>138</v>
      </c>
      <c r="C50" s="7"/>
      <c r="D50" s="7"/>
      <c r="E50" s="7"/>
      <c r="F50" s="7"/>
      <c r="G50" s="7"/>
      <c r="H50" s="7"/>
      <c r="I50" s="7"/>
      <c r="J50" s="7"/>
      <c r="K50" s="7"/>
      <c r="L50" s="7"/>
      <c r="M50" s="7"/>
      <c r="O50" s="644">
        <f t="shared" si="0"/>
        <v>0</v>
      </c>
      <c r="P50" s="644">
        <f t="shared" si="1"/>
        <v>0</v>
      </c>
    </row>
    <row r="51" spans="1:16">
      <c r="B51" s="209"/>
      <c r="C51" s="135"/>
      <c r="D51" s="135"/>
      <c r="E51" s="135"/>
      <c r="F51" s="135"/>
      <c r="G51" s="135"/>
      <c r="H51" s="135"/>
      <c r="I51" s="135"/>
      <c r="J51" s="135"/>
      <c r="K51" s="135"/>
      <c r="L51" s="135"/>
      <c r="M51" s="135"/>
      <c r="O51" s="644">
        <f t="shared" si="0"/>
        <v>0</v>
      </c>
      <c r="P51" s="644">
        <f t="shared" si="1"/>
        <v>0</v>
      </c>
    </row>
    <row r="52" spans="1:16">
      <c r="C52" s="71"/>
      <c r="D52" s="71"/>
      <c r="E52" s="71"/>
      <c r="F52" s="71"/>
      <c r="G52" s="71"/>
      <c r="H52" s="71"/>
      <c r="I52" s="71"/>
      <c r="J52" s="71"/>
      <c r="K52" s="71"/>
      <c r="L52" s="71"/>
      <c r="M52" s="71"/>
      <c r="O52" s="644">
        <f t="shared" si="0"/>
        <v>0</v>
      </c>
      <c r="P52" s="644">
        <f t="shared" si="1"/>
        <v>0</v>
      </c>
    </row>
    <row r="53" spans="1:16">
      <c r="B53" s="64"/>
      <c r="C53" s="211"/>
      <c r="D53" s="211"/>
      <c r="E53" s="211"/>
      <c r="O53" s="644">
        <f t="shared" si="0"/>
        <v>0</v>
      </c>
      <c r="P53" s="644">
        <f t="shared" si="1"/>
        <v>0</v>
      </c>
    </row>
    <row r="54" spans="1:16">
      <c r="C54" s="211"/>
      <c r="D54" s="211"/>
      <c r="E54" s="211"/>
      <c r="O54" s="644">
        <f t="shared" si="0"/>
        <v>0</v>
      </c>
      <c r="P54" s="644">
        <f t="shared" si="1"/>
        <v>0</v>
      </c>
    </row>
    <row r="55" spans="1:16">
      <c r="C55" s="211"/>
      <c r="D55" s="211"/>
      <c r="E55" s="211"/>
      <c r="O55" s="644">
        <f t="shared" si="0"/>
        <v>0</v>
      </c>
      <c r="P55" s="644">
        <f t="shared" si="1"/>
        <v>0</v>
      </c>
    </row>
    <row r="56" spans="1:16">
      <c r="C56" s="211"/>
      <c r="D56" s="211"/>
      <c r="E56" s="211"/>
      <c r="O56" s="644">
        <f t="shared" si="0"/>
        <v>0</v>
      </c>
      <c r="P56" s="644">
        <f t="shared" si="1"/>
        <v>0</v>
      </c>
    </row>
    <row r="57" spans="1:16">
      <c r="C57" s="211"/>
      <c r="D57" s="211"/>
      <c r="E57" s="211"/>
      <c r="O57" s="644">
        <f t="shared" si="0"/>
        <v>0</v>
      </c>
      <c r="P57" s="644">
        <f t="shared" si="1"/>
        <v>0</v>
      </c>
    </row>
    <row r="58" spans="1:16">
      <c r="C58" s="211"/>
      <c r="D58" s="211"/>
      <c r="E58" s="211"/>
      <c r="O58" s="644">
        <f t="shared" si="0"/>
        <v>0</v>
      </c>
      <c r="P58" s="644">
        <f t="shared" si="1"/>
        <v>0</v>
      </c>
    </row>
    <row r="59" spans="1:16">
      <c r="C59" s="211"/>
      <c r="D59" s="211"/>
      <c r="E59" s="211"/>
      <c r="O59" s="644">
        <f t="shared" si="0"/>
        <v>0</v>
      </c>
      <c r="P59" s="644">
        <f t="shared" si="1"/>
        <v>0</v>
      </c>
    </row>
    <row r="60" spans="1:16">
      <c r="C60" s="211"/>
      <c r="D60" s="211"/>
      <c r="E60" s="211"/>
      <c r="O60" s="644">
        <f t="shared" si="0"/>
        <v>0</v>
      </c>
      <c r="P60" s="644">
        <f t="shared" si="1"/>
        <v>0</v>
      </c>
    </row>
    <row r="61" spans="1:16">
      <c r="C61" s="211"/>
      <c r="D61" s="211"/>
      <c r="E61" s="211"/>
      <c r="O61" s="644">
        <f t="shared" si="0"/>
        <v>0</v>
      </c>
      <c r="P61" s="644">
        <f t="shared" si="1"/>
        <v>0</v>
      </c>
    </row>
    <row r="62" spans="1:16">
      <c r="C62" s="211"/>
      <c r="D62" s="211"/>
      <c r="E62" s="211"/>
      <c r="O62" s="644">
        <f t="shared" si="0"/>
        <v>0</v>
      </c>
      <c r="P62" s="644">
        <f t="shared" si="1"/>
        <v>0</v>
      </c>
    </row>
    <row r="63" spans="1:16">
      <c r="C63" s="211"/>
      <c r="D63" s="211"/>
      <c r="E63" s="211"/>
      <c r="O63" s="644">
        <f t="shared" si="0"/>
        <v>0</v>
      </c>
      <c r="P63" s="644">
        <f t="shared" si="1"/>
        <v>0</v>
      </c>
    </row>
    <row r="64" spans="1:16">
      <c r="C64" s="211"/>
      <c r="D64" s="211"/>
      <c r="E64" s="211"/>
      <c r="O64" s="644">
        <f t="shared" si="0"/>
        <v>0</v>
      </c>
      <c r="P64" s="644">
        <f t="shared" si="1"/>
        <v>0</v>
      </c>
    </row>
    <row r="65" spans="3:16">
      <c r="C65" s="211"/>
      <c r="D65" s="211"/>
      <c r="E65" s="211"/>
      <c r="O65" s="644">
        <f t="shared" si="0"/>
        <v>0</v>
      </c>
      <c r="P65" s="644">
        <f t="shared" si="1"/>
        <v>0</v>
      </c>
    </row>
    <row r="66" spans="3:16">
      <c r="C66" s="211"/>
      <c r="D66" s="211"/>
      <c r="E66" s="211"/>
      <c r="O66" s="644">
        <f t="shared" si="0"/>
        <v>0</v>
      </c>
      <c r="P66" s="644">
        <f t="shared" si="1"/>
        <v>0</v>
      </c>
    </row>
    <row r="67" spans="3:16">
      <c r="C67" s="211"/>
      <c r="D67" s="211"/>
      <c r="E67" s="211"/>
      <c r="O67" s="644">
        <f t="shared" si="0"/>
        <v>0</v>
      </c>
      <c r="P67" s="644">
        <f t="shared" si="1"/>
        <v>0</v>
      </c>
    </row>
    <row r="68" spans="3:16">
      <c r="C68" s="211"/>
      <c r="D68" s="211"/>
      <c r="E68" s="211"/>
      <c r="O68" s="644">
        <f t="shared" si="0"/>
        <v>0</v>
      </c>
      <c r="P68" s="644">
        <f t="shared" si="1"/>
        <v>0</v>
      </c>
    </row>
    <row r="69" spans="3:16">
      <c r="C69" s="211"/>
      <c r="D69" s="211"/>
      <c r="E69" s="211"/>
      <c r="O69" s="644">
        <f t="shared" si="0"/>
        <v>0</v>
      </c>
      <c r="P69" s="644">
        <f t="shared" si="1"/>
        <v>0</v>
      </c>
    </row>
    <row r="70" spans="3:16">
      <c r="C70" s="211"/>
      <c r="D70" s="211"/>
      <c r="E70" s="211"/>
      <c r="O70" s="644">
        <f t="shared" si="0"/>
        <v>0</v>
      </c>
      <c r="P70" s="644">
        <f t="shared" si="1"/>
        <v>0</v>
      </c>
    </row>
    <row r="71" spans="3:16">
      <c r="C71" s="211"/>
      <c r="D71" s="211"/>
      <c r="E71" s="211"/>
      <c r="O71" s="644">
        <f t="shared" si="0"/>
        <v>0</v>
      </c>
      <c r="P71" s="644">
        <f t="shared" si="1"/>
        <v>0</v>
      </c>
    </row>
    <row r="72" spans="3:16">
      <c r="C72" s="211"/>
      <c r="D72" s="211"/>
      <c r="E72" s="211"/>
      <c r="O72" s="644">
        <f t="shared" si="0"/>
        <v>0</v>
      </c>
      <c r="P72" s="644">
        <f t="shared" si="1"/>
        <v>0</v>
      </c>
    </row>
    <row r="73" spans="3:16">
      <c r="C73" s="211"/>
      <c r="D73" s="211"/>
      <c r="E73" s="211"/>
      <c r="O73" s="644">
        <f t="shared" ref="O73:O101" si="2">+C73/$C$5*100</f>
        <v>0</v>
      </c>
      <c r="P73" s="644">
        <f t="shared" ref="P73:P101" si="3">+M73/$M$5*100</f>
        <v>0</v>
      </c>
    </row>
    <row r="74" spans="3:16">
      <c r="C74" s="211"/>
      <c r="D74" s="211"/>
      <c r="E74" s="211"/>
      <c r="O74" s="644">
        <f t="shared" si="2"/>
        <v>0</v>
      </c>
      <c r="P74" s="644">
        <f t="shared" si="3"/>
        <v>0</v>
      </c>
    </row>
    <row r="75" spans="3:16">
      <c r="C75" s="211"/>
      <c r="D75" s="211"/>
      <c r="E75" s="211"/>
      <c r="O75" s="644">
        <f t="shared" si="2"/>
        <v>0</v>
      </c>
      <c r="P75" s="644">
        <f t="shared" si="3"/>
        <v>0</v>
      </c>
    </row>
    <row r="76" spans="3:16">
      <c r="C76" s="211"/>
      <c r="D76" s="211"/>
      <c r="E76" s="211"/>
      <c r="O76" s="644">
        <f t="shared" si="2"/>
        <v>0</v>
      </c>
      <c r="P76" s="644">
        <f t="shared" si="3"/>
        <v>0</v>
      </c>
    </row>
    <row r="77" spans="3:16">
      <c r="C77" s="211"/>
      <c r="D77" s="211"/>
      <c r="E77" s="211"/>
      <c r="O77" s="644">
        <f t="shared" si="2"/>
        <v>0</v>
      </c>
      <c r="P77" s="644">
        <f t="shared" si="3"/>
        <v>0</v>
      </c>
    </row>
    <row r="78" spans="3:16">
      <c r="C78" s="211"/>
      <c r="D78" s="211"/>
      <c r="E78" s="211"/>
      <c r="O78" s="644">
        <f t="shared" si="2"/>
        <v>0</v>
      </c>
      <c r="P78" s="644">
        <f t="shared" si="3"/>
        <v>0</v>
      </c>
    </row>
    <row r="79" spans="3:16">
      <c r="C79" s="211"/>
      <c r="D79" s="211"/>
      <c r="E79" s="211"/>
      <c r="O79" s="644">
        <f t="shared" si="2"/>
        <v>0</v>
      </c>
      <c r="P79" s="644">
        <f t="shared" si="3"/>
        <v>0</v>
      </c>
    </row>
    <row r="80" spans="3:16">
      <c r="C80" s="211"/>
      <c r="D80" s="211"/>
      <c r="E80" s="211"/>
      <c r="O80" s="644">
        <f t="shared" si="2"/>
        <v>0</v>
      </c>
      <c r="P80" s="644">
        <f t="shared" si="3"/>
        <v>0</v>
      </c>
    </row>
    <row r="81" spans="3:16">
      <c r="C81" s="211"/>
      <c r="D81" s="211"/>
      <c r="E81" s="211"/>
      <c r="O81" s="644">
        <f t="shared" si="2"/>
        <v>0</v>
      </c>
      <c r="P81" s="644">
        <f t="shared" si="3"/>
        <v>0</v>
      </c>
    </row>
    <row r="82" spans="3:16">
      <c r="C82" s="211"/>
      <c r="D82" s="211"/>
      <c r="E82" s="211"/>
      <c r="O82" s="644">
        <f t="shared" si="2"/>
        <v>0</v>
      </c>
      <c r="P82" s="644">
        <f t="shared" si="3"/>
        <v>0</v>
      </c>
    </row>
    <row r="83" spans="3:16">
      <c r="C83" s="211"/>
      <c r="D83" s="211"/>
      <c r="E83" s="211"/>
      <c r="O83" s="644">
        <f t="shared" si="2"/>
        <v>0</v>
      </c>
      <c r="P83" s="644">
        <f t="shared" si="3"/>
        <v>0</v>
      </c>
    </row>
    <row r="84" spans="3:16">
      <c r="C84" s="211"/>
      <c r="D84" s="211"/>
      <c r="E84" s="211"/>
      <c r="O84" s="644">
        <f t="shared" si="2"/>
        <v>0</v>
      </c>
      <c r="P84" s="644">
        <f t="shared" si="3"/>
        <v>0</v>
      </c>
    </row>
    <row r="85" spans="3:16">
      <c r="C85" s="211"/>
      <c r="D85" s="211"/>
      <c r="E85" s="211"/>
      <c r="O85" s="644">
        <f t="shared" si="2"/>
        <v>0</v>
      </c>
      <c r="P85" s="644">
        <f t="shared" si="3"/>
        <v>0</v>
      </c>
    </row>
    <row r="86" spans="3:16">
      <c r="C86" s="211"/>
      <c r="D86" s="211"/>
      <c r="E86" s="211"/>
      <c r="O86" s="644">
        <f t="shared" si="2"/>
        <v>0</v>
      </c>
      <c r="P86" s="644">
        <f t="shared" si="3"/>
        <v>0</v>
      </c>
    </row>
    <row r="87" spans="3:16">
      <c r="C87" s="211"/>
      <c r="D87" s="211"/>
      <c r="E87" s="211"/>
      <c r="O87" s="644">
        <f t="shared" si="2"/>
        <v>0</v>
      </c>
      <c r="P87" s="644">
        <f t="shared" si="3"/>
        <v>0</v>
      </c>
    </row>
    <row r="88" spans="3:16">
      <c r="C88" s="211"/>
      <c r="D88" s="211"/>
      <c r="E88" s="211"/>
      <c r="O88" s="644">
        <f t="shared" si="2"/>
        <v>0</v>
      </c>
      <c r="P88" s="644">
        <f t="shared" si="3"/>
        <v>0</v>
      </c>
    </row>
    <row r="89" spans="3:16">
      <c r="C89" s="211"/>
      <c r="D89" s="211"/>
      <c r="E89" s="211"/>
      <c r="O89" s="644">
        <f t="shared" si="2"/>
        <v>0</v>
      </c>
      <c r="P89" s="644">
        <f t="shared" si="3"/>
        <v>0</v>
      </c>
    </row>
    <row r="90" spans="3:16">
      <c r="C90" s="211"/>
      <c r="D90" s="211"/>
      <c r="E90" s="211"/>
      <c r="O90" s="644">
        <f t="shared" si="2"/>
        <v>0</v>
      </c>
      <c r="P90" s="644">
        <f t="shared" si="3"/>
        <v>0</v>
      </c>
    </row>
    <row r="91" spans="3:16">
      <c r="C91" s="211"/>
      <c r="D91" s="211"/>
      <c r="E91" s="211"/>
      <c r="O91" s="644">
        <f t="shared" si="2"/>
        <v>0</v>
      </c>
      <c r="P91" s="644">
        <f t="shared" si="3"/>
        <v>0</v>
      </c>
    </row>
    <row r="92" spans="3:16">
      <c r="C92" s="211"/>
      <c r="D92" s="211"/>
      <c r="E92" s="211"/>
      <c r="O92" s="644">
        <f t="shared" si="2"/>
        <v>0</v>
      </c>
      <c r="P92" s="644">
        <f t="shared" si="3"/>
        <v>0</v>
      </c>
    </row>
    <row r="93" spans="3:16">
      <c r="C93" s="211"/>
      <c r="D93" s="211"/>
      <c r="E93" s="211"/>
      <c r="O93" s="644">
        <f t="shared" si="2"/>
        <v>0</v>
      </c>
      <c r="P93" s="644">
        <f t="shared" si="3"/>
        <v>0</v>
      </c>
    </row>
    <row r="94" spans="3:16">
      <c r="C94" s="211"/>
      <c r="D94" s="211"/>
      <c r="E94" s="211"/>
      <c r="O94" s="644">
        <f t="shared" si="2"/>
        <v>0</v>
      </c>
      <c r="P94" s="644">
        <f t="shared" si="3"/>
        <v>0</v>
      </c>
    </row>
    <row r="95" spans="3:16">
      <c r="C95" s="211"/>
      <c r="D95" s="211"/>
      <c r="E95" s="211"/>
      <c r="O95" s="644">
        <f t="shared" si="2"/>
        <v>0</v>
      </c>
      <c r="P95" s="644">
        <f t="shared" si="3"/>
        <v>0</v>
      </c>
    </row>
    <row r="96" spans="3:16">
      <c r="C96" s="211"/>
      <c r="D96" s="211"/>
      <c r="E96" s="211"/>
      <c r="O96" s="644">
        <f t="shared" si="2"/>
        <v>0</v>
      </c>
      <c r="P96" s="644">
        <f t="shared" si="3"/>
        <v>0</v>
      </c>
    </row>
    <row r="97" spans="3:16">
      <c r="C97" s="211"/>
      <c r="D97" s="211"/>
      <c r="E97" s="211"/>
      <c r="O97" s="644">
        <f t="shared" si="2"/>
        <v>0</v>
      </c>
      <c r="P97" s="644">
        <f t="shared" si="3"/>
        <v>0</v>
      </c>
    </row>
    <row r="98" spans="3:16">
      <c r="C98" s="211"/>
      <c r="D98" s="211"/>
      <c r="E98" s="211"/>
      <c r="O98" s="644">
        <f t="shared" si="2"/>
        <v>0</v>
      </c>
      <c r="P98" s="644">
        <f t="shared" si="3"/>
        <v>0</v>
      </c>
    </row>
    <row r="99" spans="3:16">
      <c r="C99" s="211"/>
      <c r="D99" s="211"/>
      <c r="E99" s="211"/>
      <c r="O99" s="644">
        <f t="shared" si="2"/>
        <v>0</v>
      </c>
      <c r="P99" s="644">
        <f t="shared" si="3"/>
        <v>0</v>
      </c>
    </row>
    <row r="100" spans="3:16">
      <c r="C100" s="211"/>
      <c r="D100" s="211"/>
      <c r="E100" s="211"/>
      <c r="O100" s="644">
        <f t="shared" si="2"/>
        <v>0</v>
      </c>
      <c r="P100" s="644">
        <f t="shared" si="3"/>
        <v>0</v>
      </c>
    </row>
    <row r="101" spans="3:16">
      <c r="C101" s="211"/>
      <c r="D101" s="211"/>
      <c r="E101" s="211"/>
      <c r="O101" s="644">
        <f t="shared" si="2"/>
        <v>0</v>
      </c>
      <c r="P101" s="644">
        <f t="shared" si="3"/>
        <v>0</v>
      </c>
    </row>
    <row r="102" spans="3:16">
      <c r="C102" s="211"/>
      <c r="D102" s="211"/>
      <c r="E102" s="211"/>
    </row>
    <row r="103" spans="3:16">
      <c r="C103" s="211"/>
      <c r="D103" s="211"/>
      <c r="E103" s="211"/>
    </row>
    <row r="104" spans="3:16">
      <c r="C104" s="211"/>
      <c r="D104" s="211"/>
      <c r="E104" s="211"/>
    </row>
    <row r="105" spans="3:16">
      <c r="C105" s="211"/>
      <c r="D105" s="211"/>
      <c r="E105" s="211"/>
    </row>
    <row r="106" spans="3:16">
      <c r="C106" s="211"/>
      <c r="D106" s="211"/>
      <c r="E106" s="211"/>
    </row>
    <row r="107" spans="3:16">
      <c r="C107" s="211"/>
      <c r="D107" s="211"/>
      <c r="E107" s="211"/>
    </row>
    <row r="108" spans="3:16">
      <c r="C108" s="211"/>
      <c r="D108" s="211"/>
      <c r="E108" s="211"/>
    </row>
    <row r="109" spans="3:16">
      <c r="C109" s="211"/>
      <c r="D109" s="211"/>
      <c r="E109" s="211"/>
    </row>
    <row r="110" spans="3:16">
      <c r="C110" s="211"/>
      <c r="D110" s="211"/>
      <c r="E110" s="211"/>
    </row>
    <row r="111" spans="3:16">
      <c r="C111" s="211"/>
      <c r="D111" s="211"/>
      <c r="E111" s="211"/>
    </row>
    <row r="112" spans="3:16">
      <c r="C112" s="211"/>
      <c r="D112" s="211"/>
      <c r="E112" s="211"/>
    </row>
    <row r="113" spans="3:5">
      <c r="C113" s="211"/>
      <c r="D113" s="211"/>
      <c r="E113" s="211"/>
    </row>
    <row r="114" spans="3:5">
      <c r="C114" s="211"/>
      <c r="D114" s="211"/>
      <c r="E114" s="211"/>
    </row>
    <row r="115" spans="3:5">
      <c r="C115" s="211"/>
      <c r="D115" s="211"/>
      <c r="E115" s="211"/>
    </row>
    <row r="116" spans="3:5">
      <c r="C116" s="211"/>
      <c r="D116" s="211"/>
      <c r="E116" s="211"/>
    </row>
    <row r="117" spans="3:5">
      <c r="C117" s="211"/>
      <c r="D117" s="211"/>
      <c r="E117" s="211"/>
    </row>
    <row r="118" spans="3:5">
      <c r="C118" s="211"/>
      <c r="D118" s="211"/>
      <c r="E118" s="211"/>
    </row>
    <row r="119" spans="3:5">
      <c r="C119" s="211"/>
      <c r="D119" s="211"/>
      <c r="E119" s="211"/>
    </row>
    <row r="120" spans="3:5">
      <c r="C120" s="211"/>
      <c r="D120" s="211"/>
      <c r="E120" s="211"/>
    </row>
    <row r="121" spans="3:5">
      <c r="C121" s="211"/>
      <c r="D121" s="211"/>
      <c r="E121" s="211"/>
    </row>
    <row r="122" spans="3:5">
      <c r="C122" s="211"/>
      <c r="D122" s="211"/>
      <c r="E122" s="211"/>
    </row>
    <row r="123" spans="3:5">
      <c r="C123" s="211"/>
      <c r="D123" s="211"/>
      <c r="E123" s="211"/>
    </row>
    <row r="124" spans="3:5">
      <c r="C124" s="211"/>
      <c r="D124" s="211"/>
      <c r="E124" s="211"/>
    </row>
    <row r="125" spans="3:5">
      <c r="C125" s="211"/>
      <c r="D125" s="211"/>
      <c r="E125" s="211"/>
    </row>
    <row r="126" spans="3:5">
      <c r="C126" s="211"/>
      <c r="D126" s="211"/>
      <c r="E126" s="211"/>
    </row>
    <row r="127" spans="3:5">
      <c r="C127" s="211"/>
      <c r="D127" s="211"/>
      <c r="E127" s="211"/>
    </row>
    <row r="128" spans="3:5">
      <c r="C128" s="211"/>
      <c r="D128" s="211"/>
      <c r="E128" s="211"/>
    </row>
    <row r="129" spans="3:5">
      <c r="C129" s="211"/>
      <c r="D129" s="211"/>
      <c r="E129" s="211"/>
    </row>
    <row r="130" spans="3:5">
      <c r="C130" s="211"/>
      <c r="D130" s="211"/>
      <c r="E130" s="211"/>
    </row>
    <row r="131" spans="3:5">
      <c r="C131" s="211"/>
      <c r="D131" s="211"/>
      <c r="E131" s="211"/>
    </row>
    <row r="132" spans="3:5">
      <c r="C132" s="211"/>
      <c r="D132" s="211"/>
      <c r="E132" s="211"/>
    </row>
    <row r="133" spans="3:5">
      <c r="C133" s="211"/>
      <c r="D133" s="211"/>
      <c r="E133" s="211"/>
    </row>
    <row r="134" spans="3:5">
      <c r="C134" s="211"/>
      <c r="D134" s="211"/>
      <c r="E134" s="211"/>
    </row>
    <row r="135" spans="3:5">
      <c r="C135" s="211"/>
      <c r="D135" s="211"/>
      <c r="E135" s="211"/>
    </row>
    <row r="136" spans="3:5">
      <c r="C136" s="211"/>
      <c r="D136" s="211"/>
      <c r="E136" s="211"/>
    </row>
    <row r="137" spans="3:5">
      <c r="C137" s="211"/>
      <c r="D137" s="211"/>
      <c r="E137" s="211"/>
    </row>
    <row r="138" spans="3:5">
      <c r="C138" s="211"/>
      <c r="D138" s="211"/>
      <c r="E138" s="211"/>
    </row>
    <row r="139" spans="3:5">
      <c r="C139" s="211"/>
      <c r="D139" s="211"/>
      <c r="E139" s="211"/>
    </row>
    <row r="140" spans="3:5">
      <c r="C140" s="211"/>
      <c r="D140" s="211"/>
      <c r="E140" s="211"/>
    </row>
    <row r="141" spans="3:5">
      <c r="C141" s="211"/>
      <c r="D141" s="211"/>
      <c r="E141" s="211"/>
    </row>
    <row r="142" spans="3:5">
      <c r="C142" s="211"/>
      <c r="D142" s="211"/>
      <c r="E142" s="211"/>
    </row>
    <row r="143" spans="3:5">
      <c r="C143" s="211"/>
      <c r="D143" s="211"/>
      <c r="E143" s="211"/>
    </row>
    <row r="144" spans="3:5">
      <c r="C144" s="211"/>
      <c r="D144" s="211"/>
      <c r="E144" s="211"/>
    </row>
    <row r="145" spans="3:5">
      <c r="C145" s="211"/>
      <c r="D145" s="211"/>
      <c r="E145" s="211"/>
    </row>
    <row r="146" spans="3:5">
      <c r="C146" s="211"/>
      <c r="D146" s="211"/>
      <c r="E146" s="211"/>
    </row>
    <row r="147" spans="3:5">
      <c r="C147" s="211"/>
      <c r="D147" s="211"/>
      <c r="E147" s="211"/>
    </row>
    <row r="148" spans="3:5">
      <c r="C148" s="211"/>
      <c r="D148" s="211"/>
      <c r="E148" s="211"/>
    </row>
    <row r="149" spans="3:5">
      <c r="C149" s="211"/>
      <c r="D149" s="211"/>
      <c r="E149" s="211"/>
    </row>
    <row r="150" spans="3:5">
      <c r="C150" s="211"/>
      <c r="D150" s="211"/>
      <c r="E150" s="211"/>
    </row>
    <row r="151" spans="3:5">
      <c r="C151" s="211"/>
      <c r="D151" s="211"/>
      <c r="E151" s="211"/>
    </row>
    <row r="152" spans="3:5">
      <c r="C152" s="211"/>
      <c r="D152" s="211"/>
      <c r="E152" s="211"/>
    </row>
    <row r="153" spans="3:5">
      <c r="C153" s="211"/>
      <c r="D153" s="211"/>
      <c r="E153" s="211"/>
    </row>
    <row r="154" spans="3:5">
      <c r="C154" s="211"/>
      <c r="D154" s="211"/>
      <c r="E154" s="211"/>
    </row>
    <row r="155" spans="3:5">
      <c r="C155" s="211"/>
      <c r="D155" s="211"/>
      <c r="E155" s="211"/>
    </row>
    <row r="156" spans="3:5">
      <c r="C156" s="211"/>
      <c r="D156" s="211"/>
      <c r="E156" s="211"/>
    </row>
    <row r="157" spans="3:5">
      <c r="C157" s="211"/>
      <c r="D157" s="211"/>
      <c r="E157" s="211"/>
    </row>
    <row r="158" spans="3:5">
      <c r="C158" s="211"/>
      <c r="D158" s="211"/>
      <c r="E158" s="211"/>
    </row>
    <row r="159" spans="3:5">
      <c r="C159" s="211"/>
      <c r="D159" s="211"/>
      <c r="E159" s="211"/>
    </row>
    <row r="160" spans="3:5">
      <c r="C160" s="211"/>
      <c r="D160" s="211"/>
      <c r="E160" s="211"/>
    </row>
    <row r="161" spans="3:5">
      <c r="C161" s="211"/>
      <c r="D161" s="211"/>
      <c r="E161" s="211"/>
    </row>
    <row r="162" spans="3:5">
      <c r="C162" s="211"/>
      <c r="D162" s="211"/>
      <c r="E162" s="211"/>
    </row>
    <row r="163" spans="3:5">
      <c r="C163" s="211"/>
      <c r="D163" s="211"/>
      <c r="E163" s="211"/>
    </row>
    <row r="164" spans="3:5">
      <c r="C164" s="211"/>
      <c r="D164" s="211"/>
      <c r="E164" s="211"/>
    </row>
    <row r="165" spans="3:5">
      <c r="C165" s="211"/>
      <c r="D165" s="211"/>
      <c r="E165" s="211"/>
    </row>
    <row r="166" spans="3:5">
      <c r="C166" s="211"/>
      <c r="D166" s="211"/>
      <c r="E166" s="211"/>
    </row>
    <row r="167" spans="3:5">
      <c r="C167" s="211"/>
      <c r="D167" s="211"/>
      <c r="E167" s="211"/>
    </row>
    <row r="168" spans="3:5">
      <c r="C168" s="211"/>
      <c r="D168" s="211"/>
      <c r="E168" s="211"/>
    </row>
    <row r="169" spans="3:5">
      <c r="C169" s="211"/>
      <c r="D169" s="211"/>
      <c r="E169" s="211"/>
    </row>
    <row r="170" spans="3:5">
      <c r="C170" s="211"/>
      <c r="D170" s="211"/>
      <c r="E170" s="211"/>
    </row>
    <row r="171" spans="3:5">
      <c r="C171" s="211"/>
      <c r="D171" s="211"/>
      <c r="E171" s="211"/>
    </row>
    <row r="172" spans="3:5">
      <c r="C172" s="211"/>
      <c r="D172" s="211"/>
      <c r="E172" s="211"/>
    </row>
    <row r="173" spans="3:5">
      <c r="C173" s="211"/>
      <c r="D173" s="211"/>
      <c r="E173" s="211"/>
    </row>
    <row r="174" spans="3:5">
      <c r="C174" s="211"/>
      <c r="D174" s="211"/>
      <c r="E174" s="211"/>
    </row>
    <row r="175" spans="3:5">
      <c r="C175" s="211"/>
      <c r="D175" s="211"/>
      <c r="E175" s="211"/>
    </row>
    <row r="176" spans="3:5">
      <c r="C176" s="211"/>
      <c r="D176" s="211"/>
      <c r="E176" s="211"/>
    </row>
    <row r="177" spans="3:5">
      <c r="C177" s="211"/>
      <c r="D177" s="211"/>
      <c r="E177" s="211"/>
    </row>
    <row r="178" spans="3:5">
      <c r="C178" s="211"/>
      <c r="D178" s="211"/>
      <c r="E178" s="211"/>
    </row>
    <row r="179" spans="3:5">
      <c r="C179" s="211"/>
      <c r="D179" s="211"/>
      <c r="E179" s="211"/>
    </row>
    <row r="180" spans="3:5">
      <c r="C180" s="211"/>
      <c r="D180" s="211"/>
      <c r="E180" s="211"/>
    </row>
    <row r="181" spans="3:5">
      <c r="C181" s="211"/>
      <c r="D181" s="211"/>
      <c r="E181" s="211"/>
    </row>
    <row r="182" spans="3:5">
      <c r="C182" s="211"/>
      <c r="D182" s="211"/>
      <c r="E182" s="211"/>
    </row>
    <row r="183" spans="3:5">
      <c r="C183" s="211"/>
      <c r="D183" s="211"/>
      <c r="E183" s="211"/>
    </row>
    <row r="184" spans="3:5">
      <c r="C184" s="211"/>
      <c r="D184" s="211"/>
      <c r="E184" s="211"/>
    </row>
    <row r="185" spans="3:5">
      <c r="C185" s="211"/>
      <c r="D185" s="211"/>
      <c r="E185" s="211"/>
    </row>
    <row r="186" spans="3:5">
      <c r="C186" s="211"/>
      <c r="D186" s="211"/>
      <c r="E186" s="211"/>
    </row>
    <row r="187" spans="3:5">
      <c r="C187" s="211"/>
      <c r="D187" s="211"/>
      <c r="E187" s="211"/>
    </row>
    <row r="188" spans="3:5">
      <c r="C188" s="211"/>
      <c r="D188" s="211"/>
      <c r="E188" s="211"/>
    </row>
    <row r="189" spans="3:5">
      <c r="C189" s="211"/>
      <c r="D189" s="211"/>
      <c r="E189" s="211"/>
    </row>
    <row r="190" spans="3:5">
      <c r="C190" s="211"/>
      <c r="D190" s="211"/>
      <c r="E190" s="211"/>
    </row>
    <row r="191" spans="3:5">
      <c r="C191" s="211"/>
      <c r="D191" s="211"/>
      <c r="E191" s="211"/>
    </row>
    <row r="192" spans="3:5">
      <c r="C192" s="211"/>
      <c r="D192" s="211"/>
      <c r="E192" s="211"/>
    </row>
    <row r="193" spans="3:5">
      <c r="C193" s="211"/>
      <c r="D193" s="211"/>
      <c r="E193" s="211"/>
    </row>
    <row r="194" spans="3:5">
      <c r="C194" s="211"/>
      <c r="D194" s="211"/>
      <c r="E194" s="211"/>
    </row>
    <row r="195" spans="3:5">
      <c r="C195" s="211"/>
      <c r="D195" s="211"/>
      <c r="E195" s="211"/>
    </row>
    <row r="196" spans="3:5">
      <c r="C196" s="211"/>
      <c r="D196" s="211"/>
      <c r="E196" s="211"/>
    </row>
    <row r="197" spans="3:5">
      <c r="C197" s="211"/>
      <c r="D197" s="211"/>
      <c r="E197" s="211"/>
    </row>
    <row r="198" spans="3:5">
      <c r="C198" s="211"/>
      <c r="D198" s="211"/>
      <c r="E198" s="211"/>
    </row>
    <row r="199" spans="3:5">
      <c r="C199" s="211"/>
      <c r="D199" s="211"/>
      <c r="E199" s="211"/>
    </row>
    <row r="200" spans="3:5">
      <c r="C200" s="211"/>
      <c r="D200" s="211"/>
      <c r="E200" s="211"/>
    </row>
    <row r="201" spans="3:5">
      <c r="C201" s="211"/>
      <c r="D201" s="211"/>
      <c r="E201" s="211"/>
    </row>
    <row r="202" spans="3:5">
      <c r="C202" s="211"/>
      <c r="D202" s="211"/>
      <c r="E202" s="211"/>
    </row>
    <row r="203" spans="3:5">
      <c r="C203" s="211"/>
      <c r="D203" s="211"/>
      <c r="E203" s="211"/>
    </row>
    <row r="204" spans="3:5">
      <c r="C204" s="211"/>
      <c r="D204" s="211"/>
      <c r="E204" s="211"/>
    </row>
    <row r="205" spans="3:5">
      <c r="C205" s="211"/>
      <c r="D205" s="211"/>
      <c r="E205" s="211"/>
    </row>
    <row r="206" spans="3:5">
      <c r="C206" s="211"/>
      <c r="D206" s="211"/>
      <c r="E206" s="211"/>
    </row>
    <row r="207" spans="3:5">
      <c r="C207" s="211"/>
      <c r="D207" s="211"/>
      <c r="E207" s="211"/>
    </row>
    <row r="208" spans="3:5">
      <c r="C208" s="211"/>
      <c r="D208" s="211"/>
      <c r="E208" s="211"/>
    </row>
    <row r="209" spans="3:5">
      <c r="C209" s="211"/>
      <c r="D209" s="211"/>
      <c r="E209" s="211"/>
    </row>
    <row r="210" spans="3:5">
      <c r="C210" s="211"/>
      <c r="D210" s="211"/>
      <c r="E210" s="211"/>
    </row>
    <row r="211" spans="3:5">
      <c r="C211" s="211"/>
      <c r="D211" s="211"/>
      <c r="E211" s="211"/>
    </row>
    <row r="212" spans="3:5">
      <c r="C212" s="211"/>
      <c r="D212" s="211"/>
      <c r="E212" s="211"/>
    </row>
    <row r="213" spans="3:5">
      <c r="C213" s="211"/>
      <c r="D213" s="211"/>
      <c r="E213" s="211"/>
    </row>
    <row r="214" spans="3:5">
      <c r="C214" s="211"/>
      <c r="D214" s="211"/>
      <c r="E214" s="211"/>
    </row>
    <row r="215" spans="3:5">
      <c r="C215" s="211"/>
      <c r="D215" s="211"/>
      <c r="E215" s="211"/>
    </row>
    <row r="216" spans="3:5">
      <c r="C216" s="211"/>
      <c r="D216" s="211"/>
      <c r="E216" s="211"/>
    </row>
    <row r="217" spans="3:5">
      <c r="C217" s="211"/>
      <c r="D217" s="211"/>
      <c r="E217" s="211"/>
    </row>
    <row r="218" spans="3:5">
      <c r="C218" s="211"/>
      <c r="D218" s="211"/>
      <c r="E218" s="211"/>
    </row>
    <row r="219" spans="3:5">
      <c r="C219" s="211"/>
      <c r="D219" s="211"/>
      <c r="E219" s="211"/>
    </row>
    <row r="220" spans="3:5">
      <c r="C220" s="211"/>
      <c r="D220" s="211"/>
      <c r="E220" s="211"/>
    </row>
    <row r="221" spans="3:5">
      <c r="C221" s="211"/>
      <c r="D221" s="211"/>
      <c r="E221" s="211"/>
    </row>
    <row r="222" spans="3:5">
      <c r="C222" s="211"/>
      <c r="D222" s="211"/>
      <c r="E222" s="211"/>
    </row>
    <row r="223" spans="3:5">
      <c r="C223" s="211"/>
      <c r="D223" s="211"/>
      <c r="E223" s="211"/>
    </row>
    <row r="224" spans="3:5">
      <c r="C224" s="211"/>
      <c r="D224" s="211"/>
      <c r="E224" s="211"/>
    </row>
    <row r="225" spans="3:5">
      <c r="C225" s="211"/>
      <c r="D225" s="211"/>
      <c r="E225" s="211"/>
    </row>
    <row r="226" spans="3:5">
      <c r="C226" s="211"/>
      <c r="D226" s="211"/>
      <c r="E226" s="211"/>
    </row>
    <row r="227" spans="3:5">
      <c r="C227" s="211"/>
      <c r="D227" s="211"/>
      <c r="E227" s="211"/>
    </row>
    <row r="228" spans="3:5">
      <c r="C228" s="211"/>
      <c r="D228" s="211"/>
      <c r="E228" s="211"/>
    </row>
    <row r="229" spans="3:5">
      <c r="C229" s="211"/>
      <c r="D229" s="211"/>
      <c r="E229" s="211"/>
    </row>
    <row r="230" spans="3:5">
      <c r="C230" s="211"/>
      <c r="D230" s="211"/>
      <c r="E230" s="211"/>
    </row>
    <row r="231" spans="3:5">
      <c r="C231" s="211"/>
      <c r="D231" s="211"/>
      <c r="E231" s="211"/>
    </row>
    <row r="232" spans="3:5">
      <c r="C232" s="211"/>
      <c r="D232" s="211"/>
      <c r="E232" s="211"/>
    </row>
    <row r="233" spans="3:5">
      <c r="C233" s="211"/>
      <c r="D233" s="211"/>
      <c r="E233" s="211"/>
    </row>
    <row r="234" spans="3:5">
      <c r="C234" s="211"/>
      <c r="D234" s="211"/>
      <c r="E234" s="211"/>
    </row>
    <row r="235" spans="3:5">
      <c r="C235" s="211"/>
      <c r="D235" s="211"/>
      <c r="E235" s="211"/>
    </row>
    <row r="236" spans="3:5">
      <c r="C236" s="211"/>
      <c r="D236" s="211"/>
      <c r="E236" s="211"/>
    </row>
    <row r="237" spans="3:5">
      <c r="C237" s="211"/>
      <c r="D237" s="211"/>
      <c r="E237" s="211"/>
    </row>
    <row r="238" spans="3:5">
      <c r="C238" s="211"/>
      <c r="D238" s="211"/>
      <c r="E238" s="211"/>
    </row>
    <row r="239" spans="3:5">
      <c r="C239" s="211"/>
      <c r="D239" s="211"/>
      <c r="E239" s="211"/>
    </row>
    <row r="240" spans="3:5">
      <c r="C240" s="211"/>
      <c r="D240" s="211"/>
      <c r="E240" s="211"/>
    </row>
    <row r="241" spans="3:5">
      <c r="C241" s="211"/>
      <c r="D241" s="211"/>
      <c r="E241" s="211"/>
    </row>
    <row r="242" spans="3:5">
      <c r="C242" s="211"/>
      <c r="D242" s="211"/>
      <c r="E242" s="211"/>
    </row>
    <row r="243" spans="3:5">
      <c r="C243" s="211"/>
      <c r="D243" s="211"/>
      <c r="E243" s="211"/>
    </row>
    <row r="244" spans="3:5">
      <c r="C244" s="211"/>
      <c r="D244" s="211"/>
      <c r="E244" s="211"/>
    </row>
    <row r="245" spans="3:5">
      <c r="C245" s="211"/>
      <c r="D245" s="211"/>
      <c r="E245" s="211"/>
    </row>
    <row r="246" spans="3:5">
      <c r="C246" s="211"/>
      <c r="D246" s="211"/>
      <c r="E246" s="211"/>
    </row>
    <row r="247" spans="3:5">
      <c r="C247" s="211"/>
      <c r="D247" s="211"/>
      <c r="E247" s="211"/>
    </row>
    <row r="248" spans="3:5">
      <c r="C248" s="211"/>
      <c r="D248" s="211"/>
      <c r="E248" s="211"/>
    </row>
    <row r="249" spans="3:5">
      <c r="C249" s="211"/>
      <c r="D249" s="211"/>
      <c r="E249" s="211"/>
    </row>
    <row r="250" spans="3:5">
      <c r="C250" s="211"/>
      <c r="D250" s="211"/>
      <c r="E250" s="211"/>
    </row>
    <row r="251" spans="3:5">
      <c r="C251" s="211"/>
      <c r="D251" s="211"/>
      <c r="E251" s="211"/>
    </row>
    <row r="252" spans="3:5">
      <c r="C252" s="211"/>
      <c r="D252" s="211"/>
      <c r="E252" s="211"/>
    </row>
    <row r="253" spans="3:5">
      <c r="C253" s="211"/>
      <c r="D253" s="211"/>
      <c r="E253" s="211"/>
    </row>
    <row r="254" spans="3:5">
      <c r="C254" s="211"/>
      <c r="D254" s="211"/>
      <c r="E254" s="211"/>
    </row>
    <row r="255" spans="3:5">
      <c r="C255" s="211"/>
      <c r="D255" s="211"/>
      <c r="E255" s="211"/>
    </row>
    <row r="256" spans="3:5">
      <c r="C256" s="211"/>
      <c r="D256" s="211"/>
      <c r="E256" s="211"/>
    </row>
    <row r="257" spans="3:5">
      <c r="C257" s="211"/>
      <c r="D257" s="211"/>
      <c r="E257" s="211"/>
    </row>
    <row r="258" spans="3:5">
      <c r="C258" s="211"/>
      <c r="D258" s="211"/>
      <c r="E258" s="211"/>
    </row>
    <row r="259" spans="3:5">
      <c r="C259" s="211"/>
      <c r="D259" s="211"/>
      <c r="E259" s="211"/>
    </row>
    <row r="260" spans="3:5">
      <c r="C260" s="211"/>
      <c r="D260" s="211"/>
      <c r="E260" s="211"/>
    </row>
    <row r="261" spans="3:5">
      <c r="C261" s="211"/>
      <c r="D261" s="211"/>
      <c r="E261" s="211"/>
    </row>
    <row r="262" spans="3:5">
      <c r="C262" s="211"/>
      <c r="D262" s="211"/>
      <c r="E262" s="211"/>
    </row>
    <row r="263" spans="3:5">
      <c r="C263" s="211"/>
      <c r="D263" s="211"/>
      <c r="E263" s="211"/>
    </row>
    <row r="264" spans="3:5">
      <c r="C264" s="211"/>
      <c r="D264" s="211"/>
      <c r="E264" s="211"/>
    </row>
    <row r="265" spans="3:5">
      <c r="C265" s="211"/>
      <c r="D265" s="211"/>
      <c r="E265" s="211"/>
    </row>
    <row r="266" spans="3:5">
      <c r="C266" s="211"/>
      <c r="D266" s="211"/>
      <c r="E266" s="211"/>
    </row>
    <row r="267" spans="3:5">
      <c r="C267" s="211"/>
      <c r="D267" s="211"/>
      <c r="E267" s="211"/>
    </row>
    <row r="268" spans="3:5">
      <c r="C268" s="211"/>
      <c r="D268" s="211"/>
      <c r="E268" s="211"/>
    </row>
    <row r="269" spans="3:5">
      <c r="C269" s="211"/>
      <c r="D269" s="211"/>
      <c r="E269" s="211"/>
    </row>
    <row r="270" spans="3:5">
      <c r="C270" s="211"/>
      <c r="D270" s="211"/>
      <c r="E270" s="211"/>
    </row>
    <row r="271" spans="3:5">
      <c r="C271" s="211"/>
      <c r="D271" s="211"/>
      <c r="E271" s="211"/>
    </row>
    <row r="272" spans="3:5">
      <c r="C272" s="211"/>
      <c r="D272" s="211"/>
      <c r="E272" s="211"/>
    </row>
    <row r="273" spans="3:5">
      <c r="C273" s="211"/>
      <c r="D273" s="211"/>
      <c r="E273" s="211"/>
    </row>
    <row r="274" spans="3:5">
      <c r="C274" s="211"/>
      <c r="D274" s="211"/>
      <c r="E274" s="211"/>
    </row>
    <row r="275" spans="3:5">
      <c r="C275" s="211"/>
      <c r="D275" s="211"/>
      <c r="E275" s="211"/>
    </row>
    <row r="276" spans="3:5">
      <c r="C276" s="211"/>
      <c r="D276" s="211"/>
      <c r="E276" s="211"/>
    </row>
    <row r="277" spans="3:5">
      <c r="C277" s="211"/>
      <c r="D277" s="211"/>
      <c r="E277" s="211"/>
    </row>
    <row r="278" spans="3:5">
      <c r="C278" s="211"/>
      <c r="D278" s="211"/>
      <c r="E278" s="211"/>
    </row>
    <row r="279" spans="3:5">
      <c r="C279" s="211"/>
      <c r="D279" s="211"/>
      <c r="E279" s="211"/>
    </row>
    <row r="280" spans="3:5">
      <c r="C280" s="211"/>
      <c r="D280" s="211"/>
      <c r="E280" s="211"/>
    </row>
    <row r="281" spans="3:5">
      <c r="C281" s="211"/>
      <c r="D281" s="211"/>
      <c r="E281" s="211"/>
    </row>
    <row r="282" spans="3:5">
      <c r="C282" s="211"/>
      <c r="D282" s="211"/>
      <c r="E282" s="211"/>
    </row>
    <row r="283" spans="3:5">
      <c r="C283" s="211"/>
      <c r="D283" s="211"/>
      <c r="E283" s="211"/>
    </row>
    <row r="284" spans="3:5">
      <c r="C284" s="211"/>
      <c r="D284" s="211"/>
      <c r="E284" s="211"/>
    </row>
    <row r="285" spans="3:5">
      <c r="C285" s="211"/>
      <c r="D285" s="211"/>
      <c r="E285" s="211"/>
    </row>
    <row r="286" spans="3:5">
      <c r="C286" s="211"/>
      <c r="D286" s="211"/>
      <c r="E286" s="211"/>
    </row>
    <row r="287" spans="3:5">
      <c r="C287" s="211"/>
      <c r="D287" s="211"/>
      <c r="E287" s="211"/>
    </row>
    <row r="288" spans="3:5">
      <c r="C288" s="211"/>
      <c r="D288" s="211"/>
      <c r="E288" s="211"/>
    </row>
    <row r="289" spans="3:5">
      <c r="C289" s="211"/>
      <c r="D289" s="211"/>
      <c r="E289" s="211"/>
    </row>
    <row r="290" spans="3:5">
      <c r="C290" s="211"/>
      <c r="D290" s="211"/>
      <c r="E290" s="211"/>
    </row>
    <row r="291" spans="3:5">
      <c r="C291" s="211"/>
      <c r="D291" s="211"/>
      <c r="E291" s="211"/>
    </row>
    <row r="292" spans="3:5">
      <c r="C292" s="211"/>
      <c r="D292" s="211"/>
      <c r="E292" s="211"/>
    </row>
    <row r="293" spans="3:5">
      <c r="C293" s="211"/>
      <c r="D293" s="211"/>
      <c r="E293" s="211"/>
    </row>
    <row r="294" spans="3:5">
      <c r="C294" s="211"/>
      <c r="D294" s="211"/>
      <c r="E294" s="211"/>
    </row>
    <row r="295" spans="3:5">
      <c r="C295" s="211"/>
      <c r="D295" s="211"/>
      <c r="E295" s="211"/>
    </row>
    <row r="296" spans="3:5">
      <c r="C296" s="211"/>
      <c r="D296" s="211"/>
      <c r="E296" s="211"/>
    </row>
    <row r="297" spans="3:5">
      <c r="C297" s="211"/>
      <c r="D297" s="211"/>
      <c r="E297" s="211"/>
    </row>
    <row r="298" spans="3:5">
      <c r="C298" s="211"/>
      <c r="D298" s="211"/>
      <c r="E298" s="211"/>
    </row>
    <row r="299" spans="3:5">
      <c r="C299" s="211"/>
      <c r="D299" s="211"/>
      <c r="E299" s="211"/>
    </row>
    <row r="300" spans="3:5">
      <c r="C300" s="211"/>
      <c r="D300" s="211"/>
      <c r="E300" s="211"/>
    </row>
    <row r="301" spans="3:5">
      <c r="C301" s="211"/>
      <c r="D301" s="211"/>
      <c r="E301" s="211"/>
    </row>
    <row r="302" spans="3:5">
      <c r="C302" s="211"/>
      <c r="D302" s="211"/>
      <c r="E302" s="211"/>
    </row>
    <row r="303" spans="3:5">
      <c r="C303" s="211"/>
      <c r="D303" s="211"/>
      <c r="E303" s="211"/>
    </row>
    <row r="304" spans="3:5">
      <c r="C304" s="211"/>
      <c r="D304" s="211"/>
      <c r="E304" s="211"/>
    </row>
    <row r="305" spans="3:5">
      <c r="C305" s="211"/>
      <c r="D305" s="211"/>
      <c r="E305" s="211"/>
    </row>
    <row r="306" spans="3:5">
      <c r="C306" s="211"/>
      <c r="D306" s="211"/>
      <c r="E306" s="211"/>
    </row>
    <row r="307" spans="3:5">
      <c r="C307" s="211"/>
      <c r="D307" s="211"/>
      <c r="E307" s="211"/>
    </row>
    <row r="308" spans="3:5">
      <c r="C308" s="211"/>
      <c r="D308" s="211"/>
      <c r="E308" s="211"/>
    </row>
    <row r="309" spans="3:5">
      <c r="C309" s="211"/>
      <c r="D309" s="211"/>
      <c r="E309" s="211"/>
    </row>
    <row r="310" spans="3:5">
      <c r="C310" s="211"/>
      <c r="D310" s="211"/>
      <c r="E310" s="211"/>
    </row>
    <row r="311" spans="3:5">
      <c r="C311" s="211"/>
      <c r="D311" s="211"/>
      <c r="E311" s="211"/>
    </row>
    <row r="312" spans="3:5">
      <c r="C312" s="211"/>
      <c r="D312" s="211"/>
      <c r="E312" s="211"/>
    </row>
    <row r="313" spans="3:5">
      <c r="C313" s="211"/>
      <c r="D313" s="211"/>
      <c r="E313" s="211"/>
    </row>
    <row r="314" spans="3:5">
      <c r="C314" s="211"/>
      <c r="D314" s="211"/>
      <c r="E314" s="211"/>
    </row>
    <row r="315" spans="3:5">
      <c r="C315" s="211"/>
      <c r="D315" s="211"/>
      <c r="E315" s="211"/>
    </row>
    <row r="316" spans="3:5">
      <c r="C316" s="211"/>
      <c r="D316" s="211"/>
      <c r="E316" s="211"/>
    </row>
    <row r="317" spans="3:5">
      <c r="C317" s="211"/>
      <c r="D317" s="211"/>
      <c r="E317" s="211"/>
    </row>
    <row r="318" spans="3:5">
      <c r="C318" s="211"/>
      <c r="D318" s="211"/>
      <c r="E318" s="211"/>
    </row>
    <row r="319" spans="3:5">
      <c r="C319" s="211"/>
      <c r="D319" s="211"/>
      <c r="E319" s="211"/>
    </row>
    <row r="320" spans="3:5">
      <c r="C320" s="211"/>
      <c r="D320" s="211"/>
      <c r="E320" s="211"/>
    </row>
    <row r="321" spans="3:5">
      <c r="C321" s="211"/>
      <c r="D321" s="211"/>
      <c r="E321" s="211"/>
    </row>
    <row r="322" spans="3:5">
      <c r="C322" s="211"/>
      <c r="D322" s="211"/>
      <c r="E322" s="211"/>
    </row>
    <row r="323" spans="3:5">
      <c r="C323" s="211"/>
      <c r="D323" s="211"/>
      <c r="E323" s="211"/>
    </row>
    <row r="324" spans="3:5">
      <c r="C324" s="211"/>
      <c r="D324" s="211"/>
      <c r="E324" s="211"/>
    </row>
    <row r="325" spans="3:5">
      <c r="C325" s="211"/>
      <c r="D325" s="211"/>
      <c r="E325" s="211"/>
    </row>
    <row r="326" spans="3:5">
      <c r="C326" s="211"/>
      <c r="D326" s="211"/>
      <c r="E326" s="211"/>
    </row>
    <row r="327" spans="3:5">
      <c r="C327" s="211"/>
      <c r="D327" s="211"/>
      <c r="E327" s="211"/>
    </row>
    <row r="328" spans="3:5">
      <c r="C328" s="211"/>
      <c r="D328" s="211"/>
      <c r="E328" s="211"/>
    </row>
    <row r="329" spans="3:5">
      <c r="C329" s="211"/>
      <c r="D329" s="211"/>
      <c r="E329" s="211"/>
    </row>
    <row r="330" spans="3:5">
      <c r="C330" s="211"/>
      <c r="D330" s="211"/>
      <c r="E330" s="211"/>
    </row>
  </sheetData>
  <mergeCells count="1">
    <mergeCell ref="A1:M1"/>
  </mergeCells>
  <phoneticPr fontId="25" type="noConversion"/>
  <conditionalFormatting sqref="A1 A2:B5 C2:F3 A51:F1048576 A50:D50 C4:E4 C6:F49 C5:J5 N1:XFD4 N6:XFD7 N5 Q5:XFD5 N102:XFD1048576 N8:N101 Q8:XFD101">
    <cfRule type="cellIs" dxfId="815" priority="37" operator="equal">
      <formula>0</formula>
    </cfRule>
  </conditionalFormatting>
  <conditionalFormatting sqref="E50:F50">
    <cfRule type="cellIs" dxfId="814" priority="36" operator="equal">
      <formula>0</formula>
    </cfRule>
  </conditionalFormatting>
  <conditionalFormatting sqref="N5:N6">
    <cfRule type="containsText" dxfId="813" priority="35" operator="containsText" text="FALSO">
      <formula>NOT(ISERROR(SEARCH("FALSO",N5)))</formula>
    </cfRule>
  </conditionalFormatting>
  <conditionalFormatting sqref="O5:P5">
    <cfRule type="cellIs" dxfId="812"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8" orientation="portrait" r:id="rId1"/>
  <headerFooter>
    <oddHeader xml:space="preserve">&amp;C&amp;G
</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1">
    <tabColor indexed="43"/>
  </sheetPr>
  <dimension ref="A1:EO45"/>
  <sheetViews>
    <sheetView showGridLines="0" workbookViewId="0"/>
  </sheetViews>
  <sheetFormatPr defaultRowHeight="12.75"/>
  <cols>
    <col min="1" max="1" width="151.85546875" style="2" customWidth="1"/>
  </cols>
  <sheetData>
    <row r="1" spans="1:8" ht="15.75">
      <c r="A1" s="1" t="s">
        <v>11</v>
      </c>
    </row>
    <row r="2" spans="1:8" s="215" customFormat="1" ht="13.5" customHeight="1">
      <c r="A2" s="213" t="s">
        <v>135</v>
      </c>
      <c r="B2" s="214"/>
      <c r="C2" s="214"/>
      <c r="D2" s="214"/>
      <c r="E2" s="214"/>
      <c r="F2" s="214"/>
      <c r="G2" s="214"/>
      <c r="H2" s="214"/>
    </row>
    <row r="3" spans="1:8" s="164" customFormat="1">
      <c r="A3" s="321" t="s">
        <v>194</v>
      </c>
    </row>
    <row r="4" spans="1:8" s="164" customFormat="1">
      <c r="A4" s="321" t="s">
        <v>192</v>
      </c>
    </row>
    <row r="5" spans="1:8" s="164" customFormat="1">
      <c r="A5" s="321" t="s">
        <v>195</v>
      </c>
    </row>
    <row r="6" spans="1:8" s="164" customFormat="1">
      <c r="A6" s="321" t="s">
        <v>629</v>
      </c>
    </row>
    <row r="7" spans="1:8" s="164" customFormat="1">
      <c r="A7" s="321" t="s">
        <v>631</v>
      </c>
    </row>
    <row r="8" spans="1:8" s="164" customFormat="1">
      <c r="A8" s="321" t="s">
        <v>632</v>
      </c>
    </row>
    <row r="9" spans="1:8" s="104" customFormat="1">
      <c r="A9" s="321" t="s">
        <v>634</v>
      </c>
    </row>
    <row r="10" spans="1:8" s="104" customFormat="1">
      <c r="A10" s="321" t="s">
        <v>636</v>
      </c>
    </row>
    <row r="11" spans="1:8" s="323" customFormat="1">
      <c r="A11" s="322" t="s">
        <v>641</v>
      </c>
    </row>
    <row r="12" spans="1:8" s="323" customFormat="1">
      <c r="A12" s="322" t="s">
        <v>642</v>
      </c>
    </row>
    <row r="13" spans="1:8" s="323" customFormat="1">
      <c r="A13" s="322" t="s">
        <v>643</v>
      </c>
    </row>
    <row r="14" spans="1:8" s="323" customFormat="1">
      <c r="A14" s="322" t="s">
        <v>644</v>
      </c>
    </row>
    <row r="15" spans="1:8" s="323" customFormat="1">
      <c r="A15" s="322" t="s">
        <v>646</v>
      </c>
    </row>
    <row r="16" spans="1:8" s="323" customFormat="1">
      <c r="A16" s="322" t="s">
        <v>647</v>
      </c>
    </row>
    <row r="17" spans="1:145" s="323" customFormat="1">
      <c r="A17" s="322" t="s">
        <v>648</v>
      </c>
    </row>
    <row r="18" spans="1:145" s="323" customFormat="1">
      <c r="A18" s="322" t="s">
        <v>649</v>
      </c>
    </row>
    <row r="19" spans="1:145" s="323" customFormat="1">
      <c r="A19" s="322" t="s">
        <v>650</v>
      </c>
    </row>
    <row r="20" spans="1:145" s="323" customFormat="1">
      <c r="A20" s="322" t="s">
        <v>651</v>
      </c>
    </row>
    <row r="21" spans="1:145" s="323" customFormat="1">
      <c r="A21" s="322" t="s">
        <v>704</v>
      </c>
    </row>
    <row r="22" spans="1:145" s="323" customFormat="1">
      <c r="A22" s="322" t="s">
        <v>706</v>
      </c>
    </row>
    <row r="23" spans="1:145" s="324" customFormat="1">
      <c r="A23" s="324" t="s">
        <v>710</v>
      </c>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row>
    <row r="24" spans="1:145" s="323" customFormat="1">
      <c r="A24" s="324" t="s">
        <v>712</v>
      </c>
    </row>
    <row r="25" spans="1:145" s="323" customFormat="1">
      <c r="A25" s="324" t="s">
        <v>714</v>
      </c>
    </row>
    <row r="26" spans="1:145" s="323" customFormat="1">
      <c r="A26" s="324" t="s">
        <v>716</v>
      </c>
    </row>
    <row r="27" spans="1:145" s="323" customFormat="1">
      <c r="A27" s="324" t="s">
        <v>717</v>
      </c>
    </row>
    <row r="28" spans="1:145" s="323" customFormat="1">
      <c r="A28" s="324" t="s">
        <v>719</v>
      </c>
    </row>
    <row r="29" spans="1:145" s="323" customFormat="1">
      <c r="A29" s="324" t="s">
        <v>721</v>
      </c>
    </row>
    <row r="30" spans="1:145" s="323" customFormat="1">
      <c r="A30" s="324" t="s">
        <v>726</v>
      </c>
    </row>
    <row r="31" spans="1:145" s="323" customFormat="1">
      <c r="A31" s="324" t="s">
        <v>727</v>
      </c>
    </row>
    <row r="32" spans="1:145" s="323" customFormat="1">
      <c r="A32" s="324" t="s">
        <v>729</v>
      </c>
    </row>
    <row r="33" spans="1:8" s="104" customFormat="1" ht="16.5" customHeight="1">
      <c r="A33" s="311" t="s">
        <v>732</v>
      </c>
    </row>
    <row r="34" spans="1:8" s="104" customFormat="1">
      <c r="A34" s="311" t="s">
        <v>734</v>
      </c>
    </row>
    <row r="35" spans="1:8" s="104" customFormat="1">
      <c r="A35" s="311" t="s">
        <v>736</v>
      </c>
    </row>
    <row r="36" spans="1:8" s="104" customFormat="1">
      <c r="A36" s="311" t="s">
        <v>738</v>
      </c>
    </row>
    <row r="37" spans="1:8" s="104" customFormat="1">
      <c r="A37" s="311" t="s">
        <v>740</v>
      </c>
    </row>
    <row r="38" spans="1:8" s="104" customFormat="1">
      <c r="A38" s="311" t="s">
        <v>741</v>
      </c>
    </row>
    <row r="39" spans="1:8" s="104" customFormat="1">
      <c r="A39" s="311" t="s">
        <v>743</v>
      </c>
    </row>
    <row r="40" spans="1:8" s="104" customFormat="1">
      <c r="A40" s="311" t="s">
        <v>745</v>
      </c>
    </row>
    <row r="41" spans="1:8" s="104" customFormat="1">
      <c r="A41" s="311" t="s">
        <v>747</v>
      </c>
    </row>
    <row r="42" spans="1:8" s="164" customFormat="1">
      <c r="A42" s="311" t="s">
        <v>749</v>
      </c>
    </row>
    <row r="43" spans="1:8" s="164" customFormat="1">
      <c r="A43" s="311" t="s">
        <v>751</v>
      </c>
    </row>
    <row r="44" spans="1:8" s="215" customFormat="1" ht="13.5" customHeight="1">
      <c r="A44" s="216" t="s">
        <v>136</v>
      </c>
      <c r="B44" s="217"/>
      <c r="C44" s="217"/>
      <c r="D44" s="217"/>
      <c r="E44" s="217"/>
      <c r="F44" s="217"/>
      <c r="G44" s="217"/>
      <c r="H44" s="217"/>
    </row>
    <row r="45" spans="1:8" s="215" customFormat="1" ht="13.5" customHeight="1">
      <c r="A45" s="216" t="s">
        <v>137</v>
      </c>
      <c r="B45" s="217"/>
      <c r="C45" s="217"/>
      <c r="D45" s="217"/>
      <c r="E45" s="217"/>
      <c r="F45" s="217"/>
      <c r="G45" s="217"/>
      <c r="H45" s="217"/>
    </row>
  </sheetData>
  <phoneticPr fontId="25" type="noConversion"/>
  <hyperlinks>
    <hyperlink ref="A3" location="'q1'!A1" display="Quadro 1 - Empresas por atividade económica (CAE-Rev. 3) " xr:uid="{00000000-0004-0000-0200-000000000000}"/>
    <hyperlink ref="A4" location="'q2'!A1" display="Quadro 2 - Empresas por dimensão" xr:uid="{00000000-0004-0000-0200-000001000000}"/>
    <hyperlink ref="A5" location="'q3'!A1" display="Quadro 3 - Empresas por distrito" xr:uid="{00000000-0004-0000-0200-000002000000}"/>
    <hyperlink ref="A7" location="'q5'!A1" display="Quadro 5 - Estabelecimentos por atividade económica (CAE-Rev. 3) " xr:uid="{00000000-0004-0000-0200-000003000000}"/>
    <hyperlink ref="A8" location="'q6'!A1" display="Quadro 5 - Estabelecimentos por dimensão" xr:uid="{00000000-0004-0000-0200-000004000000}"/>
    <hyperlink ref="A9" location="'q7'!A1" display="Quadro 6 - Estabelecimentos por distrito" xr:uid="{00000000-0004-0000-0200-000005000000}"/>
    <hyperlink ref="A11" location="'q9'!A1" display="Quadro 9 - Pessoas ao serviço nos estabelecimentos por atividade económica (CAE-Rev. 3)" xr:uid="{00000000-0004-0000-0200-000006000000}"/>
    <hyperlink ref="A12" location="'q10'!A1" display="Quadro 8 - Pessoas ao serviço nos estabelecimentos por dimensão" xr:uid="{00000000-0004-0000-0200-000007000000}"/>
    <hyperlink ref="A13" location="'q11'!A1" display="Quadro 11 - Pessoas ao serviço nos estabelecimentos por distrito" xr:uid="{00000000-0004-0000-0200-000008000000}"/>
    <hyperlink ref="A15" location="'q13'!A1" display="Quadro 13 - Trabalhadores por conta de outrem ao serviço nos estabelecimentos por atividade económica (CAE-Rev. 3)" xr:uid="{00000000-0004-0000-0200-000009000000}"/>
    <hyperlink ref="A16" location="'q14'!A1" display="Quadro 14 - Trabalhadores por conta de outrem ao serviço nos estabelecimentos por dimensão e sexo" xr:uid="{00000000-0004-0000-0200-00000A000000}"/>
    <hyperlink ref="A17" location="'q15'!A1" display="Quadro 15 - Trabalhadores por conta de outrem ao serviço nos estabelecimentos por distrito" xr:uid="{00000000-0004-0000-0200-00000B000000}"/>
    <hyperlink ref="A19" location="'q17'!A1" display="Quadro 17 - Trabalhadores por conta de outrem ao serviço nos estabelecimentos por grupo etário e sexo" xr:uid="{00000000-0004-0000-0200-00000C000000}"/>
    <hyperlink ref="A20" location="'q18'!A1" display="Quadro 18 - Trabalhadores por conta de outrem ao serviço nos estabelecimentos por nível de qualificação e sexo" xr:uid="{00000000-0004-0000-0200-00000D000000}"/>
    <hyperlink ref="A22" location="'q20'!A1" display="Quadro 20 - Trabalhadores por conta de outrem ao serviço nos estabelecimentos abrangidos e não abrangidos por Instrumentos de Regulamentação Coletiva de Trabalho (IRCT)" xr:uid="{00000000-0004-0000-0200-00000E000000}"/>
    <hyperlink ref="A23" location="'q21'!A1" display="Quadro 21 - Trabalhadores por conta de outrem ao serviço nos estabelecimentos por escalão de remuneração mensal base " xr:uid="{00000000-0004-0000-0200-00000F000000}"/>
    <hyperlink ref="A24" location="'q22'!A1" display="Quadro 17 - Remuneração média mensal base por atividade económica do estabelecimento (CAE-Rev. 3)" xr:uid="{00000000-0004-0000-0200-000010000000}"/>
    <hyperlink ref="A25" location="'q23'!A1" display="Quadro 23- Remuneração média mensal base por dimensão do estabelecimento e sexo" xr:uid="{00000000-0004-0000-0200-000011000000}"/>
    <hyperlink ref="A26" location="'q24'!A1" display="Quadro 24 - Remuneração média mensal base por distrito do estabelecimento" xr:uid="{00000000-0004-0000-0200-000012000000}"/>
    <hyperlink ref="A28" location="'q26'!A1" display="Quadro 26 - Remuneração média mensal base por grupo etário e sexo" xr:uid="{00000000-0004-0000-0200-000013000000}"/>
    <hyperlink ref="A29" location="'q27'!A1" display="Quadro 27 - Remuneração média mensal base por nível de qualificação e sexo" xr:uid="{00000000-0004-0000-0200-000014000000}"/>
    <hyperlink ref="A35" location="'q33'!A1" display="Quadro 33 - Remuneração média mensal ganho por atividade económica do estabelecimento (CAE-Rev. 3)" xr:uid="{00000000-0004-0000-0200-000015000000}"/>
    <hyperlink ref="A36" location="'q34'!A1" display="Quadro 34 - Remuneração média mensal ganho por dimensão do estabelecimento e sexo" xr:uid="{00000000-0004-0000-0200-000016000000}"/>
    <hyperlink ref="A37" location="'q35'!A1" display="Quadro 35 - Remuneração média mensal ganho por distrito do estabelecimento " xr:uid="{00000000-0004-0000-0200-000017000000}"/>
    <hyperlink ref="A39" location="'q37'!A1" display="Quadro 37- Remuneração média mensal ganho por grupo etário e sexo" xr:uid="{00000000-0004-0000-0200-000018000000}"/>
    <hyperlink ref="A40" location="'q38'!A1" display="Quadro 38 - Remuneração média mensal ganho por nível de qualificação e sexo" xr:uid="{00000000-0004-0000-0200-000019000000}"/>
    <hyperlink ref="A43" location="'q41'!A1" display="Quadro 41 - Remuneração média mensal ganho dos Trabalhadores por Conta de Outrem abrangidos e não abrangidos por Instrumento de Regulamentação Coletiva de Trabalho (IRCT)" xr:uid="{00000000-0004-0000-0200-00001A000000}"/>
    <hyperlink ref="A34" location="'q32 '!A1" display="Quadro 32 - Ganho mensal mediano, médio por decil e limiar de baixos salários" xr:uid="{00000000-0004-0000-0200-00001B000000}"/>
    <hyperlink ref="A32" location="'q30'!A1" display="Quadro 30 - Remuneração média mensal base dos Trabalhadores por Conta de Outrem abrangidos e não abrangidos por Instrumento de Regulamentação Coletiva de Trabalho (IRCT)" xr:uid="{00000000-0004-0000-0200-00001C000000}"/>
    <hyperlink ref="A33" location="'q31'!A1" display="Quadro 31 - Trabalhadores por conta de outrem ao serviço nos estabelecimentos por escalão de remuneração mensal ganho" xr:uid="{00000000-0004-0000-0200-00001D000000}"/>
    <hyperlink ref="A2:H2" location="Introdução!Área_de_Impressão" display="Introdução" xr:uid="{00000000-0004-0000-0200-00001E000000}"/>
    <hyperlink ref="A45:H45" location="Nomenclaturas!Área_de_Impressão" display="Metodologia" xr:uid="{00000000-0004-0000-0200-00001F000000}"/>
    <hyperlink ref="A44:H44" location="Conceitos1!Área_de_Impressão" display="Conceitos" xr:uid="{00000000-0004-0000-0200-000020000000}"/>
    <hyperlink ref="A42" location="'q40'!A1" display="Quadro 40 - Indicadores de remuneração base e ganho e respetivos trabalhadores por conta de outrem (TCO) por nível de habilitação" xr:uid="{00000000-0004-0000-0200-000021000000}"/>
    <hyperlink ref="A6" location="'q4'!A1" display="Quadro 4 - Empresas por Região NUTS II e Sub Região NUTS III (2024)" xr:uid="{975899C5-4EB2-4978-97D2-E4A8444769A4}"/>
    <hyperlink ref="A10" location="'q8'!A1" display="Quadro 6.1 - Estabelecimentos por Região NUTS II e Sub Região NUTS III (2024)" xr:uid="{BC5C6511-E838-45AC-B06B-EB305AC771AF}"/>
    <hyperlink ref="A14" location="'q12'!A1" display="Quadro 12 - Pessoas ao serviço nos estabelecimentos por Região NUTS II e Sub Região NUTS III (2024)" xr:uid="{DDF85F9F-B552-456E-BD3A-9D1DD06F4541}"/>
    <hyperlink ref="A18" location="'q16'!A1" display="Quadro 16 - Trabalhadores por conta de outrem ao serviço nos estabelecimentos por Região NUTS II e Sub Região NUTS III (2024)" xr:uid="{4EDE562D-B384-4A81-A950-3C49956D15B2}"/>
    <hyperlink ref="A27" location="'q25'!A1" display="Quadro 25 - Remuneração média mensal base por Região NUTS II e Sub Região NUTS III (2024) do estabelecimento" xr:uid="{AFE4A8DD-F800-444B-9375-8CCC8634862B}"/>
    <hyperlink ref="A38" location="'q36'!A1" display="Quadro 36 - Remuneração média mensal ganho por Região NUTS II e Sub Região NUTS III (2024) do estabelecimento " xr:uid="{F33D7221-7983-4A53-A6A8-91BAE1131EF8}"/>
    <hyperlink ref="A21" location="'q19'!A1" display="Quadro 19 - Trabalhadores por conta de outrem ao serviço nos estabelecimentos abrangidos e não abrangidos por Instrumentos de Regulamentação Coletiva de Trabalho (IRCT)" xr:uid="{1D151F9F-AEDF-43E2-B09A-DC3132CA96AB}"/>
    <hyperlink ref="A31" location="'q29'!A1" display="Quadro 22 - Remuneração média mensal base dos Trabalhadores por Conta de Outrem abrangidos e não abrangidos por Instrumento de Regulamentação Coletiva de Trabalho (IRCT)" xr:uid="{8E4A265D-D80B-43A8-A68E-D8F509DC29DF}"/>
    <hyperlink ref="A30" location="'q28'!A1" display="Quadro 22 - Remuneração média mensal base dos Trabalhadores por Conta de Outrem abrangidos e não abrangidos por Instrumento de Regulamentação Coletiva de Trabalho (IRCT)" xr:uid="{A0538CE3-7F21-4AB6-BBED-69B98A5C5A7B}"/>
    <hyperlink ref="A41" location="'q39'!A1" display="Quadro 39 - Remuneração média mensal ganho por profissão" xr:uid="{9F0DFCD7-0522-4D05-AB61-FD333C8DFB41}"/>
  </hyperlinks>
  <printOptions horizontalCentered="1"/>
  <pageMargins left="0.11811023622047245" right="0.11811023622047245" top="2.0078740157480315" bottom="0.98425196850393704" header="0" footer="0"/>
  <pageSetup paperSize="9" scale="7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tabColor indexed="25"/>
    <pageSetUpPr fitToPage="1"/>
  </sheetPr>
  <dimension ref="A1:O330"/>
  <sheetViews>
    <sheetView showGridLines="0" workbookViewId="0">
      <selection sqref="A1:M1"/>
    </sheetView>
  </sheetViews>
  <sheetFormatPr defaultColWidth="9.140625" defaultRowHeight="11.25"/>
  <cols>
    <col min="1" max="1" width="14.7109375" style="61" customWidth="1"/>
    <col min="2" max="2" width="2.42578125" style="125" customWidth="1"/>
    <col min="3" max="3" width="7.5703125" style="144" customWidth="1"/>
    <col min="4" max="13" width="7.5703125" style="61" customWidth="1"/>
    <col min="14" max="15" width="5.85546875" style="61" bestFit="1" customWidth="1"/>
    <col min="16" max="16384" width="9.140625" style="61"/>
  </cols>
  <sheetData>
    <row r="1" spans="1:15" s="63" customFormat="1" ht="28.5" customHeight="1">
      <c r="A1" s="760" t="s">
        <v>647</v>
      </c>
      <c r="B1" s="760"/>
      <c r="C1" s="760"/>
      <c r="D1" s="760"/>
      <c r="E1" s="760"/>
      <c r="F1" s="760"/>
      <c r="G1" s="760"/>
      <c r="H1" s="760"/>
      <c r="I1" s="760"/>
      <c r="J1" s="760"/>
      <c r="K1" s="760"/>
      <c r="L1" s="760"/>
      <c r="M1" s="760"/>
    </row>
    <row r="2" spans="1:15" ht="15" customHeight="1">
      <c r="A2" s="65"/>
      <c r="B2" s="65"/>
      <c r="C2" s="66"/>
      <c r="D2" s="182"/>
      <c r="E2" s="182"/>
      <c r="F2" s="182"/>
      <c r="G2" s="182"/>
      <c r="H2" s="182"/>
      <c r="I2" s="182"/>
      <c r="J2" s="182"/>
      <c r="K2" s="182"/>
      <c r="L2" s="182"/>
      <c r="M2" s="182"/>
    </row>
    <row r="3" spans="1:15" ht="15" customHeight="1">
      <c r="A3" s="67" t="s">
        <v>14</v>
      </c>
      <c r="B3" s="68"/>
      <c r="C3" s="66"/>
      <c r="D3" s="182"/>
      <c r="E3" s="182"/>
      <c r="F3" s="182"/>
      <c r="G3" s="182"/>
      <c r="H3" s="182"/>
      <c r="I3" s="182"/>
      <c r="J3" s="182"/>
      <c r="K3" s="182"/>
      <c r="L3" s="182"/>
      <c r="M3" s="182"/>
    </row>
    <row r="4" spans="1:15" s="122" customFormat="1" ht="28.5" customHeight="1" thickBot="1">
      <c r="A4" s="69"/>
      <c r="B4" s="69"/>
      <c r="C4" s="43">
        <v>2013</v>
      </c>
      <c r="D4" s="43">
        <v>2014</v>
      </c>
      <c r="E4" s="43">
        <v>2015</v>
      </c>
      <c r="F4" s="43">
        <v>2016</v>
      </c>
      <c r="G4" s="43">
        <v>2017</v>
      </c>
      <c r="H4" s="43">
        <v>2018</v>
      </c>
      <c r="I4" s="43">
        <v>2019</v>
      </c>
      <c r="J4" s="43">
        <v>2020</v>
      </c>
      <c r="K4" s="43">
        <v>2021</v>
      </c>
      <c r="L4" s="43">
        <v>2022</v>
      </c>
      <c r="M4" s="43">
        <v>2023</v>
      </c>
    </row>
    <row r="5" spans="1:15" s="71" customFormat="1" ht="16.5" customHeight="1" thickTop="1">
      <c r="A5" s="65" t="s">
        <v>12</v>
      </c>
      <c r="B5" s="435" t="s">
        <v>45</v>
      </c>
      <c r="C5" s="361">
        <v>2384121</v>
      </c>
      <c r="D5" s="361">
        <v>2458163</v>
      </c>
      <c r="E5" s="361">
        <v>2537653</v>
      </c>
      <c r="F5" s="361">
        <v>2641919</v>
      </c>
      <c r="G5" s="361">
        <v>2767521</v>
      </c>
      <c r="H5" s="361">
        <v>2877918</v>
      </c>
      <c r="I5" s="361">
        <v>2930482</v>
      </c>
      <c r="J5" s="361">
        <v>2902825</v>
      </c>
      <c r="K5" s="361">
        <v>2922343</v>
      </c>
      <c r="L5" s="361">
        <v>3148147</v>
      </c>
      <c r="M5" s="361">
        <v>3296134</v>
      </c>
      <c r="N5" s="122"/>
      <c r="O5" s="122"/>
    </row>
    <row r="6" spans="1:15" s="71" customFormat="1" ht="12.75" customHeight="1">
      <c r="A6" s="40"/>
      <c r="B6" s="435" t="s">
        <v>53</v>
      </c>
      <c r="C6" s="360">
        <v>1242007</v>
      </c>
      <c r="D6" s="360">
        <v>1278921</v>
      </c>
      <c r="E6" s="360">
        <v>1311721</v>
      </c>
      <c r="F6" s="360">
        <v>1367705</v>
      </c>
      <c r="G6" s="360">
        <v>1437729</v>
      </c>
      <c r="H6" s="360">
        <v>1499993</v>
      </c>
      <c r="I6" s="360">
        <v>1529276</v>
      </c>
      <c r="J6" s="360">
        <v>1526297</v>
      </c>
      <c r="K6" s="360">
        <v>1530240</v>
      </c>
      <c r="L6" s="360">
        <v>1653917</v>
      </c>
      <c r="M6" s="360">
        <v>1743311</v>
      </c>
      <c r="N6" s="122"/>
      <c r="O6" s="122"/>
    </row>
    <row r="7" spans="1:15" s="71" customFormat="1" ht="12.75" customHeight="1">
      <c r="A7" s="40"/>
      <c r="B7" s="435" t="s">
        <v>54</v>
      </c>
      <c r="C7" s="360">
        <v>1142114</v>
      </c>
      <c r="D7" s="360">
        <v>1179242</v>
      </c>
      <c r="E7" s="360">
        <v>1225932</v>
      </c>
      <c r="F7" s="360">
        <v>1274214</v>
      </c>
      <c r="G7" s="360">
        <v>1329792</v>
      </c>
      <c r="H7" s="360">
        <v>1377925</v>
      </c>
      <c r="I7" s="360">
        <v>1401206</v>
      </c>
      <c r="J7" s="360">
        <v>1376528</v>
      </c>
      <c r="K7" s="360">
        <v>1392103</v>
      </c>
      <c r="L7" s="360">
        <v>1494230</v>
      </c>
      <c r="M7" s="360">
        <v>1552823</v>
      </c>
      <c r="N7" s="122"/>
      <c r="O7" s="122"/>
    </row>
    <row r="8" spans="1:15" s="71" customFormat="1" ht="16.5" customHeight="1">
      <c r="A8" s="72" t="s">
        <v>32</v>
      </c>
      <c r="B8" s="435" t="s">
        <v>45</v>
      </c>
      <c r="C8" s="360">
        <v>342145</v>
      </c>
      <c r="D8" s="360">
        <v>345499</v>
      </c>
      <c r="E8" s="360">
        <v>349789</v>
      </c>
      <c r="F8" s="360">
        <v>352430</v>
      </c>
      <c r="G8" s="360">
        <v>351812</v>
      </c>
      <c r="H8" s="360">
        <v>353767</v>
      </c>
      <c r="I8" s="360">
        <v>342009</v>
      </c>
      <c r="J8" s="360">
        <v>347632</v>
      </c>
      <c r="K8" s="360">
        <v>340569</v>
      </c>
      <c r="L8" s="360">
        <v>350142</v>
      </c>
      <c r="M8" s="360">
        <v>355163</v>
      </c>
      <c r="N8" s="122"/>
    </row>
    <row r="9" spans="1:15" s="71" customFormat="1" ht="12.75" customHeight="1">
      <c r="A9" s="66"/>
      <c r="B9" s="94" t="s">
        <v>53</v>
      </c>
      <c r="C9" s="362">
        <v>168282</v>
      </c>
      <c r="D9" s="362">
        <v>169711</v>
      </c>
      <c r="E9" s="362">
        <v>169300</v>
      </c>
      <c r="F9" s="362">
        <v>171507</v>
      </c>
      <c r="G9" s="362">
        <v>171159</v>
      </c>
      <c r="H9" s="362">
        <v>172370</v>
      </c>
      <c r="I9" s="362">
        <v>166882</v>
      </c>
      <c r="J9" s="362">
        <v>170670</v>
      </c>
      <c r="K9" s="362">
        <v>168983</v>
      </c>
      <c r="L9" s="362">
        <v>172147</v>
      </c>
      <c r="M9" s="362">
        <v>174715</v>
      </c>
    </row>
    <row r="10" spans="1:15" s="71" customFormat="1" ht="12.75" customHeight="1">
      <c r="A10" s="66"/>
      <c r="B10" s="94" t="s">
        <v>54</v>
      </c>
      <c r="C10" s="362">
        <v>173863</v>
      </c>
      <c r="D10" s="362">
        <v>175788</v>
      </c>
      <c r="E10" s="362">
        <v>180489</v>
      </c>
      <c r="F10" s="362">
        <v>180923</v>
      </c>
      <c r="G10" s="362">
        <v>180653</v>
      </c>
      <c r="H10" s="362">
        <v>181397</v>
      </c>
      <c r="I10" s="362">
        <v>175127</v>
      </c>
      <c r="J10" s="362">
        <v>176962</v>
      </c>
      <c r="K10" s="362">
        <v>171586</v>
      </c>
      <c r="L10" s="362">
        <v>177995</v>
      </c>
      <c r="M10" s="362">
        <v>180448</v>
      </c>
    </row>
    <row r="11" spans="1:15" s="127" customFormat="1" ht="16.5" customHeight="1">
      <c r="A11" s="72" t="s">
        <v>33</v>
      </c>
      <c r="B11" s="435" t="s">
        <v>45</v>
      </c>
      <c r="C11" s="360">
        <v>324768</v>
      </c>
      <c r="D11" s="360">
        <v>329103</v>
      </c>
      <c r="E11" s="360">
        <v>337049</v>
      </c>
      <c r="F11" s="360">
        <v>346025</v>
      </c>
      <c r="G11" s="360">
        <v>355739</v>
      </c>
      <c r="H11" s="360">
        <v>364100</v>
      </c>
      <c r="I11" s="360">
        <v>363563</v>
      </c>
      <c r="J11" s="360">
        <v>361658</v>
      </c>
      <c r="K11" s="360">
        <v>356708</v>
      </c>
      <c r="L11" s="360">
        <v>377035</v>
      </c>
      <c r="M11" s="360">
        <v>389148</v>
      </c>
    </row>
    <row r="12" spans="1:15" s="71" customFormat="1" ht="12.75" customHeight="1">
      <c r="A12" s="66"/>
      <c r="B12" s="94" t="s">
        <v>53</v>
      </c>
      <c r="C12" s="362">
        <v>173812</v>
      </c>
      <c r="D12" s="362">
        <v>175738</v>
      </c>
      <c r="E12" s="362">
        <v>178521</v>
      </c>
      <c r="F12" s="362">
        <v>182955</v>
      </c>
      <c r="G12" s="362">
        <v>187203</v>
      </c>
      <c r="H12" s="362">
        <v>191870</v>
      </c>
      <c r="I12" s="362">
        <v>191680</v>
      </c>
      <c r="J12" s="362">
        <v>192893</v>
      </c>
      <c r="K12" s="362">
        <v>189637</v>
      </c>
      <c r="L12" s="362">
        <v>199416</v>
      </c>
      <c r="M12" s="362">
        <v>206995</v>
      </c>
    </row>
    <row r="13" spans="1:15" s="71" customFormat="1" ht="12.75" customHeight="1">
      <c r="A13" s="66"/>
      <c r="B13" s="94" t="s">
        <v>54</v>
      </c>
      <c r="C13" s="362">
        <v>150956</v>
      </c>
      <c r="D13" s="362">
        <v>153365</v>
      </c>
      <c r="E13" s="362">
        <v>158528</v>
      </c>
      <c r="F13" s="362">
        <v>163070</v>
      </c>
      <c r="G13" s="362">
        <v>168536</v>
      </c>
      <c r="H13" s="362">
        <v>172230</v>
      </c>
      <c r="I13" s="362">
        <v>171883</v>
      </c>
      <c r="J13" s="362">
        <v>168765</v>
      </c>
      <c r="K13" s="362">
        <v>167071</v>
      </c>
      <c r="L13" s="362">
        <v>177619</v>
      </c>
      <c r="M13" s="362">
        <v>182153</v>
      </c>
    </row>
    <row r="14" spans="1:15" s="127" customFormat="1" ht="16.5" customHeight="1">
      <c r="A14" s="72" t="s">
        <v>34</v>
      </c>
      <c r="B14" s="435" t="s">
        <v>45</v>
      </c>
      <c r="C14" s="360">
        <v>313218</v>
      </c>
      <c r="D14" s="360">
        <v>324795</v>
      </c>
      <c r="E14" s="360">
        <v>335290</v>
      </c>
      <c r="F14" s="360">
        <v>346010</v>
      </c>
      <c r="G14" s="360">
        <v>363341</v>
      </c>
      <c r="H14" s="360">
        <v>380330</v>
      </c>
      <c r="I14" s="360">
        <v>387737</v>
      </c>
      <c r="J14" s="360">
        <v>379146</v>
      </c>
      <c r="K14" s="360">
        <v>380684</v>
      </c>
      <c r="L14" s="360">
        <v>409155</v>
      </c>
      <c r="M14" s="360">
        <v>427992</v>
      </c>
    </row>
    <row r="15" spans="1:15" s="71" customFormat="1" ht="12.75" customHeight="1">
      <c r="A15" s="66"/>
      <c r="B15" s="94" t="s">
        <v>53</v>
      </c>
      <c r="C15" s="362">
        <v>172169</v>
      </c>
      <c r="D15" s="362">
        <v>177417</v>
      </c>
      <c r="E15" s="362">
        <v>181343</v>
      </c>
      <c r="F15" s="362">
        <v>187780</v>
      </c>
      <c r="G15" s="362">
        <v>198028</v>
      </c>
      <c r="H15" s="362">
        <v>206953</v>
      </c>
      <c r="I15" s="362">
        <v>211200</v>
      </c>
      <c r="J15" s="362">
        <v>211551</v>
      </c>
      <c r="K15" s="362">
        <v>210353</v>
      </c>
      <c r="L15" s="362">
        <v>226102</v>
      </c>
      <c r="M15" s="362">
        <v>236044</v>
      </c>
    </row>
    <row r="16" spans="1:15" s="71" customFormat="1" ht="12.75" customHeight="1">
      <c r="A16" s="66"/>
      <c r="B16" s="94" t="s">
        <v>54</v>
      </c>
      <c r="C16" s="362">
        <v>141049</v>
      </c>
      <c r="D16" s="362">
        <v>147378</v>
      </c>
      <c r="E16" s="362">
        <v>153947</v>
      </c>
      <c r="F16" s="362">
        <v>158230</v>
      </c>
      <c r="G16" s="362">
        <v>165313</v>
      </c>
      <c r="H16" s="362">
        <v>173377</v>
      </c>
      <c r="I16" s="362">
        <v>176537</v>
      </c>
      <c r="J16" s="362">
        <v>167595</v>
      </c>
      <c r="K16" s="362">
        <v>170331</v>
      </c>
      <c r="L16" s="362">
        <v>183053</v>
      </c>
      <c r="M16" s="362">
        <v>191948</v>
      </c>
    </row>
    <row r="17" spans="1:13" s="127" customFormat="1" ht="16.5" customHeight="1">
      <c r="A17" s="72" t="s">
        <v>35</v>
      </c>
      <c r="B17" s="435" t="s">
        <v>45</v>
      </c>
      <c r="C17" s="360">
        <v>414705</v>
      </c>
      <c r="D17" s="360">
        <v>427447</v>
      </c>
      <c r="E17" s="360">
        <v>444652</v>
      </c>
      <c r="F17" s="360">
        <v>462870</v>
      </c>
      <c r="G17" s="360">
        <v>485832</v>
      </c>
      <c r="H17" s="360">
        <v>503911</v>
      </c>
      <c r="I17" s="360">
        <v>515962</v>
      </c>
      <c r="J17" s="360">
        <v>511577</v>
      </c>
      <c r="K17" s="360">
        <v>519124</v>
      </c>
      <c r="L17" s="360">
        <v>560003</v>
      </c>
      <c r="M17" s="360">
        <v>591724</v>
      </c>
    </row>
    <row r="18" spans="1:13" s="71" customFormat="1" ht="12.75" customHeight="1">
      <c r="A18" s="66"/>
      <c r="B18" s="94" t="s">
        <v>53</v>
      </c>
      <c r="C18" s="362">
        <v>216886</v>
      </c>
      <c r="D18" s="362">
        <v>223289</v>
      </c>
      <c r="E18" s="362">
        <v>233164</v>
      </c>
      <c r="F18" s="362">
        <v>242596</v>
      </c>
      <c r="G18" s="362">
        <v>255563</v>
      </c>
      <c r="H18" s="362">
        <v>266278</v>
      </c>
      <c r="I18" s="362">
        <v>276133</v>
      </c>
      <c r="J18" s="362">
        <v>275582</v>
      </c>
      <c r="K18" s="362">
        <v>279555</v>
      </c>
      <c r="L18" s="362">
        <v>301023</v>
      </c>
      <c r="M18" s="362">
        <v>322415</v>
      </c>
    </row>
    <row r="19" spans="1:13" s="71" customFormat="1" ht="12.75" customHeight="1">
      <c r="A19" s="66"/>
      <c r="B19" s="94" t="s">
        <v>54</v>
      </c>
      <c r="C19" s="362">
        <v>197819</v>
      </c>
      <c r="D19" s="362">
        <v>204158</v>
      </c>
      <c r="E19" s="362">
        <v>211488</v>
      </c>
      <c r="F19" s="362">
        <v>220274</v>
      </c>
      <c r="G19" s="362">
        <v>230269</v>
      </c>
      <c r="H19" s="362">
        <v>237633</v>
      </c>
      <c r="I19" s="362">
        <v>239829</v>
      </c>
      <c r="J19" s="362">
        <v>235995</v>
      </c>
      <c r="K19" s="362">
        <v>239569</v>
      </c>
      <c r="L19" s="362">
        <v>258980</v>
      </c>
      <c r="M19" s="362">
        <v>269309</v>
      </c>
    </row>
    <row r="20" spans="1:13" s="127" customFormat="1" ht="16.5" customHeight="1">
      <c r="A20" s="72" t="s">
        <v>36</v>
      </c>
      <c r="B20" s="435" t="s">
        <v>45</v>
      </c>
      <c r="C20" s="360">
        <v>273491</v>
      </c>
      <c r="D20" s="360">
        <v>281206</v>
      </c>
      <c r="E20" s="360">
        <v>297097</v>
      </c>
      <c r="F20" s="360">
        <v>312631</v>
      </c>
      <c r="G20" s="360">
        <v>325786</v>
      </c>
      <c r="H20" s="360">
        <v>343160</v>
      </c>
      <c r="I20" s="360">
        <v>354401</v>
      </c>
      <c r="J20" s="360">
        <v>353252</v>
      </c>
      <c r="K20" s="360">
        <v>357819</v>
      </c>
      <c r="L20" s="360">
        <v>390393</v>
      </c>
      <c r="M20" s="360">
        <v>410069</v>
      </c>
    </row>
    <row r="21" spans="1:13" s="71" customFormat="1" ht="12.75" customHeight="1">
      <c r="A21" s="66"/>
      <c r="B21" s="94" t="s">
        <v>53</v>
      </c>
      <c r="C21" s="362">
        <v>139879</v>
      </c>
      <c r="D21" s="362">
        <v>143417</v>
      </c>
      <c r="E21" s="362">
        <v>149729</v>
      </c>
      <c r="F21" s="362">
        <v>159377</v>
      </c>
      <c r="G21" s="362">
        <v>167516</v>
      </c>
      <c r="H21" s="362">
        <v>176418</v>
      </c>
      <c r="I21" s="362">
        <v>183361</v>
      </c>
      <c r="J21" s="362">
        <v>183186</v>
      </c>
      <c r="K21" s="362">
        <v>184552</v>
      </c>
      <c r="L21" s="362">
        <v>203977</v>
      </c>
      <c r="M21" s="362">
        <v>215837</v>
      </c>
    </row>
    <row r="22" spans="1:13" s="71" customFormat="1" ht="12.75" customHeight="1">
      <c r="A22" s="66"/>
      <c r="B22" s="94" t="s">
        <v>54</v>
      </c>
      <c r="C22" s="362">
        <v>133612</v>
      </c>
      <c r="D22" s="362">
        <v>137789</v>
      </c>
      <c r="E22" s="362">
        <v>147368</v>
      </c>
      <c r="F22" s="362">
        <v>153254</v>
      </c>
      <c r="G22" s="362">
        <v>158270</v>
      </c>
      <c r="H22" s="362">
        <v>166742</v>
      </c>
      <c r="I22" s="362">
        <v>171040</v>
      </c>
      <c r="J22" s="362">
        <v>170066</v>
      </c>
      <c r="K22" s="362">
        <v>173267</v>
      </c>
      <c r="L22" s="362">
        <v>186416</v>
      </c>
      <c r="M22" s="362">
        <v>194232</v>
      </c>
    </row>
    <row r="23" spans="1:13" s="127" customFormat="1" ht="16.5" customHeight="1">
      <c r="A23" s="72" t="s">
        <v>37</v>
      </c>
      <c r="B23" s="435" t="s">
        <v>45</v>
      </c>
      <c r="C23" s="360">
        <v>139739</v>
      </c>
      <c r="D23" s="360">
        <v>147070</v>
      </c>
      <c r="E23" s="360">
        <v>141233</v>
      </c>
      <c r="F23" s="360">
        <v>147547</v>
      </c>
      <c r="G23" s="360">
        <v>154532</v>
      </c>
      <c r="H23" s="360">
        <v>161378</v>
      </c>
      <c r="I23" s="360">
        <v>165477</v>
      </c>
      <c r="J23" s="360">
        <v>162095</v>
      </c>
      <c r="K23" s="360">
        <v>167232</v>
      </c>
      <c r="L23" s="360">
        <v>181509</v>
      </c>
      <c r="M23" s="360">
        <v>193860</v>
      </c>
    </row>
    <row r="24" spans="1:13" s="71" customFormat="1" ht="12.75" customHeight="1">
      <c r="A24" s="66"/>
      <c r="B24" s="94" t="s">
        <v>53</v>
      </c>
      <c r="C24" s="362">
        <v>76233</v>
      </c>
      <c r="D24" s="362">
        <v>80896</v>
      </c>
      <c r="E24" s="362">
        <v>77793</v>
      </c>
      <c r="F24" s="362">
        <v>79390</v>
      </c>
      <c r="G24" s="362">
        <v>84335</v>
      </c>
      <c r="H24" s="362">
        <v>88964</v>
      </c>
      <c r="I24" s="362">
        <v>89934</v>
      </c>
      <c r="J24" s="362">
        <v>88809</v>
      </c>
      <c r="K24" s="362">
        <v>91336</v>
      </c>
      <c r="L24" s="362">
        <v>100132</v>
      </c>
      <c r="M24" s="362">
        <v>107792</v>
      </c>
    </row>
    <row r="25" spans="1:13" s="71" customFormat="1" ht="12.75" customHeight="1">
      <c r="A25" s="66"/>
      <c r="B25" s="94" t="s">
        <v>54</v>
      </c>
      <c r="C25" s="362">
        <v>63506</v>
      </c>
      <c r="D25" s="362">
        <v>66174</v>
      </c>
      <c r="E25" s="362">
        <v>63440</v>
      </c>
      <c r="F25" s="362">
        <v>68157</v>
      </c>
      <c r="G25" s="362">
        <v>70197</v>
      </c>
      <c r="H25" s="362">
        <v>72414</v>
      </c>
      <c r="I25" s="362">
        <v>75543</v>
      </c>
      <c r="J25" s="362">
        <v>73286</v>
      </c>
      <c r="K25" s="362">
        <v>75896</v>
      </c>
      <c r="L25" s="362">
        <v>81377</v>
      </c>
      <c r="M25" s="362">
        <v>86068</v>
      </c>
    </row>
    <row r="26" spans="1:13" s="126" customFormat="1" ht="16.5" customHeight="1">
      <c r="A26" s="72" t="s">
        <v>38</v>
      </c>
      <c r="B26" s="435" t="s">
        <v>45</v>
      </c>
      <c r="C26" s="360">
        <v>91458</v>
      </c>
      <c r="D26" s="360">
        <v>89760</v>
      </c>
      <c r="E26" s="360">
        <v>96215</v>
      </c>
      <c r="F26" s="360">
        <v>98823</v>
      </c>
      <c r="G26" s="360">
        <v>101241</v>
      </c>
      <c r="H26" s="360">
        <v>110184</v>
      </c>
      <c r="I26" s="360">
        <v>111024</v>
      </c>
      <c r="J26" s="360">
        <v>104408</v>
      </c>
      <c r="K26" s="360">
        <v>112052</v>
      </c>
      <c r="L26" s="360">
        <v>125576</v>
      </c>
      <c r="M26" s="360">
        <v>129185</v>
      </c>
    </row>
    <row r="27" spans="1:13" s="211" customFormat="1" ht="12.75" customHeight="1">
      <c r="A27" s="66"/>
      <c r="B27" s="94" t="s">
        <v>53</v>
      </c>
      <c r="C27" s="362">
        <v>52167</v>
      </c>
      <c r="D27" s="362">
        <v>50303</v>
      </c>
      <c r="E27" s="362">
        <v>54194</v>
      </c>
      <c r="F27" s="362">
        <v>54966</v>
      </c>
      <c r="G27" s="362">
        <v>55142</v>
      </c>
      <c r="H27" s="362">
        <v>60727</v>
      </c>
      <c r="I27" s="362">
        <v>60938</v>
      </c>
      <c r="J27" s="362">
        <v>58537</v>
      </c>
      <c r="K27" s="362">
        <v>61099</v>
      </c>
      <c r="L27" s="362">
        <v>67854</v>
      </c>
      <c r="M27" s="362">
        <v>72368</v>
      </c>
    </row>
    <row r="28" spans="1:13" s="211" customFormat="1" ht="12.75" customHeight="1">
      <c r="A28" s="66"/>
      <c r="B28" s="94" t="s">
        <v>54</v>
      </c>
      <c r="C28" s="362">
        <v>39291</v>
      </c>
      <c r="D28" s="362">
        <v>39457</v>
      </c>
      <c r="E28" s="362">
        <v>42021</v>
      </c>
      <c r="F28" s="362">
        <v>43857</v>
      </c>
      <c r="G28" s="362">
        <v>46099</v>
      </c>
      <c r="H28" s="362">
        <v>49457</v>
      </c>
      <c r="I28" s="362">
        <v>50086</v>
      </c>
      <c r="J28" s="362">
        <v>45871</v>
      </c>
      <c r="K28" s="362">
        <v>50953</v>
      </c>
      <c r="L28" s="362">
        <v>57722</v>
      </c>
      <c r="M28" s="362">
        <v>56817</v>
      </c>
    </row>
    <row r="29" spans="1:13" s="126" customFormat="1" ht="16.5" customHeight="1">
      <c r="A29" s="72" t="s">
        <v>39</v>
      </c>
      <c r="B29" s="435" t="s">
        <v>45</v>
      </c>
      <c r="C29" s="360">
        <v>59282</v>
      </c>
      <c r="D29" s="360">
        <v>63738</v>
      </c>
      <c r="E29" s="360">
        <v>66738</v>
      </c>
      <c r="F29" s="360">
        <v>69035</v>
      </c>
      <c r="G29" s="360">
        <v>78214</v>
      </c>
      <c r="H29" s="360">
        <v>80103</v>
      </c>
      <c r="I29" s="360">
        <v>80426</v>
      </c>
      <c r="J29" s="360">
        <v>81014</v>
      </c>
      <c r="K29" s="360">
        <v>82449</v>
      </c>
      <c r="L29" s="360">
        <v>90661</v>
      </c>
      <c r="M29" s="360">
        <v>93865</v>
      </c>
    </row>
    <row r="30" spans="1:13" s="211" customFormat="1" ht="12.75" customHeight="1">
      <c r="A30" s="66"/>
      <c r="B30" s="94" t="s">
        <v>53</v>
      </c>
      <c r="C30" s="362">
        <v>32282</v>
      </c>
      <c r="D30" s="362">
        <v>36034</v>
      </c>
      <c r="E30" s="362">
        <v>37318</v>
      </c>
      <c r="F30" s="362">
        <v>40379</v>
      </c>
      <c r="G30" s="362">
        <v>44356</v>
      </c>
      <c r="H30" s="362">
        <v>45248</v>
      </c>
      <c r="I30" s="362">
        <v>45691</v>
      </c>
      <c r="J30" s="362">
        <v>46395</v>
      </c>
      <c r="K30" s="362">
        <v>47162</v>
      </c>
      <c r="L30" s="362">
        <v>53169</v>
      </c>
      <c r="M30" s="362">
        <v>51339</v>
      </c>
    </row>
    <row r="31" spans="1:13" s="211" customFormat="1" ht="12.75" customHeight="1">
      <c r="A31" s="66"/>
      <c r="B31" s="94" t="s">
        <v>54</v>
      </c>
      <c r="C31" s="362">
        <v>27000</v>
      </c>
      <c r="D31" s="362">
        <v>27704</v>
      </c>
      <c r="E31" s="362">
        <v>29420</v>
      </c>
      <c r="F31" s="362">
        <v>28656</v>
      </c>
      <c r="G31" s="362">
        <v>33858</v>
      </c>
      <c r="H31" s="362">
        <v>34855</v>
      </c>
      <c r="I31" s="362">
        <v>34735</v>
      </c>
      <c r="J31" s="362">
        <v>34619</v>
      </c>
      <c r="K31" s="362">
        <v>35287</v>
      </c>
      <c r="L31" s="362">
        <v>37492</v>
      </c>
      <c r="M31" s="362">
        <v>42526</v>
      </c>
    </row>
    <row r="32" spans="1:13" s="126" customFormat="1" ht="16.5" customHeight="1">
      <c r="A32" s="72" t="s">
        <v>40</v>
      </c>
      <c r="B32" s="435" t="s">
        <v>45</v>
      </c>
      <c r="C32" s="360">
        <v>161861</v>
      </c>
      <c r="D32" s="360">
        <v>155482</v>
      </c>
      <c r="E32" s="360">
        <v>171425</v>
      </c>
      <c r="F32" s="360">
        <v>185474</v>
      </c>
      <c r="G32" s="360">
        <v>199402</v>
      </c>
      <c r="H32" s="360">
        <v>211355</v>
      </c>
      <c r="I32" s="360">
        <v>213289</v>
      </c>
      <c r="J32" s="360">
        <v>205892</v>
      </c>
      <c r="K32" s="360">
        <v>210909</v>
      </c>
      <c r="L32" s="360">
        <v>227442</v>
      </c>
      <c r="M32" s="360">
        <v>242017</v>
      </c>
    </row>
    <row r="33" spans="1:13" s="211" customFormat="1" ht="12.75" customHeight="1">
      <c r="A33" s="66"/>
      <c r="B33" s="94" t="s">
        <v>53</v>
      </c>
      <c r="C33" s="362">
        <v>89024</v>
      </c>
      <c r="D33" s="362">
        <v>85910</v>
      </c>
      <c r="E33" s="362">
        <v>94472</v>
      </c>
      <c r="F33" s="362">
        <v>102462</v>
      </c>
      <c r="G33" s="362">
        <v>111258</v>
      </c>
      <c r="H33" s="362">
        <v>120086</v>
      </c>
      <c r="I33" s="362">
        <v>118662</v>
      </c>
      <c r="J33" s="362">
        <v>115795</v>
      </c>
      <c r="K33" s="362">
        <v>119110</v>
      </c>
      <c r="L33" s="362">
        <v>125951</v>
      </c>
      <c r="M33" s="362">
        <v>136721</v>
      </c>
    </row>
    <row r="34" spans="1:13" s="211" customFormat="1" ht="12.75" customHeight="1">
      <c r="A34" s="66"/>
      <c r="B34" s="94" t="s">
        <v>54</v>
      </c>
      <c r="C34" s="362">
        <v>72837</v>
      </c>
      <c r="D34" s="362">
        <v>69572</v>
      </c>
      <c r="E34" s="362">
        <v>76953</v>
      </c>
      <c r="F34" s="362">
        <v>83012</v>
      </c>
      <c r="G34" s="362">
        <v>88144</v>
      </c>
      <c r="H34" s="362">
        <v>91269</v>
      </c>
      <c r="I34" s="362">
        <v>94627</v>
      </c>
      <c r="J34" s="362">
        <v>90097</v>
      </c>
      <c r="K34" s="362">
        <v>91799</v>
      </c>
      <c r="L34" s="362">
        <v>101491</v>
      </c>
      <c r="M34" s="362">
        <v>105296</v>
      </c>
    </row>
    <row r="35" spans="1:13" s="126" customFormat="1" ht="16.5" customHeight="1">
      <c r="A35" s="72" t="s">
        <v>41</v>
      </c>
      <c r="B35" s="435" t="s">
        <v>45</v>
      </c>
      <c r="C35" s="360">
        <v>112215</v>
      </c>
      <c r="D35" s="360">
        <v>120177</v>
      </c>
      <c r="E35" s="360">
        <v>123231</v>
      </c>
      <c r="F35" s="360">
        <v>121604</v>
      </c>
      <c r="G35" s="360">
        <v>128834</v>
      </c>
      <c r="H35" s="360">
        <v>136175</v>
      </c>
      <c r="I35" s="360">
        <v>155965</v>
      </c>
      <c r="J35" s="360">
        <v>155746</v>
      </c>
      <c r="K35" s="360">
        <v>150024</v>
      </c>
      <c r="L35" s="360">
        <v>174819</v>
      </c>
      <c r="M35" s="360">
        <v>190610</v>
      </c>
    </row>
    <row r="36" spans="1:13" s="211" customFormat="1" ht="12.75" customHeight="1">
      <c r="A36" s="66"/>
      <c r="B36" s="94" t="s">
        <v>53</v>
      </c>
      <c r="C36" s="362">
        <v>57072</v>
      </c>
      <c r="D36" s="362">
        <v>62030</v>
      </c>
      <c r="E36" s="362">
        <v>63811</v>
      </c>
      <c r="F36" s="362">
        <v>63442</v>
      </c>
      <c r="G36" s="362">
        <v>65574</v>
      </c>
      <c r="H36" s="362">
        <v>67601</v>
      </c>
      <c r="I36" s="362">
        <v>77286</v>
      </c>
      <c r="J36" s="362">
        <v>79623</v>
      </c>
      <c r="K36" s="362">
        <v>73533</v>
      </c>
      <c r="L36" s="362">
        <v>90578</v>
      </c>
      <c r="M36" s="362">
        <v>102477</v>
      </c>
    </row>
    <row r="37" spans="1:13" s="211" customFormat="1" ht="12.75" customHeight="1">
      <c r="A37" s="74"/>
      <c r="B37" s="94" t="s">
        <v>54</v>
      </c>
      <c r="C37" s="362">
        <v>55143</v>
      </c>
      <c r="D37" s="362">
        <v>58147</v>
      </c>
      <c r="E37" s="362">
        <v>59420</v>
      </c>
      <c r="F37" s="362">
        <v>58162</v>
      </c>
      <c r="G37" s="362">
        <v>63260</v>
      </c>
      <c r="H37" s="362">
        <v>68574</v>
      </c>
      <c r="I37" s="362">
        <v>78679</v>
      </c>
      <c r="J37" s="362">
        <v>76123</v>
      </c>
      <c r="K37" s="362">
        <v>76491</v>
      </c>
      <c r="L37" s="362">
        <v>84241</v>
      </c>
      <c r="M37" s="362">
        <v>88133</v>
      </c>
    </row>
    <row r="38" spans="1:13" s="126" customFormat="1" ht="16.5" customHeight="1">
      <c r="A38" s="75" t="s">
        <v>72</v>
      </c>
      <c r="B38" s="435" t="s">
        <v>45</v>
      </c>
      <c r="C38" s="360">
        <v>149020</v>
      </c>
      <c r="D38" s="360">
        <v>171494</v>
      </c>
      <c r="E38" s="360">
        <v>172977</v>
      </c>
      <c r="F38" s="360">
        <v>197476</v>
      </c>
      <c r="G38" s="360">
        <v>220872</v>
      </c>
      <c r="H38" s="360">
        <v>231615</v>
      </c>
      <c r="I38" s="360">
        <v>238330</v>
      </c>
      <c r="J38" s="360">
        <v>236832</v>
      </c>
      <c r="K38" s="360">
        <v>242402</v>
      </c>
      <c r="L38" s="360">
        <v>259154</v>
      </c>
      <c r="M38" s="360">
        <v>270127</v>
      </c>
    </row>
    <row r="39" spans="1:13" s="211" customFormat="1" ht="12.75" customHeight="1">
      <c r="A39" s="74"/>
      <c r="B39" s="94" t="s">
        <v>53</v>
      </c>
      <c r="C39" s="362">
        <v>63151</v>
      </c>
      <c r="D39" s="362">
        <v>73089</v>
      </c>
      <c r="E39" s="362">
        <v>71212</v>
      </c>
      <c r="F39" s="362">
        <v>82016</v>
      </c>
      <c r="G39" s="362">
        <v>96772</v>
      </c>
      <c r="H39" s="362">
        <v>102699</v>
      </c>
      <c r="I39" s="362">
        <v>106529</v>
      </c>
      <c r="J39" s="362">
        <v>101581</v>
      </c>
      <c r="K39" s="362">
        <v>103876</v>
      </c>
      <c r="L39" s="362">
        <v>112500</v>
      </c>
      <c r="M39" s="362">
        <v>115474</v>
      </c>
    </row>
    <row r="40" spans="1:13" s="211" customFormat="1" ht="12.75" customHeight="1">
      <c r="A40" s="74"/>
      <c r="B40" s="77" t="s">
        <v>54</v>
      </c>
      <c r="C40" s="363">
        <v>85869</v>
      </c>
      <c r="D40" s="363">
        <v>98405</v>
      </c>
      <c r="E40" s="363">
        <v>101765</v>
      </c>
      <c r="F40" s="363">
        <v>115460</v>
      </c>
      <c r="G40" s="363">
        <v>124100</v>
      </c>
      <c r="H40" s="363">
        <v>128916</v>
      </c>
      <c r="I40" s="363">
        <v>131801</v>
      </c>
      <c r="J40" s="363">
        <v>135251</v>
      </c>
      <c r="K40" s="363">
        <v>138526</v>
      </c>
      <c r="L40" s="363">
        <v>146654</v>
      </c>
      <c r="M40" s="363">
        <v>154653</v>
      </c>
    </row>
    <row r="41" spans="1:13" s="211" customFormat="1" ht="14.25" customHeight="1">
      <c r="A41" s="761" t="s">
        <v>201</v>
      </c>
      <c r="B41" s="761"/>
      <c r="C41" s="761"/>
      <c r="D41" s="761"/>
      <c r="E41" s="761"/>
      <c r="F41" s="761"/>
      <c r="G41" s="761"/>
      <c r="H41" s="761"/>
      <c r="I41" s="761"/>
      <c r="J41" s="70"/>
      <c r="K41" s="70"/>
      <c r="L41" s="70"/>
      <c r="M41" s="70"/>
    </row>
    <row r="42" spans="1:13" ht="15" customHeight="1">
      <c r="A42" s="21" t="s">
        <v>139</v>
      </c>
      <c r="B42" s="35"/>
      <c r="C42" s="70"/>
      <c r="D42" s="70"/>
      <c r="E42" s="70"/>
      <c r="F42" s="70"/>
      <c r="G42" s="70"/>
      <c r="H42" s="70"/>
      <c r="I42" s="70"/>
      <c r="J42" s="70"/>
      <c r="K42" s="70"/>
      <c r="L42" s="70"/>
      <c r="M42" s="70"/>
    </row>
    <row r="43" spans="1:13" ht="15" customHeight="1">
      <c r="C43" s="211"/>
    </row>
    <row r="44" spans="1:13">
      <c r="C44" s="211"/>
    </row>
    <row r="45" spans="1:13">
      <c r="C45" s="211"/>
    </row>
    <row r="46" spans="1:13">
      <c r="C46" s="211"/>
    </row>
    <row r="47" spans="1:13">
      <c r="C47" s="211"/>
    </row>
    <row r="48" spans="1:13">
      <c r="C48" s="211"/>
    </row>
    <row r="49" spans="2:3">
      <c r="C49" s="211"/>
    </row>
    <row r="50" spans="2:3">
      <c r="B50" s="128"/>
      <c r="C50" s="211"/>
    </row>
    <row r="51" spans="2:3">
      <c r="C51" s="211"/>
    </row>
    <row r="52" spans="2:3">
      <c r="C52" s="211"/>
    </row>
    <row r="53" spans="2:3">
      <c r="C53" s="211"/>
    </row>
    <row r="54" spans="2:3">
      <c r="C54" s="211"/>
    </row>
    <row r="55" spans="2:3">
      <c r="C55" s="211"/>
    </row>
    <row r="56" spans="2:3">
      <c r="C56" s="211"/>
    </row>
    <row r="57" spans="2:3">
      <c r="C57" s="211"/>
    </row>
    <row r="58" spans="2:3">
      <c r="C58" s="211"/>
    </row>
    <row r="59" spans="2:3">
      <c r="C59" s="211"/>
    </row>
    <row r="60" spans="2:3">
      <c r="C60" s="211"/>
    </row>
    <row r="61" spans="2:3">
      <c r="C61" s="211"/>
    </row>
    <row r="62" spans="2:3">
      <c r="C62" s="211"/>
    </row>
    <row r="63" spans="2:3">
      <c r="C63" s="211"/>
    </row>
    <row r="64" spans="2:3">
      <c r="C64" s="211"/>
    </row>
    <row r="65" spans="3:3">
      <c r="C65" s="211"/>
    </row>
    <row r="66" spans="3:3">
      <c r="C66" s="211"/>
    </row>
    <row r="67" spans="3:3">
      <c r="C67" s="211"/>
    </row>
    <row r="68" spans="3:3">
      <c r="C68" s="211"/>
    </row>
    <row r="69" spans="3:3">
      <c r="C69" s="211"/>
    </row>
    <row r="70" spans="3:3">
      <c r="C70" s="211"/>
    </row>
    <row r="71" spans="3:3">
      <c r="C71" s="211"/>
    </row>
    <row r="72" spans="3:3">
      <c r="C72" s="211"/>
    </row>
    <row r="73" spans="3:3">
      <c r="C73" s="211"/>
    </row>
    <row r="74" spans="3:3">
      <c r="C74" s="211"/>
    </row>
    <row r="75" spans="3:3">
      <c r="C75" s="211"/>
    </row>
    <row r="76" spans="3:3">
      <c r="C76" s="211"/>
    </row>
    <row r="77" spans="3:3">
      <c r="C77" s="211"/>
    </row>
    <row r="78" spans="3:3">
      <c r="C78" s="211"/>
    </row>
    <row r="79" spans="3:3">
      <c r="C79" s="211"/>
    </row>
    <row r="80" spans="3:3">
      <c r="C80" s="211"/>
    </row>
    <row r="81" spans="3:3">
      <c r="C81" s="211"/>
    </row>
    <row r="82" spans="3:3">
      <c r="C82" s="211"/>
    </row>
    <row r="83" spans="3:3">
      <c r="C83" s="211"/>
    </row>
    <row r="84" spans="3:3">
      <c r="C84" s="211"/>
    </row>
    <row r="85" spans="3:3">
      <c r="C85" s="211"/>
    </row>
    <row r="86" spans="3:3">
      <c r="C86" s="211"/>
    </row>
    <row r="87" spans="3:3">
      <c r="C87" s="211"/>
    </row>
    <row r="88" spans="3:3">
      <c r="C88" s="211"/>
    </row>
    <row r="89" spans="3:3">
      <c r="C89" s="211"/>
    </row>
    <row r="90" spans="3:3">
      <c r="C90" s="211"/>
    </row>
    <row r="91" spans="3:3">
      <c r="C91" s="211"/>
    </row>
    <row r="92" spans="3:3">
      <c r="C92" s="211"/>
    </row>
    <row r="93" spans="3:3">
      <c r="C93" s="211"/>
    </row>
    <row r="94" spans="3:3">
      <c r="C94" s="211"/>
    </row>
    <row r="95" spans="3:3">
      <c r="C95" s="211"/>
    </row>
    <row r="96" spans="3:3">
      <c r="C96" s="211"/>
    </row>
    <row r="97" spans="3:3">
      <c r="C97" s="211"/>
    </row>
    <row r="98" spans="3:3">
      <c r="C98" s="211"/>
    </row>
    <row r="99" spans="3:3">
      <c r="C99" s="211"/>
    </row>
    <row r="100" spans="3:3">
      <c r="C100" s="211"/>
    </row>
    <row r="101" spans="3:3">
      <c r="C101" s="211"/>
    </row>
    <row r="102" spans="3:3">
      <c r="C102" s="211"/>
    </row>
    <row r="103" spans="3:3">
      <c r="C103" s="211"/>
    </row>
    <row r="104" spans="3:3">
      <c r="C104" s="211"/>
    </row>
    <row r="105" spans="3:3">
      <c r="C105" s="211"/>
    </row>
    <row r="106" spans="3:3">
      <c r="C106" s="211"/>
    </row>
    <row r="107" spans="3:3">
      <c r="C107" s="211"/>
    </row>
    <row r="108" spans="3:3">
      <c r="C108" s="211"/>
    </row>
    <row r="109" spans="3:3">
      <c r="C109" s="211"/>
    </row>
    <row r="110" spans="3:3">
      <c r="C110" s="211"/>
    </row>
    <row r="111" spans="3:3">
      <c r="C111" s="211"/>
    </row>
    <row r="112" spans="3:3">
      <c r="C112" s="211"/>
    </row>
    <row r="113" spans="3:3">
      <c r="C113" s="211"/>
    </row>
    <row r="114" spans="3:3">
      <c r="C114" s="211"/>
    </row>
    <row r="115" spans="3:3">
      <c r="C115" s="211"/>
    </row>
    <row r="116" spans="3:3">
      <c r="C116" s="211"/>
    </row>
    <row r="117" spans="3:3">
      <c r="C117" s="211"/>
    </row>
    <row r="118" spans="3:3">
      <c r="C118" s="211"/>
    </row>
    <row r="119" spans="3:3">
      <c r="C119" s="211"/>
    </row>
    <row r="120" spans="3:3">
      <c r="C120" s="211"/>
    </row>
    <row r="121" spans="3:3">
      <c r="C121" s="211"/>
    </row>
    <row r="122" spans="3:3">
      <c r="C122" s="211"/>
    </row>
    <row r="123" spans="3:3">
      <c r="C123" s="211"/>
    </row>
    <row r="124" spans="3:3">
      <c r="C124" s="211"/>
    </row>
    <row r="125" spans="3:3">
      <c r="C125" s="211"/>
    </row>
    <row r="126" spans="3:3">
      <c r="C126" s="211"/>
    </row>
    <row r="127" spans="3:3">
      <c r="C127" s="211"/>
    </row>
    <row r="128" spans="3:3">
      <c r="C128" s="211"/>
    </row>
    <row r="129" spans="3:3">
      <c r="C129" s="211"/>
    </row>
    <row r="130" spans="3:3">
      <c r="C130" s="211"/>
    </row>
    <row r="131" spans="3:3">
      <c r="C131" s="211"/>
    </row>
    <row r="132" spans="3:3">
      <c r="C132" s="211"/>
    </row>
    <row r="133" spans="3:3">
      <c r="C133" s="211"/>
    </row>
    <row r="134" spans="3:3">
      <c r="C134" s="211"/>
    </row>
    <row r="135" spans="3:3">
      <c r="C135" s="211"/>
    </row>
    <row r="136" spans="3:3">
      <c r="C136" s="211"/>
    </row>
    <row r="137" spans="3:3">
      <c r="C137" s="211"/>
    </row>
    <row r="138" spans="3:3">
      <c r="C138" s="211"/>
    </row>
    <row r="139" spans="3:3">
      <c r="C139" s="211"/>
    </row>
    <row r="140" spans="3:3">
      <c r="C140" s="211"/>
    </row>
    <row r="141" spans="3:3">
      <c r="C141" s="211"/>
    </row>
    <row r="142" spans="3:3">
      <c r="C142" s="211"/>
    </row>
    <row r="143" spans="3:3">
      <c r="C143" s="211"/>
    </row>
    <row r="144" spans="3:3">
      <c r="C144" s="211"/>
    </row>
    <row r="145" spans="3:3">
      <c r="C145" s="211"/>
    </row>
    <row r="146" spans="3:3">
      <c r="C146" s="211"/>
    </row>
    <row r="147" spans="3:3">
      <c r="C147" s="211"/>
    </row>
    <row r="148" spans="3:3">
      <c r="C148" s="211"/>
    </row>
    <row r="149" spans="3:3">
      <c r="C149" s="211"/>
    </row>
    <row r="150" spans="3:3">
      <c r="C150" s="211"/>
    </row>
    <row r="151" spans="3:3">
      <c r="C151" s="211"/>
    </row>
    <row r="152" spans="3:3">
      <c r="C152" s="211"/>
    </row>
    <row r="153" spans="3:3">
      <c r="C153" s="211"/>
    </row>
    <row r="154" spans="3:3">
      <c r="C154" s="211"/>
    </row>
    <row r="155" spans="3:3">
      <c r="C155" s="211"/>
    </row>
    <row r="156" spans="3:3">
      <c r="C156" s="211"/>
    </row>
    <row r="157" spans="3:3">
      <c r="C157" s="211"/>
    </row>
    <row r="158" spans="3:3">
      <c r="C158" s="211"/>
    </row>
    <row r="159" spans="3:3">
      <c r="C159" s="211"/>
    </row>
    <row r="160" spans="3:3">
      <c r="C160" s="211"/>
    </row>
    <row r="161" spans="3:3">
      <c r="C161" s="211"/>
    </row>
    <row r="162" spans="3:3">
      <c r="C162" s="211"/>
    </row>
    <row r="163" spans="3:3">
      <c r="C163" s="211"/>
    </row>
    <row r="164" spans="3:3">
      <c r="C164" s="211"/>
    </row>
    <row r="165" spans="3:3">
      <c r="C165" s="211"/>
    </row>
    <row r="166" spans="3:3">
      <c r="C166" s="211"/>
    </row>
    <row r="167" spans="3:3">
      <c r="C167" s="211"/>
    </row>
    <row r="168" spans="3:3">
      <c r="C168" s="211"/>
    </row>
    <row r="169" spans="3:3">
      <c r="C169" s="211"/>
    </row>
    <row r="170" spans="3:3">
      <c r="C170" s="211"/>
    </row>
    <row r="171" spans="3:3">
      <c r="C171" s="211"/>
    </row>
    <row r="172" spans="3:3">
      <c r="C172" s="211"/>
    </row>
    <row r="173" spans="3:3">
      <c r="C173" s="211"/>
    </row>
    <row r="174" spans="3:3">
      <c r="C174" s="211"/>
    </row>
    <row r="175" spans="3:3">
      <c r="C175" s="211"/>
    </row>
    <row r="176" spans="3:3">
      <c r="C176" s="211"/>
    </row>
    <row r="177" spans="3:3">
      <c r="C177" s="211"/>
    </row>
    <row r="178" spans="3:3">
      <c r="C178" s="211"/>
    </row>
    <row r="179" spans="3:3">
      <c r="C179" s="211"/>
    </row>
    <row r="180" spans="3:3">
      <c r="C180" s="211"/>
    </row>
    <row r="181" spans="3:3">
      <c r="C181" s="211"/>
    </row>
    <row r="182" spans="3:3">
      <c r="C182" s="211"/>
    </row>
    <row r="183" spans="3:3">
      <c r="C183" s="211"/>
    </row>
    <row r="184" spans="3:3">
      <c r="C184" s="211"/>
    </row>
    <row r="185" spans="3:3">
      <c r="C185" s="211"/>
    </row>
    <row r="186" spans="3:3">
      <c r="C186" s="211"/>
    </row>
    <row r="187" spans="3:3">
      <c r="C187" s="211"/>
    </row>
    <row r="188" spans="3:3">
      <c r="C188" s="211"/>
    </row>
    <row r="189" spans="3:3">
      <c r="C189" s="211"/>
    </row>
    <row r="190" spans="3:3">
      <c r="C190" s="211"/>
    </row>
    <row r="191" spans="3:3">
      <c r="C191" s="211"/>
    </row>
    <row r="192" spans="3:3">
      <c r="C192" s="211"/>
    </row>
    <row r="193" spans="3:3">
      <c r="C193" s="211"/>
    </row>
    <row r="194" spans="3:3">
      <c r="C194" s="211"/>
    </row>
    <row r="195" spans="3:3">
      <c r="C195" s="211"/>
    </row>
    <row r="196" spans="3:3">
      <c r="C196" s="211"/>
    </row>
    <row r="197" spans="3:3">
      <c r="C197" s="211"/>
    </row>
    <row r="198" spans="3:3">
      <c r="C198" s="211"/>
    </row>
    <row r="199" spans="3:3">
      <c r="C199" s="211"/>
    </row>
    <row r="200" spans="3:3">
      <c r="C200" s="211"/>
    </row>
    <row r="201" spans="3:3">
      <c r="C201" s="211"/>
    </row>
    <row r="202" spans="3:3">
      <c r="C202" s="211"/>
    </row>
    <row r="203" spans="3:3">
      <c r="C203" s="211"/>
    </row>
    <row r="204" spans="3:3">
      <c r="C204" s="211"/>
    </row>
    <row r="205" spans="3:3">
      <c r="C205" s="211"/>
    </row>
    <row r="206" spans="3:3">
      <c r="C206" s="211"/>
    </row>
    <row r="207" spans="3:3">
      <c r="C207" s="211"/>
    </row>
    <row r="208" spans="3:3">
      <c r="C208" s="211"/>
    </row>
    <row r="209" spans="3:3">
      <c r="C209" s="211"/>
    </row>
    <row r="210" spans="3:3">
      <c r="C210" s="211"/>
    </row>
    <row r="211" spans="3:3">
      <c r="C211" s="211"/>
    </row>
    <row r="212" spans="3:3">
      <c r="C212" s="211"/>
    </row>
    <row r="213" spans="3:3">
      <c r="C213" s="211"/>
    </row>
    <row r="214" spans="3:3">
      <c r="C214" s="211"/>
    </row>
    <row r="215" spans="3:3">
      <c r="C215" s="211"/>
    </row>
    <row r="216" spans="3:3">
      <c r="C216" s="211"/>
    </row>
    <row r="217" spans="3:3">
      <c r="C217" s="211"/>
    </row>
    <row r="218" spans="3:3">
      <c r="C218" s="211"/>
    </row>
    <row r="219" spans="3:3">
      <c r="C219" s="211"/>
    </row>
    <row r="220" spans="3:3">
      <c r="C220" s="211"/>
    </row>
    <row r="221" spans="3:3">
      <c r="C221" s="211"/>
    </row>
    <row r="222" spans="3:3">
      <c r="C222" s="211"/>
    </row>
    <row r="223" spans="3:3">
      <c r="C223" s="211"/>
    </row>
    <row r="224" spans="3:3">
      <c r="C224" s="211"/>
    </row>
    <row r="225" spans="3:3">
      <c r="C225" s="211"/>
    </row>
    <row r="226" spans="3:3">
      <c r="C226" s="211"/>
    </row>
    <row r="227" spans="3:3">
      <c r="C227" s="211"/>
    </row>
    <row r="228" spans="3:3">
      <c r="C228" s="211"/>
    </row>
    <row r="229" spans="3:3">
      <c r="C229" s="211"/>
    </row>
    <row r="230" spans="3:3">
      <c r="C230" s="211"/>
    </row>
    <row r="231" spans="3:3">
      <c r="C231" s="211"/>
    </row>
    <row r="232" spans="3:3">
      <c r="C232" s="211"/>
    </row>
    <row r="233" spans="3:3">
      <c r="C233" s="211"/>
    </row>
    <row r="234" spans="3:3">
      <c r="C234" s="211"/>
    </row>
    <row r="235" spans="3:3">
      <c r="C235" s="211"/>
    </row>
    <row r="236" spans="3:3">
      <c r="C236" s="211"/>
    </row>
    <row r="237" spans="3:3">
      <c r="C237" s="211"/>
    </row>
    <row r="238" spans="3:3">
      <c r="C238" s="211"/>
    </row>
    <row r="239" spans="3:3">
      <c r="C239" s="211"/>
    </row>
    <row r="240" spans="3:3">
      <c r="C240" s="211"/>
    </row>
    <row r="241" spans="3:3">
      <c r="C241" s="211"/>
    </row>
    <row r="242" spans="3:3">
      <c r="C242" s="211"/>
    </row>
    <row r="243" spans="3:3">
      <c r="C243" s="211"/>
    </row>
    <row r="244" spans="3:3">
      <c r="C244" s="211"/>
    </row>
    <row r="245" spans="3:3">
      <c r="C245" s="211"/>
    </row>
    <row r="246" spans="3:3">
      <c r="C246" s="211"/>
    </row>
    <row r="247" spans="3:3">
      <c r="C247" s="211"/>
    </row>
    <row r="248" spans="3:3">
      <c r="C248" s="211"/>
    </row>
    <row r="249" spans="3:3">
      <c r="C249" s="211"/>
    </row>
    <row r="250" spans="3:3">
      <c r="C250" s="211"/>
    </row>
    <row r="251" spans="3:3">
      <c r="C251" s="211"/>
    </row>
    <row r="252" spans="3:3">
      <c r="C252" s="211"/>
    </row>
    <row r="253" spans="3:3">
      <c r="C253" s="211"/>
    </row>
    <row r="254" spans="3:3">
      <c r="C254" s="211"/>
    </row>
    <row r="255" spans="3:3">
      <c r="C255" s="211"/>
    </row>
    <row r="256" spans="3:3">
      <c r="C256" s="211"/>
    </row>
    <row r="257" spans="3:3">
      <c r="C257" s="211"/>
    </row>
    <row r="258" spans="3:3">
      <c r="C258" s="211"/>
    </row>
    <row r="259" spans="3:3">
      <c r="C259" s="211"/>
    </row>
    <row r="260" spans="3:3">
      <c r="C260" s="211"/>
    </row>
    <row r="261" spans="3:3">
      <c r="C261" s="211"/>
    </row>
    <row r="262" spans="3:3">
      <c r="C262" s="211"/>
    </row>
    <row r="263" spans="3:3">
      <c r="C263" s="211"/>
    </row>
    <row r="264" spans="3:3">
      <c r="C264" s="211"/>
    </row>
    <row r="265" spans="3:3">
      <c r="C265" s="211"/>
    </row>
    <row r="266" spans="3:3">
      <c r="C266" s="211"/>
    </row>
    <row r="267" spans="3:3">
      <c r="C267" s="211"/>
    </row>
    <row r="268" spans="3:3">
      <c r="C268" s="211"/>
    </row>
    <row r="269" spans="3:3">
      <c r="C269" s="211"/>
    </row>
    <row r="270" spans="3:3">
      <c r="C270" s="211"/>
    </row>
    <row r="271" spans="3:3">
      <c r="C271" s="211"/>
    </row>
    <row r="272" spans="3:3">
      <c r="C272" s="211"/>
    </row>
    <row r="273" spans="3:3">
      <c r="C273" s="211"/>
    </row>
    <row r="274" spans="3:3">
      <c r="C274" s="211"/>
    </row>
    <row r="275" spans="3:3">
      <c r="C275" s="211"/>
    </row>
    <row r="276" spans="3:3">
      <c r="C276" s="211"/>
    </row>
    <row r="277" spans="3:3">
      <c r="C277" s="211"/>
    </row>
    <row r="278" spans="3:3">
      <c r="C278" s="211"/>
    </row>
    <row r="279" spans="3:3">
      <c r="C279" s="211"/>
    </row>
    <row r="280" spans="3:3">
      <c r="C280" s="211"/>
    </row>
    <row r="281" spans="3:3">
      <c r="C281" s="211"/>
    </row>
    <row r="282" spans="3:3">
      <c r="C282" s="211"/>
    </row>
    <row r="283" spans="3:3">
      <c r="C283" s="211"/>
    </row>
    <row r="284" spans="3:3">
      <c r="C284" s="211"/>
    </row>
    <row r="285" spans="3:3">
      <c r="C285" s="211"/>
    </row>
    <row r="286" spans="3:3">
      <c r="C286" s="211"/>
    </row>
    <row r="287" spans="3:3">
      <c r="C287" s="211"/>
    </row>
    <row r="288" spans="3:3">
      <c r="C288" s="211"/>
    </row>
    <row r="289" spans="3:3">
      <c r="C289" s="211"/>
    </row>
    <row r="290" spans="3:3">
      <c r="C290" s="211"/>
    </row>
    <row r="291" spans="3:3">
      <c r="C291" s="211"/>
    </row>
    <row r="292" spans="3:3">
      <c r="C292" s="211"/>
    </row>
    <row r="293" spans="3:3">
      <c r="C293" s="211"/>
    </row>
    <row r="294" spans="3:3">
      <c r="C294" s="211"/>
    </row>
    <row r="295" spans="3:3">
      <c r="C295" s="211"/>
    </row>
    <row r="296" spans="3:3">
      <c r="C296" s="211"/>
    </row>
    <row r="297" spans="3:3">
      <c r="C297" s="211"/>
    </row>
    <row r="298" spans="3:3">
      <c r="C298" s="211"/>
    </row>
    <row r="299" spans="3:3">
      <c r="C299" s="211"/>
    </row>
    <row r="300" spans="3:3">
      <c r="C300" s="211"/>
    </row>
    <row r="301" spans="3:3">
      <c r="C301" s="211"/>
    </row>
    <row r="302" spans="3:3">
      <c r="C302" s="211"/>
    </row>
    <row r="303" spans="3:3">
      <c r="C303" s="211"/>
    </row>
    <row r="304" spans="3:3">
      <c r="C304" s="211"/>
    </row>
    <row r="305" spans="3:3">
      <c r="C305" s="211"/>
    </row>
    <row r="306" spans="3:3">
      <c r="C306" s="211"/>
    </row>
    <row r="307" spans="3:3">
      <c r="C307" s="211"/>
    </row>
    <row r="308" spans="3:3">
      <c r="C308" s="211"/>
    </row>
    <row r="309" spans="3:3">
      <c r="C309" s="211"/>
    </row>
    <row r="310" spans="3:3">
      <c r="C310" s="211"/>
    </row>
    <row r="311" spans="3:3">
      <c r="C311" s="211"/>
    </row>
    <row r="312" spans="3:3">
      <c r="C312" s="211"/>
    </row>
    <row r="313" spans="3:3">
      <c r="C313" s="211"/>
    </row>
    <row r="314" spans="3:3">
      <c r="C314" s="211"/>
    </row>
    <row r="315" spans="3:3">
      <c r="C315" s="211"/>
    </row>
    <row r="316" spans="3:3">
      <c r="C316" s="211"/>
    </row>
    <row r="317" spans="3:3">
      <c r="C317" s="211"/>
    </row>
    <row r="318" spans="3:3">
      <c r="C318" s="211"/>
    </row>
    <row r="319" spans="3:3">
      <c r="C319" s="211"/>
    </row>
    <row r="320" spans="3:3">
      <c r="C320" s="211"/>
    </row>
    <row r="321" spans="3:3">
      <c r="C321" s="211"/>
    </row>
    <row r="322" spans="3:3">
      <c r="C322" s="211"/>
    </row>
    <row r="323" spans="3:3">
      <c r="C323" s="211"/>
    </row>
    <row r="324" spans="3:3">
      <c r="C324" s="211"/>
    </row>
    <row r="325" spans="3:3">
      <c r="C325" s="211"/>
    </row>
    <row r="326" spans="3:3">
      <c r="C326" s="211"/>
    </row>
    <row r="327" spans="3:3">
      <c r="C327" s="211"/>
    </row>
    <row r="328" spans="3:3">
      <c r="C328" s="211"/>
    </row>
    <row r="329" spans="3:3">
      <c r="C329" s="211"/>
    </row>
    <row r="330" spans="3:3">
      <c r="C330" s="211"/>
    </row>
  </sheetData>
  <mergeCells count="2">
    <mergeCell ref="A41:I41"/>
    <mergeCell ref="A1:M1"/>
  </mergeCells>
  <phoneticPr fontId="25" type="noConversion"/>
  <conditionalFormatting sqref="A1 A41 N10:O11 N4:O8 A42:F1048576 A2:F4 A5:J40 P4:XFD11 N12:XFD1048576 N1:XFD3">
    <cfRule type="cellIs" dxfId="811" priority="47" operator="equal">
      <formula>0</formula>
    </cfRule>
  </conditionalFormatting>
  <conditionalFormatting sqref="N5:O7">
    <cfRule type="containsText" dxfId="810" priority="43" operator="containsText" text="FALSO">
      <formula>NOT(ISERROR(SEARCH("FALSO",N5)))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tabColor indexed="25"/>
    <pageSetUpPr fitToPage="1"/>
  </sheetPr>
  <dimension ref="A1:AK32"/>
  <sheetViews>
    <sheetView showGridLines="0" workbookViewId="0">
      <selection sqref="A1:M1"/>
    </sheetView>
  </sheetViews>
  <sheetFormatPr defaultColWidth="9.140625" defaultRowHeight="11.25"/>
  <cols>
    <col min="1" max="1" width="14.7109375" style="61" customWidth="1"/>
    <col min="2" max="13" width="7.5703125" style="61" customWidth="1"/>
    <col min="14" max="16384" width="9.140625" style="61"/>
  </cols>
  <sheetData>
    <row r="1" spans="1:37" s="63" customFormat="1" ht="28.5" customHeight="1">
      <c r="A1" s="778" t="s">
        <v>648</v>
      </c>
      <c r="B1" s="778"/>
      <c r="C1" s="778"/>
      <c r="D1" s="778"/>
      <c r="E1" s="778"/>
      <c r="F1" s="778"/>
      <c r="G1" s="778"/>
      <c r="H1" s="778"/>
      <c r="I1" s="778"/>
      <c r="J1" s="778"/>
      <c r="K1" s="778"/>
      <c r="L1" s="778"/>
    </row>
    <row r="2" spans="1:37" s="4" customFormat="1" ht="15" customHeight="1">
      <c r="A2" s="183"/>
      <c r="B2" s="184"/>
      <c r="C2" s="143"/>
      <c r="D2" s="143"/>
      <c r="E2" s="143"/>
      <c r="F2" s="143"/>
      <c r="G2" s="143"/>
      <c r="H2" s="143"/>
      <c r="I2" s="143"/>
      <c r="J2" s="143"/>
      <c r="K2" s="143"/>
      <c r="L2" s="143"/>
    </row>
    <row r="3" spans="1:37" s="4" customFormat="1" ht="15" customHeight="1">
      <c r="A3" s="185" t="s">
        <v>14</v>
      </c>
      <c r="B3" s="186"/>
      <c r="C3" s="143"/>
      <c r="D3" s="143"/>
      <c r="E3" s="143"/>
      <c r="F3" s="143"/>
      <c r="G3" s="143"/>
      <c r="H3" s="143"/>
      <c r="I3" s="143"/>
      <c r="J3" s="143"/>
      <c r="K3" s="143"/>
      <c r="L3" s="143"/>
    </row>
    <row r="4" spans="1:37" s="4" customFormat="1" ht="28.5" customHeight="1" thickBot="1">
      <c r="A4" s="15"/>
      <c r="B4" s="16">
        <v>2013</v>
      </c>
      <c r="C4" s="16">
        <v>2014</v>
      </c>
      <c r="D4" s="16">
        <v>2015</v>
      </c>
      <c r="E4" s="16">
        <v>2016</v>
      </c>
      <c r="F4" s="16">
        <v>2017</v>
      </c>
      <c r="G4" s="16">
        <v>2018</v>
      </c>
      <c r="H4" s="16">
        <v>2019</v>
      </c>
      <c r="I4" s="16">
        <v>2020</v>
      </c>
      <c r="J4" s="16">
        <v>2021</v>
      </c>
      <c r="K4" s="16">
        <v>2022</v>
      </c>
      <c r="L4" s="16">
        <v>2023</v>
      </c>
      <c r="O4" s="448"/>
      <c r="P4" s="648">
        <f>+B4</f>
        <v>2013</v>
      </c>
      <c r="Q4" s="648">
        <f t="shared" ref="Q4:W4" si="0">+C4</f>
        <v>2014</v>
      </c>
      <c r="R4" s="648">
        <f t="shared" si="0"/>
        <v>2015</v>
      </c>
      <c r="S4" s="648">
        <f t="shared" si="0"/>
        <v>2016</v>
      </c>
      <c r="T4" s="648">
        <f t="shared" si="0"/>
        <v>2017</v>
      </c>
      <c r="U4" s="648">
        <f t="shared" si="0"/>
        <v>2018</v>
      </c>
      <c r="V4" s="648">
        <f t="shared" si="0"/>
        <v>2019</v>
      </c>
      <c r="W4" s="648">
        <f t="shared" si="0"/>
        <v>2020</v>
      </c>
      <c r="X4" s="648">
        <f>+J4</f>
        <v>2021</v>
      </c>
      <c r="Y4" s="648">
        <f t="shared" ref="Y4:Z4" si="1">+K4</f>
        <v>2022</v>
      </c>
      <c r="Z4" s="648">
        <f t="shared" si="1"/>
        <v>2023</v>
      </c>
      <c r="AA4" s="648">
        <f>+B4</f>
        <v>2013</v>
      </c>
      <c r="AB4" s="648">
        <f t="shared" ref="AB4:AJ4" si="2">+C4</f>
        <v>2014</v>
      </c>
      <c r="AC4" s="648">
        <f t="shared" si="2"/>
        <v>2015</v>
      </c>
      <c r="AD4" s="648">
        <f t="shared" si="2"/>
        <v>2016</v>
      </c>
      <c r="AE4" s="648">
        <f t="shared" si="2"/>
        <v>2017</v>
      </c>
      <c r="AF4" s="648">
        <f t="shared" si="2"/>
        <v>2018</v>
      </c>
      <c r="AG4" s="648">
        <f t="shared" si="2"/>
        <v>2019</v>
      </c>
      <c r="AH4" s="648">
        <f t="shared" si="2"/>
        <v>2020</v>
      </c>
      <c r="AI4" s="648">
        <f t="shared" si="2"/>
        <v>2021</v>
      </c>
      <c r="AJ4" s="648">
        <f t="shared" si="2"/>
        <v>2022</v>
      </c>
      <c r="AK4" s="648">
        <f>+L4</f>
        <v>2023</v>
      </c>
    </row>
    <row r="5" spans="1:37" s="4" customFormat="1" ht="20.25" customHeight="1" thickTop="1">
      <c r="A5" s="17" t="s">
        <v>12</v>
      </c>
      <c r="B5" s="353">
        <v>2384121</v>
      </c>
      <c r="C5" s="353">
        <v>2458163</v>
      </c>
      <c r="D5" s="353">
        <v>2537653</v>
      </c>
      <c r="E5" s="353">
        <v>2641919</v>
      </c>
      <c r="F5" s="353">
        <v>2767521</v>
      </c>
      <c r="G5" s="353">
        <v>2877918</v>
      </c>
      <c r="H5" s="353">
        <v>2930482</v>
      </c>
      <c r="I5" s="353">
        <v>2902825</v>
      </c>
      <c r="J5" s="353">
        <v>2922343</v>
      </c>
      <c r="K5" s="353">
        <v>3148147</v>
      </c>
      <c r="L5" s="353">
        <v>3296134</v>
      </c>
    </row>
    <row r="6" spans="1:37" s="4" customFormat="1" ht="20.25" customHeight="1">
      <c r="A6" s="17" t="s">
        <v>15</v>
      </c>
      <c r="B6" s="348">
        <v>183121</v>
      </c>
      <c r="C6" s="348">
        <v>188531</v>
      </c>
      <c r="D6" s="348">
        <v>193207</v>
      </c>
      <c r="E6" s="348">
        <v>201583</v>
      </c>
      <c r="F6" s="348">
        <v>211076</v>
      </c>
      <c r="G6" s="348">
        <v>219148</v>
      </c>
      <c r="H6" s="348">
        <v>221154</v>
      </c>
      <c r="I6" s="348">
        <v>218824</v>
      </c>
      <c r="J6" s="348">
        <v>219217</v>
      </c>
      <c r="K6" s="348">
        <v>234940</v>
      </c>
      <c r="L6" s="348">
        <v>240286</v>
      </c>
      <c r="N6" s="647">
        <f>+(L6/B6-1)*100</f>
        <v>31.217064126998007</v>
      </c>
      <c r="O6" s="497">
        <f t="shared" ref="O6:O10" si="3">+L6-B6</f>
        <v>57165</v>
      </c>
      <c r="P6" s="647">
        <f>B6*100/B$5</f>
        <v>7.6808601576849496</v>
      </c>
      <c r="Q6" s="647">
        <f t="shared" ref="Q6:Z21" si="4">C6*100/C$5</f>
        <v>7.6695890386438981</v>
      </c>
      <c r="R6" s="647">
        <f t="shared" si="4"/>
        <v>7.6136098985952767</v>
      </c>
      <c r="S6" s="647">
        <f t="shared" si="4"/>
        <v>7.6301733701903807</v>
      </c>
      <c r="T6" s="647">
        <f t="shared" si="4"/>
        <v>7.626897862744312</v>
      </c>
      <c r="U6" s="647">
        <f t="shared" si="4"/>
        <v>7.6148104289281351</v>
      </c>
      <c r="V6" s="647">
        <f t="shared" si="4"/>
        <v>7.5466766217980528</v>
      </c>
      <c r="W6" s="647">
        <f t="shared" si="4"/>
        <v>7.5383118169369494</v>
      </c>
      <c r="X6" s="647">
        <f t="shared" si="4"/>
        <v>7.5014123940961071</v>
      </c>
      <c r="Y6" s="647">
        <f t="shared" si="4"/>
        <v>7.4628027217280515</v>
      </c>
      <c r="Z6" s="647">
        <f t="shared" si="4"/>
        <v>7.2899342077718927</v>
      </c>
      <c r="AA6" s="4">
        <f>+RANK(B6,B$6:B$23,0)</f>
        <v>4</v>
      </c>
      <c r="AB6" s="4">
        <f t="shared" ref="AB6:AK21" si="5">+RANK(C6,C$6:C$23,0)</f>
        <v>4</v>
      </c>
      <c r="AC6" s="4">
        <f t="shared" si="5"/>
        <v>4</v>
      </c>
      <c r="AD6" s="4">
        <f t="shared" si="5"/>
        <v>4</v>
      </c>
      <c r="AE6" s="4">
        <f t="shared" si="5"/>
        <v>4</v>
      </c>
      <c r="AF6" s="4">
        <f t="shared" si="5"/>
        <v>4</v>
      </c>
      <c r="AG6" s="4">
        <f t="shared" si="5"/>
        <v>4</v>
      </c>
      <c r="AH6" s="4">
        <f t="shared" si="5"/>
        <v>4</v>
      </c>
      <c r="AI6" s="4">
        <f t="shared" si="5"/>
        <v>4</v>
      </c>
      <c r="AJ6" s="4">
        <f t="shared" si="5"/>
        <v>4</v>
      </c>
      <c r="AK6" s="4">
        <f>+RANK(L6,L$6:L$23,0)</f>
        <v>4</v>
      </c>
    </row>
    <row r="7" spans="1:37" s="4" customFormat="1" ht="15" customHeight="1">
      <c r="A7" s="17" t="s">
        <v>16</v>
      </c>
      <c r="B7" s="348">
        <v>27466</v>
      </c>
      <c r="C7" s="348">
        <v>28261</v>
      </c>
      <c r="D7" s="348">
        <v>30156</v>
      </c>
      <c r="E7" s="348">
        <v>31333</v>
      </c>
      <c r="F7" s="348">
        <v>33532</v>
      </c>
      <c r="G7" s="348">
        <v>34861</v>
      </c>
      <c r="H7" s="348">
        <v>36824</v>
      </c>
      <c r="I7" s="348">
        <v>39057</v>
      </c>
      <c r="J7" s="348">
        <v>39335</v>
      </c>
      <c r="K7" s="348">
        <v>43289</v>
      </c>
      <c r="L7" s="348">
        <v>45122</v>
      </c>
      <c r="N7" s="647">
        <f t="shared" ref="N7:N23" si="6">+(L7/B7-1)*100</f>
        <v>64.283113667807484</v>
      </c>
      <c r="O7" s="497">
        <f t="shared" si="3"/>
        <v>17656</v>
      </c>
      <c r="P7" s="647">
        <f t="shared" ref="P7:Z23" si="7">B7*100/B$5</f>
        <v>1.1520388436660722</v>
      </c>
      <c r="Q7" s="647">
        <f t="shared" si="4"/>
        <v>1.1496796591601126</v>
      </c>
      <c r="R7" s="647">
        <f t="shared" si="4"/>
        <v>1.1883421413408375</v>
      </c>
      <c r="S7" s="647">
        <f t="shared" si="4"/>
        <v>1.1859939687779981</v>
      </c>
      <c r="T7" s="647">
        <f t="shared" si="4"/>
        <v>1.2116258557748976</v>
      </c>
      <c r="U7" s="647">
        <f t="shared" si="4"/>
        <v>1.2113270774219418</v>
      </c>
      <c r="V7" s="647">
        <f t="shared" si="4"/>
        <v>1.2565850941926959</v>
      </c>
      <c r="W7" s="647">
        <f t="shared" si="4"/>
        <v>1.3454824179893725</v>
      </c>
      <c r="X7" s="647">
        <f t="shared" si="4"/>
        <v>1.3460090071562441</v>
      </c>
      <c r="Y7" s="647">
        <f t="shared" si="4"/>
        <v>1.3750628544346881</v>
      </c>
      <c r="Z7" s="647">
        <f t="shared" si="4"/>
        <v>1.3689370638450986</v>
      </c>
      <c r="AA7" s="4">
        <f t="shared" ref="AA7:AK23" si="8">+RANK(B7,B$6:B$23,0)</f>
        <v>15</v>
      </c>
      <c r="AB7" s="4">
        <f t="shared" si="5"/>
        <v>15</v>
      </c>
      <c r="AC7" s="4">
        <f t="shared" si="5"/>
        <v>14</v>
      </c>
      <c r="AD7" s="4">
        <f t="shared" si="5"/>
        <v>14</v>
      </c>
      <c r="AE7" s="4">
        <f t="shared" si="5"/>
        <v>14</v>
      </c>
      <c r="AF7" s="4">
        <f t="shared" si="5"/>
        <v>14</v>
      </c>
      <c r="AG7" s="4">
        <f t="shared" si="5"/>
        <v>14</v>
      </c>
      <c r="AH7" s="4">
        <f t="shared" si="5"/>
        <v>12</v>
      </c>
      <c r="AI7" s="4">
        <f t="shared" si="5"/>
        <v>12</v>
      </c>
      <c r="AJ7" s="4">
        <f t="shared" si="5"/>
        <v>12</v>
      </c>
      <c r="AK7" s="4">
        <f t="shared" si="5"/>
        <v>12</v>
      </c>
    </row>
    <row r="8" spans="1:37" s="4" customFormat="1" ht="15" customHeight="1">
      <c r="A8" s="17" t="s">
        <v>66</v>
      </c>
      <c r="B8" s="348">
        <v>213863</v>
      </c>
      <c r="C8" s="348">
        <v>223498</v>
      </c>
      <c r="D8" s="348">
        <v>232168</v>
      </c>
      <c r="E8" s="348">
        <v>243606</v>
      </c>
      <c r="F8" s="348">
        <v>254948</v>
      </c>
      <c r="G8" s="348">
        <v>264675</v>
      </c>
      <c r="H8" s="348">
        <v>261930</v>
      </c>
      <c r="I8" s="348">
        <v>263588</v>
      </c>
      <c r="J8" s="348">
        <v>266470</v>
      </c>
      <c r="K8" s="348">
        <v>285498</v>
      </c>
      <c r="L8" s="348">
        <v>293224</v>
      </c>
      <c r="N8" s="647">
        <f t="shared" si="6"/>
        <v>37.108335710244411</v>
      </c>
      <c r="O8" s="497">
        <f t="shared" si="3"/>
        <v>79361</v>
      </c>
      <c r="P8" s="647">
        <f t="shared" si="7"/>
        <v>8.9703081345284073</v>
      </c>
      <c r="Q8" s="647">
        <f t="shared" si="4"/>
        <v>9.0920740406555627</v>
      </c>
      <c r="R8" s="647">
        <f t="shared" si="4"/>
        <v>9.1489261928246304</v>
      </c>
      <c r="S8" s="647">
        <f t="shared" si="4"/>
        <v>9.2207974582112477</v>
      </c>
      <c r="T8" s="647">
        <f t="shared" si="4"/>
        <v>9.2121432863562731</v>
      </c>
      <c r="U8" s="647">
        <f t="shared" si="4"/>
        <v>9.1967526524383256</v>
      </c>
      <c r="V8" s="647">
        <f t="shared" si="4"/>
        <v>8.938120077175018</v>
      </c>
      <c r="W8" s="647">
        <f t="shared" si="4"/>
        <v>9.0803958213119973</v>
      </c>
      <c r="X8" s="647">
        <f t="shared" si="4"/>
        <v>9.1183683777024118</v>
      </c>
      <c r="Y8" s="647">
        <f t="shared" si="4"/>
        <v>9.0687633074313236</v>
      </c>
      <c r="Z8" s="647">
        <f t="shared" si="4"/>
        <v>8.8959975534975211</v>
      </c>
      <c r="AA8" s="4">
        <f t="shared" si="8"/>
        <v>3</v>
      </c>
      <c r="AB8" s="4">
        <f t="shared" si="5"/>
        <v>3</v>
      </c>
      <c r="AC8" s="4">
        <f t="shared" si="5"/>
        <v>3</v>
      </c>
      <c r="AD8" s="4">
        <f t="shared" si="5"/>
        <v>3</v>
      </c>
      <c r="AE8" s="4">
        <f t="shared" si="5"/>
        <v>3</v>
      </c>
      <c r="AF8" s="4">
        <f t="shared" si="5"/>
        <v>3</v>
      </c>
      <c r="AG8" s="4">
        <f t="shared" si="5"/>
        <v>3</v>
      </c>
      <c r="AH8" s="4">
        <f t="shared" si="5"/>
        <v>3</v>
      </c>
      <c r="AI8" s="4">
        <f t="shared" si="5"/>
        <v>3</v>
      </c>
      <c r="AJ8" s="4">
        <f t="shared" si="5"/>
        <v>3</v>
      </c>
      <c r="AK8" s="4">
        <f t="shared" si="5"/>
        <v>3</v>
      </c>
    </row>
    <row r="9" spans="1:37" s="4" customFormat="1" ht="15" customHeight="1">
      <c r="A9" s="17" t="s">
        <v>17</v>
      </c>
      <c r="B9" s="348">
        <v>17863</v>
      </c>
      <c r="C9" s="348">
        <v>18027</v>
      </c>
      <c r="D9" s="348">
        <v>18508</v>
      </c>
      <c r="E9" s="348">
        <v>18920</v>
      </c>
      <c r="F9" s="348">
        <v>19168</v>
      </c>
      <c r="G9" s="348">
        <v>19762</v>
      </c>
      <c r="H9" s="348">
        <v>19512</v>
      </c>
      <c r="I9" s="348">
        <v>20332</v>
      </c>
      <c r="J9" s="348">
        <v>20601</v>
      </c>
      <c r="K9" s="348">
        <v>21226</v>
      </c>
      <c r="L9" s="348">
        <v>22078</v>
      </c>
      <c r="N9" s="647">
        <f t="shared" si="6"/>
        <v>23.596260426580073</v>
      </c>
      <c r="O9" s="497">
        <f t="shared" si="3"/>
        <v>4215</v>
      </c>
      <c r="P9" s="647">
        <f t="shared" si="7"/>
        <v>0.74924888459939742</v>
      </c>
      <c r="Q9" s="647">
        <f t="shared" si="4"/>
        <v>0.73335250754323456</v>
      </c>
      <c r="R9" s="647">
        <f t="shared" si="4"/>
        <v>0.7293353346576541</v>
      </c>
      <c r="S9" s="647">
        <f t="shared" si="4"/>
        <v>0.71614610440365511</v>
      </c>
      <c r="T9" s="647">
        <f t="shared" si="4"/>
        <v>0.69260540389756753</v>
      </c>
      <c r="U9" s="647">
        <f t="shared" si="4"/>
        <v>0.68667696577873305</v>
      </c>
      <c r="V9" s="647">
        <f t="shared" si="4"/>
        <v>0.66582903426808282</v>
      </c>
      <c r="W9" s="647">
        <f t="shared" si="4"/>
        <v>0.70042114147425349</v>
      </c>
      <c r="X9" s="647">
        <f t="shared" si="4"/>
        <v>0.70494805024598417</v>
      </c>
      <c r="Y9" s="647">
        <f t="shared" si="4"/>
        <v>0.67423789295734915</v>
      </c>
      <c r="Z9" s="647">
        <f t="shared" si="4"/>
        <v>0.6698150014532176</v>
      </c>
      <c r="AA9" s="4">
        <f t="shared" si="8"/>
        <v>18</v>
      </c>
      <c r="AB9" s="4">
        <f t="shared" si="5"/>
        <v>18</v>
      </c>
      <c r="AC9" s="4">
        <f t="shared" si="5"/>
        <v>18</v>
      </c>
      <c r="AD9" s="4">
        <f t="shared" si="5"/>
        <v>18</v>
      </c>
      <c r="AE9" s="4">
        <f t="shared" si="5"/>
        <v>18</v>
      </c>
      <c r="AF9" s="4">
        <f t="shared" si="5"/>
        <v>18</v>
      </c>
      <c r="AG9" s="4">
        <f t="shared" si="5"/>
        <v>18</v>
      </c>
      <c r="AH9" s="4">
        <f t="shared" si="5"/>
        <v>18</v>
      </c>
      <c r="AI9" s="4">
        <f t="shared" si="5"/>
        <v>17</v>
      </c>
      <c r="AJ9" s="4">
        <f t="shared" si="5"/>
        <v>18</v>
      </c>
      <c r="AK9" s="4">
        <f t="shared" si="5"/>
        <v>18</v>
      </c>
    </row>
    <row r="10" spans="1:37" s="4" customFormat="1" ht="15" customHeight="1">
      <c r="A10" s="17" t="s">
        <v>18</v>
      </c>
      <c r="B10" s="348">
        <v>34335</v>
      </c>
      <c r="C10" s="348">
        <v>35837</v>
      </c>
      <c r="D10" s="348">
        <v>35619</v>
      </c>
      <c r="E10" s="348">
        <v>36035</v>
      </c>
      <c r="F10" s="348">
        <v>36753</v>
      </c>
      <c r="G10" s="348">
        <v>38953</v>
      </c>
      <c r="H10" s="348">
        <v>38009</v>
      </c>
      <c r="I10" s="348">
        <v>37294</v>
      </c>
      <c r="J10" s="348">
        <v>37537</v>
      </c>
      <c r="K10" s="348">
        <v>39840</v>
      </c>
      <c r="L10" s="348">
        <v>42612</v>
      </c>
      <c r="N10" s="647">
        <f t="shared" si="6"/>
        <v>24.106596767147217</v>
      </c>
      <c r="O10" s="497">
        <f t="shared" si="3"/>
        <v>8277</v>
      </c>
      <c r="P10" s="647">
        <f t="shared" si="7"/>
        <v>1.4401534150322068</v>
      </c>
      <c r="Q10" s="647">
        <f t="shared" si="4"/>
        <v>1.4578772847854271</v>
      </c>
      <c r="R10" s="647">
        <f t="shared" si="4"/>
        <v>1.4036198014464547</v>
      </c>
      <c r="S10" s="647">
        <f t="shared" si="4"/>
        <v>1.3639706592064329</v>
      </c>
      <c r="T10" s="647">
        <f t="shared" si="4"/>
        <v>1.3280116031639868</v>
      </c>
      <c r="U10" s="647">
        <f t="shared" si="4"/>
        <v>1.3535131994726743</v>
      </c>
      <c r="V10" s="647">
        <f t="shared" si="4"/>
        <v>1.2970221281004286</v>
      </c>
      <c r="W10" s="647">
        <f t="shared" si="4"/>
        <v>1.2847484777759597</v>
      </c>
      <c r="X10" s="647">
        <f t="shared" si="4"/>
        <v>1.2844830329636185</v>
      </c>
      <c r="Y10" s="647">
        <f t="shared" si="4"/>
        <v>1.2655063438905489</v>
      </c>
      <c r="Z10" s="647">
        <f t="shared" si="4"/>
        <v>1.2927872471204145</v>
      </c>
      <c r="AA10" s="4">
        <f t="shared" si="8"/>
        <v>12</v>
      </c>
      <c r="AB10" s="4">
        <f t="shared" si="5"/>
        <v>12</v>
      </c>
      <c r="AC10" s="4">
        <f t="shared" si="5"/>
        <v>12</v>
      </c>
      <c r="AD10" s="4">
        <f t="shared" si="5"/>
        <v>12</v>
      </c>
      <c r="AE10" s="4">
        <f t="shared" si="5"/>
        <v>12</v>
      </c>
      <c r="AF10" s="4">
        <f t="shared" si="5"/>
        <v>12</v>
      </c>
      <c r="AG10" s="4">
        <f t="shared" si="5"/>
        <v>13</v>
      </c>
      <c r="AH10" s="4">
        <f t="shared" si="5"/>
        <v>14</v>
      </c>
      <c r="AI10" s="4">
        <f t="shared" si="5"/>
        <v>14</v>
      </c>
      <c r="AJ10" s="4">
        <f t="shared" si="5"/>
        <v>14</v>
      </c>
      <c r="AK10" s="4">
        <f t="shared" si="5"/>
        <v>13</v>
      </c>
    </row>
    <row r="11" spans="1:37" s="4" customFormat="1" ht="15" customHeight="1">
      <c r="A11" s="17" t="s">
        <v>19</v>
      </c>
      <c r="B11" s="348">
        <v>85563</v>
      </c>
      <c r="C11" s="348">
        <v>84401</v>
      </c>
      <c r="D11" s="348">
        <v>87151</v>
      </c>
      <c r="E11" s="348">
        <v>88449</v>
      </c>
      <c r="F11" s="348">
        <v>92904</v>
      </c>
      <c r="G11" s="348">
        <v>93788</v>
      </c>
      <c r="H11" s="348">
        <v>94736</v>
      </c>
      <c r="I11" s="348">
        <v>95872</v>
      </c>
      <c r="J11" s="348">
        <v>95954</v>
      </c>
      <c r="K11" s="348">
        <v>101940</v>
      </c>
      <c r="L11" s="348">
        <v>104759</v>
      </c>
      <c r="N11" s="647">
        <f t="shared" si="6"/>
        <v>22.434930986524559</v>
      </c>
      <c r="O11" s="497">
        <f t="shared" ref="O11:O23" si="9">+L11-B11</f>
        <v>19196</v>
      </c>
      <c r="P11" s="647">
        <f t="shared" si="7"/>
        <v>3.5888698602126317</v>
      </c>
      <c r="Q11" s="647">
        <f t="shared" si="4"/>
        <v>3.4334989176877206</v>
      </c>
      <c r="R11" s="647">
        <f t="shared" si="4"/>
        <v>3.4343150935135736</v>
      </c>
      <c r="S11" s="647">
        <f t="shared" si="4"/>
        <v>3.3479073355390532</v>
      </c>
      <c r="T11" s="647">
        <f t="shared" si="4"/>
        <v>3.3569392969375844</v>
      </c>
      <c r="U11" s="647">
        <f t="shared" si="4"/>
        <v>3.2588836791041302</v>
      </c>
      <c r="V11" s="647">
        <f t="shared" si="4"/>
        <v>3.2327787715467968</v>
      </c>
      <c r="W11" s="647">
        <f t="shared" si="4"/>
        <v>3.3027137357574086</v>
      </c>
      <c r="X11" s="647">
        <f t="shared" si="4"/>
        <v>3.2834612500996632</v>
      </c>
      <c r="Y11" s="647">
        <f t="shared" si="4"/>
        <v>3.238095298599462</v>
      </c>
      <c r="Z11" s="647">
        <f t="shared" si="4"/>
        <v>3.1782385060801532</v>
      </c>
      <c r="AA11" s="4">
        <f t="shared" si="8"/>
        <v>9</v>
      </c>
      <c r="AB11" s="4">
        <f t="shared" si="5"/>
        <v>9</v>
      </c>
      <c r="AC11" s="4">
        <f t="shared" si="5"/>
        <v>9</v>
      </c>
      <c r="AD11" s="4">
        <f t="shared" si="5"/>
        <v>9</v>
      </c>
      <c r="AE11" s="4">
        <f t="shared" si="5"/>
        <v>9</v>
      </c>
      <c r="AF11" s="4">
        <f t="shared" si="5"/>
        <v>9</v>
      </c>
      <c r="AG11" s="4">
        <f t="shared" si="5"/>
        <v>9</v>
      </c>
      <c r="AH11" s="4">
        <f t="shared" si="5"/>
        <v>9</v>
      </c>
      <c r="AI11" s="4">
        <f t="shared" si="5"/>
        <v>9</v>
      </c>
      <c r="AJ11" s="4">
        <f t="shared" si="5"/>
        <v>9</v>
      </c>
      <c r="AK11" s="4">
        <f t="shared" si="5"/>
        <v>9</v>
      </c>
    </row>
    <row r="12" spans="1:37" s="4" customFormat="1" ht="15" customHeight="1">
      <c r="A12" s="17" t="s">
        <v>20</v>
      </c>
      <c r="B12" s="348">
        <v>31718</v>
      </c>
      <c r="C12" s="348">
        <v>32529</v>
      </c>
      <c r="D12" s="348">
        <v>34031</v>
      </c>
      <c r="E12" s="348">
        <v>35370</v>
      </c>
      <c r="F12" s="348">
        <v>36298</v>
      </c>
      <c r="G12" s="348">
        <v>38027</v>
      </c>
      <c r="H12" s="348">
        <v>38257</v>
      </c>
      <c r="I12" s="348">
        <v>37783</v>
      </c>
      <c r="J12" s="348">
        <v>38189</v>
      </c>
      <c r="K12" s="348">
        <v>40691</v>
      </c>
      <c r="L12" s="348">
        <v>42406</v>
      </c>
      <c r="N12" s="647">
        <f t="shared" si="6"/>
        <v>33.696954410744695</v>
      </c>
      <c r="O12" s="497">
        <f t="shared" si="9"/>
        <v>10688</v>
      </c>
      <c r="P12" s="647">
        <f t="shared" si="7"/>
        <v>1.3303854963737158</v>
      </c>
      <c r="Q12" s="647">
        <f t="shared" si="4"/>
        <v>1.3233052486755355</v>
      </c>
      <c r="R12" s="647">
        <f t="shared" si="4"/>
        <v>1.341042293804551</v>
      </c>
      <c r="S12" s="647">
        <f t="shared" si="4"/>
        <v>1.338799561985057</v>
      </c>
      <c r="T12" s="647">
        <f t="shared" si="4"/>
        <v>1.3115708968423365</v>
      </c>
      <c r="U12" s="647">
        <f t="shared" si="4"/>
        <v>1.32133716110049</v>
      </c>
      <c r="V12" s="647">
        <f t="shared" si="4"/>
        <v>1.3054848997536923</v>
      </c>
      <c r="W12" s="647">
        <f t="shared" si="4"/>
        <v>1.3015941367461008</v>
      </c>
      <c r="X12" s="647">
        <f t="shared" si="4"/>
        <v>1.3067938979099989</v>
      </c>
      <c r="Y12" s="647">
        <f t="shared" si="4"/>
        <v>1.2925381184550786</v>
      </c>
      <c r="Z12" s="647">
        <f t="shared" si="4"/>
        <v>1.2865375012059583</v>
      </c>
      <c r="AA12" s="4">
        <f t="shared" si="8"/>
        <v>13</v>
      </c>
      <c r="AB12" s="4">
        <f t="shared" si="5"/>
        <v>13</v>
      </c>
      <c r="AC12" s="4">
        <f t="shared" si="5"/>
        <v>13</v>
      </c>
      <c r="AD12" s="4">
        <f t="shared" si="5"/>
        <v>13</v>
      </c>
      <c r="AE12" s="4">
        <f t="shared" si="5"/>
        <v>13</v>
      </c>
      <c r="AF12" s="4">
        <f t="shared" si="5"/>
        <v>13</v>
      </c>
      <c r="AG12" s="4">
        <f t="shared" si="5"/>
        <v>12</v>
      </c>
      <c r="AH12" s="4">
        <f t="shared" si="5"/>
        <v>13</v>
      </c>
      <c r="AI12" s="4">
        <f t="shared" si="5"/>
        <v>13</v>
      </c>
      <c r="AJ12" s="4">
        <f t="shared" si="5"/>
        <v>13</v>
      </c>
      <c r="AK12" s="4">
        <f t="shared" si="5"/>
        <v>14</v>
      </c>
    </row>
    <row r="13" spans="1:37" s="4" customFormat="1" ht="15" customHeight="1">
      <c r="A13" s="17" t="s">
        <v>21</v>
      </c>
      <c r="B13" s="348">
        <v>104938</v>
      </c>
      <c r="C13" s="348">
        <v>109922</v>
      </c>
      <c r="D13" s="348">
        <v>117234</v>
      </c>
      <c r="E13" s="348">
        <v>125990</v>
      </c>
      <c r="F13" s="348">
        <v>135848</v>
      </c>
      <c r="G13" s="348">
        <v>144110</v>
      </c>
      <c r="H13" s="348">
        <v>149611</v>
      </c>
      <c r="I13" s="348">
        <v>133944</v>
      </c>
      <c r="J13" s="348">
        <v>137936</v>
      </c>
      <c r="K13" s="348">
        <v>154670</v>
      </c>
      <c r="L13" s="348">
        <v>166794</v>
      </c>
      <c r="N13" s="647">
        <f t="shared" si="6"/>
        <v>58.945281976023935</v>
      </c>
      <c r="O13" s="497">
        <f t="shared" si="9"/>
        <v>61856</v>
      </c>
      <c r="P13" s="647">
        <f t="shared" si="7"/>
        <v>4.4015383447400529</v>
      </c>
      <c r="Q13" s="647">
        <f t="shared" si="4"/>
        <v>4.4717132265028807</v>
      </c>
      <c r="R13" s="647">
        <f t="shared" si="4"/>
        <v>4.6197805610144496</v>
      </c>
      <c r="S13" s="647">
        <f t="shared" si="4"/>
        <v>4.768882013415249</v>
      </c>
      <c r="T13" s="647">
        <f t="shared" si="4"/>
        <v>4.9086529063374771</v>
      </c>
      <c r="U13" s="647">
        <f t="shared" si="4"/>
        <v>5.0074394058482552</v>
      </c>
      <c r="V13" s="647">
        <f t="shared" si="4"/>
        <v>5.1053376202276626</v>
      </c>
      <c r="W13" s="647">
        <f t="shared" si="4"/>
        <v>4.6142636914040631</v>
      </c>
      <c r="X13" s="647">
        <f t="shared" si="4"/>
        <v>4.7200482626440499</v>
      </c>
      <c r="Y13" s="647">
        <f t="shared" si="4"/>
        <v>4.9130488506413457</v>
      </c>
      <c r="Z13" s="647">
        <f t="shared" si="4"/>
        <v>5.0602918449310614</v>
      </c>
      <c r="AA13" s="4">
        <f t="shared" si="8"/>
        <v>7</v>
      </c>
      <c r="AB13" s="4">
        <f t="shared" si="5"/>
        <v>7</v>
      </c>
      <c r="AC13" s="4">
        <f t="shared" si="5"/>
        <v>7</v>
      </c>
      <c r="AD13" s="4">
        <f t="shared" si="5"/>
        <v>6</v>
      </c>
      <c r="AE13" s="4">
        <f t="shared" si="5"/>
        <v>6</v>
      </c>
      <c r="AF13" s="4">
        <f t="shared" si="5"/>
        <v>6</v>
      </c>
      <c r="AG13" s="4">
        <f t="shared" si="5"/>
        <v>6</v>
      </c>
      <c r="AH13" s="4">
        <f t="shared" si="5"/>
        <v>7</v>
      </c>
      <c r="AI13" s="4">
        <f t="shared" si="5"/>
        <v>7</v>
      </c>
      <c r="AJ13" s="4">
        <f t="shared" si="5"/>
        <v>6</v>
      </c>
      <c r="AK13" s="4">
        <f t="shared" si="5"/>
        <v>6</v>
      </c>
    </row>
    <row r="14" spans="1:37" s="4" customFormat="1" ht="15" customHeight="1">
      <c r="A14" s="17" t="s">
        <v>22</v>
      </c>
      <c r="B14" s="348">
        <v>25577</v>
      </c>
      <c r="C14" s="348">
        <v>26046</v>
      </c>
      <c r="D14" s="348">
        <v>26456</v>
      </c>
      <c r="E14" s="348">
        <v>26786</v>
      </c>
      <c r="F14" s="348">
        <v>27741</v>
      </c>
      <c r="G14" s="348">
        <v>28412</v>
      </c>
      <c r="H14" s="348">
        <v>28057</v>
      </c>
      <c r="I14" s="348">
        <v>28646</v>
      </c>
      <c r="J14" s="348">
        <v>28719</v>
      </c>
      <c r="K14" s="348">
        <v>29721</v>
      </c>
      <c r="L14" s="348">
        <v>30808</v>
      </c>
      <c r="N14" s="647">
        <f t="shared" si="6"/>
        <v>20.451968565508082</v>
      </c>
      <c r="O14" s="497">
        <f t="shared" si="9"/>
        <v>5231</v>
      </c>
      <c r="P14" s="647">
        <f t="shared" si="7"/>
        <v>1.0728062879358891</v>
      </c>
      <c r="Q14" s="647">
        <f t="shared" si="4"/>
        <v>1.0595717208338096</v>
      </c>
      <c r="R14" s="647">
        <f t="shared" si="4"/>
        <v>1.04253812479484</v>
      </c>
      <c r="S14" s="647">
        <f t="shared" si="4"/>
        <v>1.0138842258222149</v>
      </c>
      <c r="T14" s="647">
        <f t="shared" si="4"/>
        <v>1.0023772177338492</v>
      </c>
      <c r="U14" s="647">
        <f t="shared" si="4"/>
        <v>0.98724147109125415</v>
      </c>
      <c r="V14" s="647">
        <f t="shared" si="4"/>
        <v>0.95741929143396887</v>
      </c>
      <c r="W14" s="647">
        <f t="shared" si="4"/>
        <v>0.98683179316700109</v>
      </c>
      <c r="X14" s="647">
        <f t="shared" si="4"/>
        <v>0.98273885029922903</v>
      </c>
      <c r="Y14" s="647">
        <f t="shared" si="4"/>
        <v>0.94407916784063772</v>
      </c>
      <c r="Z14" s="647">
        <f t="shared" si="4"/>
        <v>0.93467073850759708</v>
      </c>
      <c r="AA14" s="4">
        <f t="shared" si="8"/>
        <v>16</v>
      </c>
      <c r="AB14" s="4">
        <f t="shared" si="5"/>
        <v>16</v>
      </c>
      <c r="AC14" s="4">
        <f t="shared" si="5"/>
        <v>16</v>
      </c>
      <c r="AD14" s="4">
        <f t="shared" si="5"/>
        <v>16</v>
      </c>
      <c r="AE14" s="4">
        <f t="shared" si="5"/>
        <v>16</v>
      </c>
      <c r="AF14" s="4">
        <f t="shared" si="5"/>
        <v>16</v>
      </c>
      <c r="AG14" s="4">
        <f t="shared" si="5"/>
        <v>16</v>
      </c>
      <c r="AH14" s="4">
        <f t="shared" si="5"/>
        <v>16</v>
      </c>
      <c r="AI14" s="4">
        <f t="shared" si="5"/>
        <v>16</v>
      </c>
      <c r="AJ14" s="4">
        <f t="shared" si="5"/>
        <v>16</v>
      </c>
      <c r="AK14" s="4">
        <f t="shared" si="5"/>
        <v>16</v>
      </c>
    </row>
    <row r="15" spans="1:37" s="4" customFormat="1" ht="15" customHeight="1">
      <c r="A15" s="17" t="s">
        <v>23</v>
      </c>
      <c r="B15" s="348">
        <v>113088</v>
      </c>
      <c r="C15" s="348">
        <v>117819</v>
      </c>
      <c r="D15" s="348">
        <v>121050</v>
      </c>
      <c r="E15" s="348">
        <v>125303</v>
      </c>
      <c r="F15" s="348">
        <v>132189</v>
      </c>
      <c r="G15" s="348">
        <v>139739</v>
      </c>
      <c r="H15" s="348">
        <v>141609</v>
      </c>
      <c r="I15" s="348">
        <v>140537</v>
      </c>
      <c r="J15" s="348">
        <v>139576</v>
      </c>
      <c r="K15" s="348">
        <v>145795</v>
      </c>
      <c r="L15" s="348">
        <v>152308</v>
      </c>
      <c r="N15" s="647">
        <f t="shared" si="6"/>
        <v>34.680956423316346</v>
      </c>
      <c r="O15" s="497">
        <f t="shared" si="9"/>
        <v>39220</v>
      </c>
      <c r="P15" s="647">
        <f t="shared" si="7"/>
        <v>4.7433834104896517</v>
      </c>
      <c r="Q15" s="647">
        <f t="shared" si="4"/>
        <v>4.7929693840481695</v>
      </c>
      <c r="R15" s="647">
        <f t="shared" si="4"/>
        <v>4.7701557305116182</v>
      </c>
      <c r="S15" s="647">
        <f t="shared" si="4"/>
        <v>4.7428781881654967</v>
      </c>
      <c r="T15" s="647">
        <f t="shared" si="4"/>
        <v>4.7764407207750184</v>
      </c>
      <c r="U15" s="647">
        <f t="shared" si="4"/>
        <v>4.855558775475882</v>
      </c>
      <c r="V15" s="647">
        <f t="shared" si="4"/>
        <v>4.8322767380929141</v>
      </c>
      <c r="W15" s="647">
        <f t="shared" si="4"/>
        <v>4.8413872692980116</v>
      </c>
      <c r="X15" s="647">
        <f t="shared" si="4"/>
        <v>4.7761676161901594</v>
      </c>
      <c r="Y15" s="647">
        <f t="shared" si="4"/>
        <v>4.6311369831205464</v>
      </c>
      <c r="Z15" s="647">
        <f t="shared" si="4"/>
        <v>4.6208072851407129</v>
      </c>
      <c r="AA15" s="4">
        <f t="shared" si="8"/>
        <v>6</v>
      </c>
      <c r="AB15" s="4">
        <f t="shared" si="5"/>
        <v>6</v>
      </c>
      <c r="AC15" s="4">
        <f t="shared" si="5"/>
        <v>6</v>
      </c>
      <c r="AD15" s="4">
        <f t="shared" si="5"/>
        <v>7</v>
      </c>
      <c r="AE15" s="4">
        <f t="shared" si="5"/>
        <v>7</v>
      </c>
      <c r="AF15" s="4">
        <f t="shared" si="5"/>
        <v>7</v>
      </c>
      <c r="AG15" s="4">
        <f t="shared" si="5"/>
        <v>7</v>
      </c>
      <c r="AH15" s="4">
        <f t="shared" si="5"/>
        <v>6</v>
      </c>
      <c r="AI15" s="4">
        <f t="shared" si="5"/>
        <v>6</v>
      </c>
      <c r="AJ15" s="4">
        <f t="shared" si="5"/>
        <v>7</v>
      </c>
      <c r="AK15" s="4">
        <f t="shared" si="5"/>
        <v>7</v>
      </c>
    </row>
    <row r="16" spans="1:37" s="4" customFormat="1" ht="15" customHeight="1">
      <c r="A16" s="17" t="s">
        <v>24</v>
      </c>
      <c r="B16" s="348">
        <v>699433</v>
      </c>
      <c r="C16" s="348">
        <v>722854</v>
      </c>
      <c r="D16" s="348">
        <v>739126</v>
      </c>
      <c r="E16" s="348">
        <v>776535</v>
      </c>
      <c r="F16" s="348">
        <v>805619</v>
      </c>
      <c r="G16" s="348">
        <v>843599</v>
      </c>
      <c r="H16" s="348">
        <v>863493</v>
      </c>
      <c r="I16" s="348">
        <v>853268</v>
      </c>
      <c r="J16" s="348">
        <v>859051</v>
      </c>
      <c r="K16" s="348">
        <v>937531</v>
      </c>
      <c r="L16" s="348">
        <v>994831</v>
      </c>
      <c r="N16" s="647">
        <f t="shared" si="6"/>
        <v>42.233923763963091</v>
      </c>
      <c r="O16" s="497">
        <f t="shared" si="9"/>
        <v>295398</v>
      </c>
      <c r="P16" s="647">
        <f t="shared" si="7"/>
        <v>29.337143542630596</v>
      </c>
      <c r="Q16" s="647">
        <f t="shared" si="4"/>
        <v>29.40626801396002</v>
      </c>
      <c r="R16" s="647">
        <f t="shared" si="4"/>
        <v>29.126362036101863</v>
      </c>
      <c r="S16" s="647">
        <f t="shared" si="4"/>
        <v>29.392839068873801</v>
      </c>
      <c r="T16" s="647">
        <f t="shared" si="4"/>
        <v>29.109770079432099</v>
      </c>
      <c r="U16" s="647">
        <f t="shared" si="4"/>
        <v>29.31282267250144</v>
      </c>
      <c r="V16" s="647">
        <f t="shared" si="4"/>
        <v>29.465903561257157</v>
      </c>
      <c r="W16" s="647">
        <f t="shared" si="4"/>
        <v>29.394400282483442</v>
      </c>
      <c r="X16" s="647">
        <f t="shared" si="4"/>
        <v>29.395967550694767</v>
      </c>
      <c r="Y16" s="647">
        <f t="shared" si="4"/>
        <v>29.780407331677967</v>
      </c>
      <c r="Z16" s="647">
        <f t="shared" si="4"/>
        <v>30.181752319535551</v>
      </c>
      <c r="AA16" s="4">
        <f t="shared" si="8"/>
        <v>1</v>
      </c>
      <c r="AB16" s="4">
        <f t="shared" si="5"/>
        <v>1</v>
      </c>
      <c r="AC16" s="4">
        <f t="shared" si="5"/>
        <v>1</v>
      </c>
      <c r="AD16" s="4">
        <f t="shared" si="5"/>
        <v>1</v>
      </c>
      <c r="AE16" s="4">
        <f t="shared" si="5"/>
        <v>1</v>
      </c>
      <c r="AF16" s="4">
        <f t="shared" si="5"/>
        <v>1</v>
      </c>
      <c r="AG16" s="4">
        <f t="shared" si="5"/>
        <v>1</v>
      </c>
      <c r="AH16" s="4">
        <f t="shared" si="5"/>
        <v>1</v>
      </c>
      <c r="AI16" s="4">
        <f t="shared" si="5"/>
        <v>1</v>
      </c>
      <c r="AJ16" s="4">
        <f t="shared" si="5"/>
        <v>1</v>
      </c>
      <c r="AK16" s="4">
        <f t="shared" si="5"/>
        <v>1</v>
      </c>
    </row>
    <row r="17" spans="1:37" s="4" customFormat="1" ht="15" customHeight="1">
      <c r="A17" s="17" t="s">
        <v>25</v>
      </c>
      <c r="B17" s="348">
        <v>18653</v>
      </c>
      <c r="C17" s="348">
        <v>19009</v>
      </c>
      <c r="D17" s="348">
        <v>19293</v>
      </c>
      <c r="E17" s="348">
        <v>20176</v>
      </c>
      <c r="F17" s="348">
        <v>20664</v>
      </c>
      <c r="G17" s="348">
        <v>20620</v>
      </c>
      <c r="H17" s="348">
        <v>20826</v>
      </c>
      <c r="I17" s="348">
        <v>21098</v>
      </c>
      <c r="J17" s="348">
        <v>20537</v>
      </c>
      <c r="K17" s="348">
        <v>21623</v>
      </c>
      <c r="L17" s="348">
        <v>22968</v>
      </c>
      <c r="N17" s="647">
        <f t="shared" si="6"/>
        <v>23.133008095212571</v>
      </c>
      <c r="O17" s="497">
        <f t="shared" si="9"/>
        <v>4315</v>
      </c>
      <c r="P17" s="647">
        <f t="shared" si="7"/>
        <v>0.78238478667819289</v>
      </c>
      <c r="Q17" s="647">
        <f t="shared" si="4"/>
        <v>0.77330103821430884</v>
      </c>
      <c r="R17" s="647">
        <f t="shared" si="4"/>
        <v>0.7602694300599806</v>
      </c>
      <c r="S17" s="647">
        <f t="shared" si="4"/>
        <v>0.7636873045691408</v>
      </c>
      <c r="T17" s="647">
        <f t="shared" si="4"/>
        <v>0.74666100094633425</v>
      </c>
      <c r="U17" s="647">
        <f t="shared" si="4"/>
        <v>0.71649018491840277</v>
      </c>
      <c r="V17" s="647">
        <f t="shared" si="4"/>
        <v>0.71066807439868251</v>
      </c>
      <c r="W17" s="647">
        <f t="shared" si="4"/>
        <v>0.72680922894077327</v>
      </c>
      <c r="X17" s="647">
        <f t="shared" si="4"/>
        <v>0.70275802669296517</v>
      </c>
      <c r="Y17" s="647">
        <f t="shared" si="4"/>
        <v>0.68684848579180069</v>
      </c>
      <c r="Z17" s="647">
        <f t="shared" si="4"/>
        <v>0.69681633088946016</v>
      </c>
      <c r="AA17" s="4">
        <f t="shared" si="8"/>
        <v>17</v>
      </c>
      <c r="AB17" s="4">
        <f t="shared" si="5"/>
        <v>17</v>
      </c>
      <c r="AC17" s="4">
        <f t="shared" si="5"/>
        <v>17</v>
      </c>
      <c r="AD17" s="4">
        <f t="shared" si="5"/>
        <v>17</v>
      </c>
      <c r="AE17" s="4">
        <f t="shared" si="5"/>
        <v>17</v>
      </c>
      <c r="AF17" s="4">
        <f t="shared" si="5"/>
        <v>17</v>
      </c>
      <c r="AG17" s="4">
        <f t="shared" si="5"/>
        <v>17</v>
      </c>
      <c r="AH17" s="4">
        <f t="shared" si="5"/>
        <v>17</v>
      </c>
      <c r="AI17" s="4">
        <f t="shared" si="5"/>
        <v>18</v>
      </c>
      <c r="AJ17" s="4">
        <f t="shared" si="5"/>
        <v>17</v>
      </c>
      <c r="AK17" s="4">
        <f t="shared" si="5"/>
        <v>17</v>
      </c>
    </row>
    <row r="18" spans="1:37" s="4" customFormat="1" ht="15" customHeight="1">
      <c r="A18" s="17" t="s">
        <v>26</v>
      </c>
      <c r="B18" s="348">
        <v>460333</v>
      </c>
      <c r="C18" s="348">
        <v>477642</v>
      </c>
      <c r="D18" s="348">
        <v>498411</v>
      </c>
      <c r="E18" s="348">
        <v>517250</v>
      </c>
      <c r="F18" s="348">
        <v>546130</v>
      </c>
      <c r="G18" s="348">
        <v>558004</v>
      </c>
      <c r="H18" s="348">
        <v>572263</v>
      </c>
      <c r="I18" s="348">
        <v>564899</v>
      </c>
      <c r="J18" s="348">
        <v>569083</v>
      </c>
      <c r="K18" s="348">
        <v>611659</v>
      </c>
      <c r="L18" s="348">
        <v>638591</v>
      </c>
      <c r="N18" s="647">
        <f t="shared" si="6"/>
        <v>38.723706534182867</v>
      </c>
      <c r="O18" s="497">
        <f t="shared" si="9"/>
        <v>178258</v>
      </c>
      <c r="P18" s="647">
        <f t="shared" si="7"/>
        <v>19.308290141314135</v>
      </c>
      <c r="Q18" s="647">
        <f t="shared" si="4"/>
        <v>19.430851412213105</v>
      </c>
      <c r="R18" s="647">
        <f t="shared" si="4"/>
        <v>19.64062856505598</v>
      </c>
      <c r="S18" s="647">
        <f t="shared" si="4"/>
        <v>19.578571485348341</v>
      </c>
      <c r="T18" s="647">
        <f t="shared" si="4"/>
        <v>19.733544930643706</v>
      </c>
      <c r="U18" s="647">
        <f t="shared" si="4"/>
        <v>19.389155632648325</v>
      </c>
      <c r="V18" s="647">
        <f t="shared" si="4"/>
        <v>19.527947962144111</v>
      </c>
      <c r="W18" s="647">
        <f t="shared" si="4"/>
        <v>19.460318827349219</v>
      </c>
      <c r="X18" s="647">
        <f t="shared" si="4"/>
        <v>19.473518337854248</v>
      </c>
      <c r="Y18" s="647">
        <f t="shared" si="4"/>
        <v>19.429175321228648</v>
      </c>
      <c r="Z18" s="647">
        <f t="shared" si="4"/>
        <v>19.373939287662456</v>
      </c>
      <c r="AA18" s="4">
        <f t="shared" si="8"/>
        <v>2</v>
      </c>
      <c r="AB18" s="4">
        <f t="shared" si="5"/>
        <v>2</v>
      </c>
      <c r="AC18" s="4">
        <f t="shared" si="5"/>
        <v>2</v>
      </c>
      <c r="AD18" s="4">
        <f t="shared" si="5"/>
        <v>2</v>
      </c>
      <c r="AE18" s="4">
        <f t="shared" si="5"/>
        <v>2</v>
      </c>
      <c r="AF18" s="4">
        <f t="shared" si="5"/>
        <v>2</v>
      </c>
      <c r="AG18" s="4">
        <f t="shared" si="5"/>
        <v>2</v>
      </c>
      <c r="AH18" s="4">
        <f t="shared" si="5"/>
        <v>2</v>
      </c>
      <c r="AI18" s="4">
        <f t="shared" si="5"/>
        <v>2</v>
      </c>
      <c r="AJ18" s="4">
        <f t="shared" si="5"/>
        <v>2</v>
      </c>
      <c r="AK18" s="4">
        <f t="shared" si="5"/>
        <v>2</v>
      </c>
    </row>
    <row r="19" spans="1:37" s="4" customFormat="1" ht="15" customHeight="1">
      <c r="A19" s="17" t="s">
        <v>27</v>
      </c>
      <c r="B19" s="348">
        <v>88785</v>
      </c>
      <c r="C19" s="348">
        <v>90076</v>
      </c>
      <c r="D19" s="348">
        <v>92191</v>
      </c>
      <c r="E19" s="348">
        <v>93792</v>
      </c>
      <c r="F19" s="348">
        <v>97412</v>
      </c>
      <c r="G19" s="348">
        <v>100090</v>
      </c>
      <c r="H19" s="348">
        <v>102585</v>
      </c>
      <c r="I19" s="348">
        <v>103403</v>
      </c>
      <c r="J19" s="348">
        <v>102715</v>
      </c>
      <c r="K19" s="348">
        <v>108232</v>
      </c>
      <c r="L19" s="348">
        <v>112134</v>
      </c>
      <c r="N19" s="647">
        <f t="shared" si="6"/>
        <v>26.298361209663803</v>
      </c>
      <c r="O19" s="497">
        <f t="shared" si="9"/>
        <v>23349</v>
      </c>
      <c r="P19" s="647">
        <f t="shared" si="7"/>
        <v>3.7240140076783015</v>
      </c>
      <c r="Q19" s="647">
        <f t="shared" si="4"/>
        <v>3.6643623714131244</v>
      </c>
      <c r="R19" s="647">
        <f t="shared" si="4"/>
        <v>3.6329238079437971</v>
      </c>
      <c r="S19" s="647">
        <f t="shared" si="4"/>
        <v>3.5501466926124534</v>
      </c>
      <c r="T19" s="647">
        <f t="shared" si="4"/>
        <v>3.5198287564936273</v>
      </c>
      <c r="U19" s="647">
        <f t="shared" si="4"/>
        <v>3.4778614262115877</v>
      </c>
      <c r="V19" s="647">
        <f t="shared" si="4"/>
        <v>3.5006186695567485</v>
      </c>
      <c r="W19" s="647">
        <f t="shared" si="4"/>
        <v>3.5621506635777216</v>
      </c>
      <c r="X19" s="647">
        <f t="shared" si="4"/>
        <v>3.5148167070053038</v>
      </c>
      <c r="Y19" s="647">
        <f t="shared" si="4"/>
        <v>3.4379589009026579</v>
      </c>
      <c r="Z19" s="647">
        <f t="shared" si="4"/>
        <v>3.4019854775321634</v>
      </c>
      <c r="AA19" s="4">
        <f t="shared" si="8"/>
        <v>8</v>
      </c>
      <c r="AB19" s="4">
        <f t="shared" si="5"/>
        <v>8</v>
      </c>
      <c r="AC19" s="4">
        <f t="shared" si="5"/>
        <v>8</v>
      </c>
      <c r="AD19" s="4">
        <f t="shared" si="5"/>
        <v>8</v>
      </c>
      <c r="AE19" s="4">
        <f t="shared" si="5"/>
        <v>8</v>
      </c>
      <c r="AF19" s="4">
        <f t="shared" si="5"/>
        <v>8</v>
      </c>
      <c r="AG19" s="4">
        <f t="shared" si="5"/>
        <v>8</v>
      </c>
      <c r="AH19" s="4">
        <f t="shared" si="5"/>
        <v>8</v>
      </c>
      <c r="AI19" s="4">
        <f t="shared" si="5"/>
        <v>8</v>
      </c>
      <c r="AJ19" s="4">
        <f t="shared" si="5"/>
        <v>8</v>
      </c>
      <c r="AK19" s="4">
        <f t="shared" si="5"/>
        <v>8</v>
      </c>
    </row>
    <row r="20" spans="1:37" s="4" customFormat="1" ht="15" customHeight="1">
      <c r="A20" s="17" t="s">
        <v>28</v>
      </c>
      <c r="B20" s="348">
        <v>134300</v>
      </c>
      <c r="C20" s="348">
        <v>135568</v>
      </c>
      <c r="D20" s="348">
        <v>138934</v>
      </c>
      <c r="E20" s="348">
        <v>143036</v>
      </c>
      <c r="F20" s="348">
        <v>151328</v>
      </c>
      <c r="G20" s="348">
        <v>160472</v>
      </c>
      <c r="H20" s="348">
        <v>163930</v>
      </c>
      <c r="I20" s="348">
        <v>164805</v>
      </c>
      <c r="J20" s="348">
        <v>166416</v>
      </c>
      <c r="K20" s="348">
        <v>178440</v>
      </c>
      <c r="L20" s="348">
        <v>184464</v>
      </c>
      <c r="N20" s="647">
        <f t="shared" si="6"/>
        <v>37.352196574832462</v>
      </c>
      <c r="O20" s="497">
        <f t="shared" si="9"/>
        <v>50164</v>
      </c>
      <c r="P20" s="647">
        <f t="shared" si="7"/>
        <v>5.6331033533952342</v>
      </c>
      <c r="Q20" s="647">
        <f t="shared" si="4"/>
        <v>5.5150126334177187</v>
      </c>
      <c r="R20" s="647">
        <f t="shared" si="4"/>
        <v>5.4749014148112449</v>
      </c>
      <c r="S20" s="647">
        <f t="shared" si="4"/>
        <v>5.4140948303108463</v>
      </c>
      <c r="T20" s="647">
        <f t="shared" si="4"/>
        <v>5.4679982554784585</v>
      </c>
      <c r="U20" s="647">
        <f t="shared" si="4"/>
        <v>5.5759754100012575</v>
      </c>
      <c r="V20" s="647">
        <f t="shared" si="4"/>
        <v>5.5939603109659091</v>
      </c>
      <c r="W20" s="647">
        <f t="shared" si="4"/>
        <v>5.677400463341745</v>
      </c>
      <c r="X20" s="647">
        <f t="shared" si="4"/>
        <v>5.6946087437374739</v>
      </c>
      <c r="Y20" s="647">
        <f t="shared" si="4"/>
        <v>5.668096184835079</v>
      </c>
      <c r="Z20" s="647">
        <f t="shared" si="4"/>
        <v>5.5963744192438778</v>
      </c>
      <c r="AA20" s="4">
        <f t="shared" si="8"/>
        <v>5</v>
      </c>
      <c r="AB20" s="4">
        <f t="shared" si="5"/>
        <v>5</v>
      </c>
      <c r="AC20" s="4">
        <f t="shared" si="5"/>
        <v>5</v>
      </c>
      <c r="AD20" s="4">
        <f t="shared" si="5"/>
        <v>5</v>
      </c>
      <c r="AE20" s="4">
        <f t="shared" si="5"/>
        <v>5</v>
      </c>
      <c r="AF20" s="4">
        <f t="shared" si="5"/>
        <v>5</v>
      </c>
      <c r="AG20" s="4">
        <f t="shared" si="5"/>
        <v>5</v>
      </c>
      <c r="AH20" s="4">
        <f t="shared" si="5"/>
        <v>5</v>
      </c>
      <c r="AI20" s="4">
        <f t="shared" si="5"/>
        <v>5</v>
      </c>
      <c r="AJ20" s="4">
        <f t="shared" si="5"/>
        <v>5</v>
      </c>
      <c r="AK20" s="4">
        <f t="shared" si="5"/>
        <v>5</v>
      </c>
    </row>
    <row r="21" spans="1:37" s="4" customFormat="1" ht="15" customHeight="1">
      <c r="A21" s="17" t="s">
        <v>29</v>
      </c>
      <c r="B21" s="348">
        <v>48873</v>
      </c>
      <c r="C21" s="348">
        <v>50225</v>
      </c>
      <c r="D21" s="348">
        <v>52609</v>
      </c>
      <c r="E21" s="348">
        <v>52622</v>
      </c>
      <c r="F21" s="348">
        <v>55356</v>
      </c>
      <c r="G21" s="348">
        <v>58686</v>
      </c>
      <c r="H21" s="348">
        <v>59295</v>
      </c>
      <c r="I21" s="348">
        <v>60629</v>
      </c>
      <c r="J21" s="348">
        <v>60893</v>
      </c>
      <c r="K21" s="348">
        <v>64187</v>
      </c>
      <c r="L21" s="348">
        <v>68117</v>
      </c>
      <c r="N21" s="647">
        <f t="shared" si="6"/>
        <v>39.375524318130672</v>
      </c>
      <c r="O21" s="497">
        <f t="shared" si="9"/>
        <v>19244</v>
      </c>
      <c r="P21" s="647">
        <f t="shared" si="7"/>
        <v>2.0499379016417372</v>
      </c>
      <c r="Q21" s="647">
        <f t="shared" si="4"/>
        <v>2.0431924164508213</v>
      </c>
      <c r="R21" s="647">
        <f t="shared" si="4"/>
        <v>2.0731360828292913</v>
      </c>
      <c r="S21" s="647">
        <f t="shared" si="4"/>
        <v>1.9918097413281786</v>
      </c>
      <c r="T21" s="647">
        <f t="shared" si="4"/>
        <v>2.0002016244863183</v>
      </c>
      <c r="U21" s="647">
        <f t="shared" si="4"/>
        <v>2.0391824923434232</v>
      </c>
      <c r="V21" s="647">
        <f t="shared" si="4"/>
        <v>2.0233872789527458</v>
      </c>
      <c r="W21" s="647">
        <f t="shared" si="4"/>
        <v>2.0886205678950676</v>
      </c>
      <c r="X21" s="647">
        <f t="shared" si="4"/>
        <v>2.0837047533434645</v>
      </c>
      <c r="Y21" s="647">
        <f t="shared" si="4"/>
        <v>2.0388819200628179</v>
      </c>
      <c r="Z21" s="647">
        <f t="shared" si="4"/>
        <v>2.0665725361893661</v>
      </c>
      <c r="AA21" s="4">
        <f t="shared" si="8"/>
        <v>11</v>
      </c>
      <c r="AB21" s="4">
        <f t="shared" si="5"/>
        <v>11</v>
      </c>
      <c r="AC21" s="4">
        <f t="shared" si="5"/>
        <v>11</v>
      </c>
      <c r="AD21" s="4">
        <f t="shared" si="5"/>
        <v>11</v>
      </c>
      <c r="AE21" s="4">
        <f t="shared" si="5"/>
        <v>11</v>
      </c>
      <c r="AF21" s="4">
        <f t="shared" si="5"/>
        <v>11</v>
      </c>
      <c r="AG21" s="4">
        <f t="shared" si="5"/>
        <v>11</v>
      </c>
      <c r="AH21" s="4">
        <f t="shared" si="5"/>
        <v>11</v>
      </c>
      <c r="AI21" s="4">
        <f t="shared" si="5"/>
        <v>11</v>
      </c>
      <c r="AJ21" s="4">
        <f t="shared" si="5"/>
        <v>11</v>
      </c>
      <c r="AK21" s="4">
        <f t="shared" si="5"/>
        <v>11</v>
      </c>
    </row>
    <row r="22" spans="1:37" s="4" customFormat="1" ht="15" customHeight="1">
      <c r="A22" s="17" t="s">
        <v>30</v>
      </c>
      <c r="B22" s="348">
        <v>28520</v>
      </c>
      <c r="C22" s="348">
        <v>28912</v>
      </c>
      <c r="D22" s="348">
        <v>30088</v>
      </c>
      <c r="E22" s="348">
        <v>30474</v>
      </c>
      <c r="F22" s="348">
        <v>32127</v>
      </c>
      <c r="G22" s="348">
        <v>33024</v>
      </c>
      <c r="H22" s="348">
        <v>33808</v>
      </c>
      <c r="I22" s="348">
        <v>33688</v>
      </c>
      <c r="J22" s="348">
        <v>34125</v>
      </c>
      <c r="K22" s="348">
        <v>35875</v>
      </c>
      <c r="L22" s="348">
        <v>37526</v>
      </c>
      <c r="N22" s="647">
        <f t="shared" si="6"/>
        <v>31.577840112201972</v>
      </c>
      <c r="O22" s="497">
        <f t="shared" si="9"/>
        <v>9006</v>
      </c>
      <c r="P22" s="647">
        <f t="shared" si="7"/>
        <v>1.1962480092243641</v>
      </c>
      <c r="Q22" s="647">
        <f t="shared" si="7"/>
        <v>1.1761628500632382</v>
      </c>
      <c r="R22" s="647">
        <f t="shared" si="7"/>
        <v>1.1856624999556677</v>
      </c>
      <c r="S22" s="647">
        <f t="shared" si="7"/>
        <v>1.1534797243973036</v>
      </c>
      <c r="T22" s="647">
        <f t="shared" si="7"/>
        <v>1.1608583999904607</v>
      </c>
      <c r="U22" s="647">
        <f t="shared" si="7"/>
        <v>1.1474962108023925</v>
      </c>
      <c r="V22" s="647">
        <f t="shared" si="7"/>
        <v>1.1536668711836482</v>
      </c>
      <c r="W22" s="647">
        <f t="shared" si="7"/>
        <v>1.1605246613212992</v>
      </c>
      <c r="X22" s="647">
        <f t="shared" si="7"/>
        <v>1.1677274022932969</v>
      </c>
      <c r="Y22" s="647">
        <f t="shared" si="7"/>
        <v>1.1395592391333695</v>
      </c>
      <c r="Z22" s="647">
        <f t="shared" si="7"/>
        <v>1.1384852678926281</v>
      </c>
      <c r="AA22" s="4">
        <f t="shared" si="8"/>
        <v>14</v>
      </c>
      <c r="AB22" s="4">
        <f t="shared" si="8"/>
        <v>14</v>
      </c>
      <c r="AC22" s="4">
        <f t="shared" si="8"/>
        <v>15</v>
      </c>
      <c r="AD22" s="4">
        <f t="shared" si="8"/>
        <v>15</v>
      </c>
      <c r="AE22" s="4">
        <f t="shared" si="8"/>
        <v>15</v>
      </c>
      <c r="AF22" s="4">
        <f t="shared" si="8"/>
        <v>15</v>
      </c>
      <c r="AG22" s="4">
        <f t="shared" si="8"/>
        <v>15</v>
      </c>
      <c r="AH22" s="4">
        <f t="shared" si="8"/>
        <v>15</v>
      </c>
      <c r="AI22" s="4">
        <f t="shared" si="8"/>
        <v>15</v>
      </c>
      <c r="AJ22" s="4">
        <f t="shared" si="8"/>
        <v>15</v>
      </c>
      <c r="AK22" s="4">
        <f t="shared" si="8"/>
        <v>15</v>
      </c>
    </row>
    <row r="23" spans="1:37" s="20" customFormat="1" ht="15" customHeight="1">
      <c r="A23" s="19" t="s">
        <v>31</v>
      </c>
      <c r="B23" s="349">
        <v>67692</v>
      </c>
      <c r="C23" s="349">
        <v>69006</v>
      </c>
      <c r="D23" s="349">
        <v>71421</v>
      </c>
      <c r="E23" s="349">
        <v>74659</v>
      </c>
      <c r="F23" s="349">
        <v>78428</v>
      </c>
      <c r="G23" s="349">
        <v>81948</v>
      </c>
      <c r="H23" s="349">
        <v>84583</v>
      </c>
      <c r="I23" s="349">
        <v>85158</v>
      </c>
      <c r="J23" s="349">
        <v>85989</v>
      </c>
      <c r="K23" s="349">
        <v>92990</v>
      </c>
      <c r="L23" s="349">
        <v>97106</v>
      </c>
      <c r="N23" s="647">
        <f t="shared" si="6"/>
        <v>43.452697512261416</v>
      </c>
      <c r="O23" s="497">
        <f t="shared" si="9"/>
        <v>29414</v>
      </c>
      <c r="P23" s="647">
        <f t="shared" si="7"/>
        <v>2.8392854221744619</v>
      </c>
      <c r="Q23" s="647">
        <f t="shared" si="7"/>
        <v>2.8072182357313165</v>
      </c>
      <c r="R23" s="647">
        <f t="shared" si="7"/>
        <v>2.8144509907382926</v>
      </c>
      <c r="S23" s="647">
        <f t="shared" si="7"/>
        <v>2.8259382668431545</v>
      </c>
      <c r="T23" s="647">
        <f t="shared" si="7"/>
        <v>2.8338719019656944</v>
      </c>
      <c r="U23" s="647">
        <f t="shared" si="7"/>
        <v>2.8474751539133498</v>
      </c>
      <c r="V23" s="647">
        <f t="shared" si="7"/>
        <v>2.8863169949516836</v>
      </c>
      <c r="W23" s="647">
        <f t="shared" si="7"/>
        <v>2.9336250032296127</v>
      </c>
      <c r="X23" s="647">
        <f t="shared" si="7"/>
        <v>2.9424677390710126</v>
      </c>
      <c r="Y23" s="647">
        <f t="shared" si="7"/>
        <v>2.9538010772686283</v>
      </c>
      <c r="Z23" s="647">
        <f t="shared" si="7"/>
        <v>2.9460574115008673</v>
      </c>
      <c r="AA23" s="4">
        <f t="shared" si="8"/>
        <v>10</v>
      </c>
      <c r="AB23" s="4">
        <f t="shared" si="8"/>
        <v>10</v>
      </c>
      <c r="AC23" s="4">
        <f t="shared" si="8"/>
        <v>10</v>
      </c>
      <c r="AD23" s="4">
        <f t="shared" si="8"/>
        <v>10</v>
      </c>
      <c r="AE23" s="4">
        <f t="shared" si="8"/>
        <v>10</v>
      </c>
      <c r="AF23" s="4">
        <f t="shared" si="8"/>
        <v>10</v>
      </c>
      <c r="AG23" s="4">
        <f t="shared" si="8"/>
        <v>10</v>
      </c>
      <c r="AH23" s="4">
        <f t="shared" si="8"/>
        <v>10</v>
      </c>
      <c r="AI23" s="4">
        <f t="shared" si="8"/>
        <v>10</v>
      </c>
      <c r="AJ23" s="4">
        <f t="shared" si="8"/>
        <v>10</v>
      </c>
      <c r="AK23" s="4">
        <f t="shared" si="8"/>
        <v>10</v>
      </c>
    </row>
    <row r="24" spans="1:37" ht="15" customHeight="1">
      <c r="A24" s="21" t="s">
        <v>138</v>
      </c>
      <c r="B24" s="165"/>
      <c r="C24" s="18"/>
      <c r="D24" s="18"/>
      <c r="E24" s="18"/>
      <c r="F24" s="18"/>
      <c r="G24" s="18"/>
      <c r="H24" s="18"/>
      <c r="I24" s="18"/>
      <c r="J24" s="18"/>
      <c r="K24" s="18"/>
      <c r="L24" s="18"/>
    </row>
    <row r="25" spans="1:37">
      <c r="A25" s="64"/>
      <c r="B25" s="165"/>
      <c r="C25" s="165"/>
      <c r="D25" s="199"/>
      <c r="E25" s="211"/>
      <c r="F25" s="211"/>
      <c r="G25" s="211"/>
      <c r="H25" s="211"/>
      <c r="I25" s="211"/>
      <c r="J25" s="211"/>
      <c r="K25" s="211"/>
      <c r="L25" s="211"/>
    </row>
    <row r="26" spans="1:37">
      <c r="A26" s="64"/>
      <c r="B26" s="165"/>
      <c r="C26" s="165"/>
      <c r="D26" s="199"/>
      <c r="E26" s="211"/>
      <c r="F26" s="211"/>
      <c r="G26" s="211"/>
      <c r="H26" s="211"/>
      <c r="I26" s="211"/>
      <c r="J26" s="211"/>
      <c r="K26" s="211"/>
      <c r="L26" s="211"/>
    </row>
    <row r="27" spans="1:37">
      <c r="A27" s="64"/>
      <c r="B27" s="165"/>
      <c r="C27" s="165"/>
      <c r="D27" s="199"/>
      <c r="E27" s="211"/>
      <c r="F27" s="211"/>
      <c r="G27" s="211"/>
      <c r="H27" s="211"/>
      <c r="I27" s="211"/>
      <c r="J27" s="211"/>
      <c r="K27" s="211"/>
      <c r="L27" s="211"/>
    </row>
    <row r="28" spans="1:37">
      <c r="A28" s="64"/>
    </row>
    <row r="29" spans="1:37">
      <c r="A29" s="64"/>
    </row>
    <row r="30" spans="1:37">
      <c r="A30" s="64"/>
    </row>
    <row r="31" spans="1:37">
      <c r="A31" s="64"/>
    </row>
    <row r="32" spans="1:37">
      <c r="A32" s="64"/>
    </row>
  </sheetData>
  <mergeCells count="1">
    <mergeCell ref="A1:L1"/>
  </mergeCells>
  <phoneticPr fontId="25" type="noConversion"/>
  <conditionalFormatting sqref="A1 A2:E4 A24:E1048576 A5:H23 M24:XFD1048576 M1:XFD3 M4:M5 M10:M23 AL4:XFD23">
    <cfRule type="cellIs" dxfId="809" priority="31" operator="equal">
      <formula>0</formula>
    </cfRule>
  </conditionalFormatting>
  <conditionalFormatting sqref="M5">
    <cfRule type="cellIs" dxfId="808" priority="30" operator="equal">
      <formula>0</formula>
    </cfRule>
  </conditionalFormatting>
  <conditionalFormatting sqref="M5">
    <cfRule type="containsText" dxfId="807" priority="29" operator="containsText" text="FALSO">
      <formula>NOT(ISERROR(SEARCH("FALSO",M5)))</formula>
    </cfRule>
  </conditionalFormatting>
  <conditionalFormatting sqref="M5">
    <cfRule type="containsText" dxfId="806" priority="25" operator="containsText" text="FALSO">
      <formula>NOT(ISERROR(SEARCH("FALSO",M5)))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EA2BF-994F-4054-BAB4-7E70034AF8F2}">
  <sheetPr>
    <tabColor indexed="25"/>
    <pageSetUpPr fitToPage="1"/>
  </sheetPr>
  <dimension ref="A1:Q34"/>
  <sheetViews>
    <sheetView showGridLines="0" workbookViewId="0">
      <selection sqref="A1:M1"/>
    </sheetView>
  </sheetViews>
  <sheetFormatPr defaultColWidth="9.140625" defaultRowHeight="17.45" customHeight="1"/>
  <cols>
    <col min="1" max="1" width="24.42578125" style="4" customWidth="1"/>
    <col min="2" max="12" width="7.5703125" style="4" customWidth="1"/>
    <col min="13" max="14" width="5.85546875" style="4" bestFit="1" customWidth="1"/>
    <col min="15" max="16384" width="9.140625" style="4"/>
  </cols>
  <sheetData>
    <row r="1" spans="1:13" s="3" customFormat="1" ht="28.5" customHeight="1">
      <c r="A1" s="796" t="s">
        <v>649</v>
      </c>
      <c r="B1" s="796"/>
      <c r="C1" s="796"/>
      <c r="D1" s="796"/>
      <c r="E1" s="796"/>
      <c r="F1" s="796"/>
      <c r="G1" s="796"/>
      <c r="H1" s="796"/>
      <c r="I1" s="796"/>
      <c r="J1" s="796"/>
      <c r="K1" s="796"/>
      <c r="L1" s="796"/>
    </row>
    <row r="2" spans="1:13" ht="15" customHeight="1">
      <c r="A2" s="11"/>
      <c r="B2" s="176"/>
      <c r="C2" s="176"/>
      <c r="D2" s="176"/>
      <c r="E2" s="176"/>
      <c r="F2" s="176"/>
      <c r="G2" s="176"/>
      <c r="H2" s="176"/>
      <c r="I2" s="176"/>
      <c r="J2" s="176"/>
      <c r="K2" s="176"/>
      <c r="L2" s="176"/>
    </row>
    <row r="3" spans="1:13" ht="15" customHeight="1">
      <c r="A3" s="13" t="s">
        <v>42</v>
      </c>
      <c r="B3" s="176"/>
      <c r="C3" s="176"/>
      <c r="D3" s="176"/>
      <c r="E3" s="176"/>
      <c r="F3" s="176"/>
      <c r="G3" s="176"/>
      <c r="H3" s="176"/>
      <c r="I3" s="176"/>
      <c r="J3" s="176"/>
      <c r="K3" s="176"/>
      <c r="L3" s="176"/>
    </row>
    <row r="4" spans="1:13" ht="20.25" customHeight="1" thickBot="1">
      <c r="A4" s="15"/>
      <c r="B4" s="16">
        <v>2013</v>
      </c>
      <c r="C4" s="16">
        <v>2014</v>
      </c>
      <c r="D4" s="16">
        <v>2015</v>
      </c>
      <c r="E4" s="16">
        <v>2016</v>
      </c>
      <c r="F4" s="16">
        <v>2017</v>
      </c>
      <c r="G4" s="16">
        <v>2018</v>
      </c>
      <c r="H4" s="16">
        <v>2019</v>
      </c>
      <c r="I4" s="16">
        <v>2020</v>
      </c>
      <c r="J4" s="16">
        <v>2021</v>
      </c>
      <c r="K4" s="16">
        <v>2022</v>
      </c>
      <c r="L4" s="16">
        <v>2023</v>
      </c>
    </row>
    <row r="5" spans="1:13" ht="21" customHeight="1" thickTop="1">
      <c r="A5" s="116" t="s">
        <v>12</v>
      </c>
      <c r="B5" s="347">
        <v>2384121</v>
      </c>
      <c r="C5" s="347">
        <v>2458163</v>
      </c>
      <c r="D5" s="347">
        <v>2537653.0000000028</v>
      </c>
      <c r="E5" s="347">
        <v>2641918.9999999977</v>
      </c>
      <c r="F5" s="347">
        <v>2767520.9999999977</v>
      </c>
      <c r="G5" s="347">
        <v>2877918.0000000005</v>
      </c>
      <c r="H5" s="347">
        <v>2930481.9999999995</v>
      </c>
      <c r="I5" s="347">
        <v>2902824.9999999981</v>
      </c>
      <c r="J5" s="347">
        <v>2922343.0000000014</v>
      </c>
      <c r="K5" s="347">
        <v>3148146.9999999995</v>
      </c>
      <c r="L5" s="347">
        <v>3296133.9999999981</v>
      </c>
    </row>
    <row r="6" spans="1:13" ht="15" customHeight="1">
      <c r="A6" s="17" t="s">
        <v>551</v>
      </c>
      <c r="B6" s="347">
        <v>867596</v>
      </c>
      <c r="C6" s="347">
        <v>898201.00000000035</v>
      </c>
      <c r="D6" s="347">
        <v>934106</v>
      </c>
      <c r="E6" s="347">
        <v>969358.00000000047</v>
      </c>
      <c r="F6" s="347">
        <v>1020482.9999999999</v>
      </c>
      <c r="G6" s="347">
        <v>1048977.9999999998</v>
      </c>
      <c r="H6" s="347">
        <v>1063143</v>
      </c>
      <c r="I6" s="347">
        <v>1057089.9999999993</v>
      </c>
      <c r="J6" s="347">
        <v>1067824.0000000007</v>
      </c>
      <c r="K6" s="347">
        <v>1142574.9999999998</v>
      </c>
      <c r="L6" s="347">
        <v>1186032</v>
      </c>
    </row>
    <row r="7" spans="1:13" ht="15" customHeight="1">
      <c r="A7" s="661" t="s">
        <v>552</v>
      </c>
      <c r="B7" s="348">
        <v>48872.999999999993</v>
      </c>
      <c r="C7" s="348">
        <v>50225</v>
      </c>
      <c r="D7" s="348">
        <v>52609</v>
      </c>
      <c r="E7" s="348">
        <v>52622.000000000007</v>
      </c>
      <c r="F7" s="348">
        <v>55356</v>
      </c>
      <c r="G7" s="348">
        <v>58686</v>
      </c>
      <c r="H7" s="348">
        <v>59295.000000000007</v>
      </c>
      <c r="I7" s="348">
        <v>60629</v>
      </c>
      <c r="J7" s="348">
        <v>60893</v>
      </c>
      <c r="K7" s="348">
        <v>64187</v>
      </c>
      <c r="L7" s="348">
        <v>68117</v>
      </c>
    </row>
    <row r="8" spans="1:13" ht="15" customHeight="1">
      <c r="A8" s="661" t="s">
        <v>553</v>
      </c>
      <c r="B8" s="348">
        <v>99096</v>
      </c>
      <c r="C8" s="348">
        <v>104058</v>
      </c>
      <c r="D8" s="348">
        <v>107920</v>
      </c>
      <c r="E8" s="348">
        <v>113517</v>
      </c>
      <c r="F8" s="348">
        <v>120158.00000000001</v>
      </c>
      <c r="G8" s="348">
        <v>126435</v>
      </c>
      <c r="H8" s="348">
        <v>129738.99999999999</v>
      </c>
      <c r="I8" s="348">
        <v>129449</v>
      </c>
      <c r="J8" s="348">
        <v>132064</v>
      </c>
      <c r="K8" s="348">
        <v>143159</v>
      </c>
      <c r="L8" s="348">
        <v>149790</v>
      </c>
    </row>
    <row r="9" spans="1:13" ht="15" customHeight="1">
      <c r="A9" s="661" t="s">
        <v>554</v>
      </c>
      <c r="B9" s="348">
        <v>113206.00000000001</v>
      </c>
      <c r="C9" s="348">
        <v>117573.99999999999</v>
      </c>
      <c r="D9" s="348">
        <v>122620.00000000001</v>
      </c>
      <c r="E9" s="348">
        <v>128328</v>
      </c>
      <c r="F9" s="348">
        <v>132997</v>
      </c>
      <c r="G9" s="348">
        <v>136304</v>
      </c>
      <c r="H9" s="348">
        <v>130389.99999999999</v>
      </c>
      <c r="I9" s="348">
        <v>132409.00000000003</v>
      </c>
      <c r="J9" s="348">
        <v>132536</v>
      </c>
      <c r="K9" s="348">
        <v>140262</v>
      </c>
      <c r="L9" s="348">
        <v>141278</v>
      </c>
      <c r="M9" s="466"/>
    </row>
    <row r="10" spans="1:13" ht="15" customHeight="1">
      <c r="A10" s="661" t="s">
        <v>555</v>
      </c>
      <c r="B10" s="348">
        <v>451487.99999999994</v>
      </c>
      <c r="C10" s="348">
        <v>466468</v>
      </c>
      <c r="D10" s="348">
        <v>484890</v>
      </c>
      <c r="E10" s="348">
        <v>503447</v>
      </c>
      <c r="F10" s="348">
        <v>534642</v>
      </c>
      <c r="G10" s="348">
        <v>546000</v>
      </c>
      <c r="H10" s="348">
        <v>561884</v>
      </c>
      <c r="I10" s="348">
        <v>551846</v>
      </c>
      <c r="J10" s="348">
        <v>554585</v>
      </c>
      <c r="K10" s="348">
        <v>598036</v>
      </c>
      <c r="L10" s="348">
        <v>622620</v>
      </c>
      <c r="M10" s="466"/>
    </row>
    <row r="11" spans="1:13" ht="15" customHeight="1">
      <c r="A11" s="661" t="s">
        <v>556</v>
      </c>
      <c r="B11" s="348">
        <v>11107</v>
      </c>
      <c r="C11" s="348">
        <v>11285</v>
      </c>
      <c r="D11" s="348">
        <v>11800</v>
      </c>
      <c r="E11" s="348">
        <v>12071</v>
      </c>
      <c r="F11" s="348">
        <v>13249.000000000002</v>
      </c>
      <c r="G11" s="348">
        <v>13543.999999999998</v>
      </c>
      <c r="H11" s="348">
        <v>13822.999999999998</v>
      </c>
      <c r="I11" s="348">
        <v>13398</v>
      </c>
      <c r="J11" s="348">
        <v>13653</v>
      </c>
      <c r="K11" s="348">
        <v>14446</v>
      </c>
      <c r="L11" s="348">
        <v>14953</v>
      </c>
      <c r="M11" s="466"/>
    </row>
    <row r="12" spans="1:13" ht="15" customHeight="1">
      <c r="A12" s="661" t="s">
        <v>557</v>
      </c>
      <c r="B12" s="348">
        <v>98223.000000000015</v>
      </c>
      <c r="C12" s="348">
        <v>102491</v>
      </c>
      <c r="D12" s="348">
        <v>106598</v>
      </c>
      <c r="E12" s="348">
        <v>110512</v>
      </c>
      <c r="F12" s="348">
        <v>114101</v>
      </c>
      <c r="G12" s="348">
        <v>116671</v>
      </c>
      <c r="H12" s="348">
        <v>116470.00000000001</v>
      </c>
      <c r="I12" s="348">
        <v>116377</v>
      </c>
      <c r="J12" s="348">
        <v>120140</v>
      </c>
      <c r="K12" s="348">
        <v>126317.99999999999</v>
      </c>
      <c r="L12" s="348">
        <v>130339.99999999999</v>
      </c>
      <c r="M12" s="466"/>
    </row>
    <row r="13" spans="1:13" ht="15" customHeight="1">
      <c r="A13" s="661" t="s">
        <v>558</v>
      </c>
      <c r="B13" s="348">
        <v>30393</v>
      </c>
      <c r="C13" s="348">
        <v>30403.000000000004</v>
      </c>
      <c r="D13" s="348">
        <v>31414</v>
      </c>
      <c r="E13" s="348">
        <v>32095.000000000004</v>
      </c>
      <c r="F13" s="348">
        <v>32842</v>
      </c>
      <c r="G13" s="348">
        <v>33778.999999999993</v>
      </c>
      <c r="H13" s="348">
        <v>33925</v>
      </c>
      <c r="I13" s="348">
        <v>34875.000000000007</v>
      </c>
      <c r="J13" s="348">
        <v>35549.000000000007</v>
      </c>
      <c r="K13" s="348">
        <v>37314</v>
      </c>
      <c r="L13" s="348">
        <v>39343</v>
      </c>
      <c r="M13" s="466"/>
    </row>
    <row r="14" spans="1:13" ht="15" customHeight="1">
      <c r="A14" s="661" t="s">
        <v>559</v>
      </c>
      <c r="B14" s="348">
        <v>15209.999999999998</v>
      </c>
      <c r="C14" s="348">
        <v>15696.999999999998</v>
      </c>
      <c r="D14" s="348">
        <v>16254.999999999998</v>
      </c>
      <c r="E14" s="348">
        <v>16766</v>
      </c>
      <c r="F14" s="348">
        <v>17138.000000000004</v>
      </c>
      <c r="G14" s="348">
        <v>17559</v>
      </c>
      <c r="H14" s="348">
        <v>17617</v>
      </c>
      <c r="I14" s="348">
        <v>18107</v>
      </c>
      <c r="J14" s="348">
        <v>18404</v>
      </c>
      <c r="K14" s="348">
        <v>18853</v>
      </c>
      <c r="L14" s="348">
        <v>19591</v>
      </c>
      <c r="M14" s="466"/>
    </row>
    <row r="15" spans="1:13" ht="15" customHeight="1">
      <c r="A15" s="17" t="s">
        <v>560</v>
      </c>
      <c r="B15" s="347">
        <v>375479.00000000012</v>
      </c>
      <c r="C15" s="347">
        <v>385062.00000000006</v>
      </c>
      <c r="D15" s="347">
        <v>394749.00000000006</v>
      </c>
      <c r="E15" s="347">
        <v>407291</v>
      </c>
      <c r="F15" s="347">
        <v>423923.00000000012</v>
      </c>
      <c r="G15" s="347">
        <v>439199</v>
      </c>
      <c r="H15" s="347">
        <v>442560.99999999988</v>
      </c>
      <c r="I15" s="347">
        <v>444343.99999999994</v>
      </c>
      <c r="J15" s="347">
        <v>445473.00000000006</v>
      </c>
      <c r="K15" s="347">
        <v>473399</v>
      </c>
      <c r="L15" s="347">
        <v>490775.99999999988</v>
      </c>
      <c r="M15" s="466"/>
    </row>
    <row r="16" spans="1:13" ht="15" customHeight="1">
      <c r="A16" s="661" t="s">
        <v>561</v>
      </c>
      <c r="B16" s="348">
        <v>94576</v>
      </c>
      <c r="C16" s="348">
        <v>98368.000000000015</v>
      </c>
      <c r="D16" s="348">
        <v>101027</v>
      </c>
      <c r="E16" s="348">
        <v>106482</v>
      </c>
      <c r="F16" s="348">
        <v>111036</v>
      </c>
      <c r="G16" s="348">
        <v>117298</v>
      </c>
      <c r="H16" s="348">
        <v>118388.99999999999</v>
      </c>
      <c r="I16" s="348">
        <v>119180</v>
      </c>
      <c r="J16" s="348">
        <v>117165.99999999999</v>
      </c>
      <c r="K16" s="348">
        <v>127100</v>
      </c>
      <c r="L16" s="348">
        <v>131410.00000000003</v>
      </c>
      <c r="M16" s="466"/>
    </row>
    <row r="17" spans="1:17" ht="15" customHeight="1">
      <c r="A17" s="661" t="s">
        <v>562</v>
      </c>
      <c r="B17" s="348">
        <v>92022.000000000015</v>
      </c>
      <c r="C17" s="348">
        <v>91037</v>
      </c>
      <c r="D17" s="348">
        <v>93998.000000000015</v>
      </c>
      <c r="E17" s="348">
        <v>95633</v>
      </c>
      <c r="F17" s="348">
        <v>100266.00000000001</v>
      </c>
      <c r="G17" s="348">
        <v>101543</v>
      </c>
      <c r="H17" s="348">
        <v>102855.99999999999</v>
      </c>
      <c r="I17" s="348">
        <v>103974.99999999999</v>
      </c>
      <c r="J17" s="348">
        <v>104161.00000000001</v>
      </c>
      <c r="K17" s="348">
        <v>111437</v>
      </c>
      <c r="L17" s="348">
        <v>114228</v>
      </c>
      <c r="M17" s="466"/>
    </row>
    <row r="18" spans="1:17" ht="15" customHeight="1">
      <c r="A18" s="661" t="s">
        <v>563</v>
      </c>
      <c r="B18" s="348">
        <v>77335</v>
      </c>
      <c r="C18" s="348">
        <v>81138</v>
      </c>
      <c r="D18" s="348">
        <v>83217</v>
      </c>
      <c r="E18" s="348">
        <v>86265</v>
      </c>
      <c r="F18" s="348">
        <v>89775</v>
      </c>
      <c r="G18" s="348">
        <v>91777</v>
      </c>
      <c r="H18" s="348">
        <v>92356.999999999985</v>
      </c>
      <c r="I18" s="348">
        <v>92504</v>
      </c>
      <c r="J18" s="348">
        <v>94709.000000000015</v>
      </c>
      <c r="K18" s="348">
        <v>98098</v>
      </c>
      <c r="L18" s="348">
        <v>101701</v>
      </c>
      <c r="M18" s="466"/>
    </row>
    <row r="19" spans="1:17" ht="15" customHeight="1">
      <c r="A19" s="661" t="s">
        <v>564</v>
      </c>
      <c r="B19" s="348">
        <v>53553</v>
      </c>
      <c r="C19" s="348">
        <v>54665</v>
      </c>
      <c r="D19" s="348">
        <v>56306</v>
      </c>
      <c r="E19" s="348">
        <v>58117.000000000007</v>
      </c>
      <c r="F19" s="348">
        <v>60427.000000000007</v>
      </c>
      <c r="G19" s="348">
        <v>63457.999999999993</v>
      </c>
      <c r="H19" s="348">
        <v>65071</v>
      </c>
      <c r="I19" s="348">
        <v>64891</v>
      </c>
      <c r="J19" s="348">
        <v>65303</v>
      </c>
      <c r="K19" s="348">
        <v>69493</v>
      </c>
      <c r="L19" s="348">
        <v>72453</v>
      </c>
      <c r="M19" s="466"/>
    </row>
    <row r="20" spans="1:17" ht="15" customHeight="1">
      <c r="A20" s="661" t="s">
        <v>565</v>
      </c>
      <c r="B20" s="348">
        <v>18295</v>
      </c>
      <c r="C20" s="348">
        <v>19205</v>
      </c>
      <c r="D20" s="348">
        <v>18862</v>
      </c>
      <c r="E20" s="348">
        <v>18976</v>
      </c>
      <c r="F20" s="348">
        <v>19074</v>
      </c>
      <c r="G20" s="348">
        <v>20595</v>
      </c>
      <c r="H20" s="348">
        <v>20454</v>
      </c>
      <c r="I20" s="348">
        <v>20429</v>
      </c>
      <c r="J20" s="348">
        <v>20093</v>
      </c>
      <c r="K20" s="348">
        <v>21005</v>
      </c>
      <c r="L20" s="348">
        <v>21994</v>
      </c>
      <c r="M20" s="466"/>
    </row>
    <row r="21" spans="1:17" ht="15" customHeight="1">
      <c r="A21" s="661" t="s">
        <v>566</v>
      </c>
      <c r="B21" s="348">
        <v>39698.000000000007</v>
      </c>
      <c r="C21" s="348">
        <v>40649</v>
      </c>
      <c r="D21" s="348">
        <v>41339</v>
      </c>
      <c r="E21" s="348">
        <v>41818.000000000007</v>
      </c>
      <c r="F21" s="348">
        <v>43345</v>
      </c>
      <c r="G21" s="348">
        <v>44527.999999999993</v>
      </c>
      <c r="H21" s="348">
        <v>43434.000000000007</v>
      </c>
      <c r="I21" s="348">
        <v>43365</v>
      </c>
      <c r="J21" s="348">
        <v>44041.000000000007</v>
      </c>
      <c r="K21" s="348">
        <v>46266</v>
      </c>
      <c r="L21" s="348">
        <v>48989.999999999993</v>
      </c>
      <c r="M21" s="466"/>
    </row>
    <row r="22" spans="1:17" s="20" customFormat="1" ht="15" customHeight="1">
      <c r="A22" s="17" t="s">
        <v>567</v>
      </c>
      <c r="B22" s="347">
        <v>167401.00000000006</v>
      </c>
      <c r="C22" s="347">
        <v>172345.99999999997</v>
      </c>
      <c r="D22" s="347">
        <v>176637</v>
      </c>
      <c r="E22" s="347">
        <v>181245.00000000003</v>
      </c>
      <c r="F22" s="347">
        <v>192179</v>
      </c>
      <c r="G22" s="347">
        <v>203271.00000000003</v>
      </c>
      <c r="H22" s="347">
        <v>207475</v>
      </c>
      <c r="I22" s="347">
        <v>207244</v>
      </c>
      <c r="J22" s="347">
        <v>205139.99999999994</v>
      </c>
      <c r="K22" s="347">
        <v>217876.00000000006</v>
      </c>
      <c r="L22" s="347">
        <v>228581.00000000006</v>
      </c>
      <c r="M22" s="466"/>
      <c r="O22" s="4"/>
      <c r="P22" s="4"/>
      <c r="Q22" s="4"/>
    </row>
    <row r="23" spans="1:17" ht="15" customHeight="1">
      <c r="A23" s="661" t="s">
        <v>568</v>
      </c>
      <c r="B23" s="348">
        <v>72876.000000000015</v>
      </c>
      <c r="C23" s="348">
        <v>76041</v>
      </c>
      <c r="D23" s="348">
        <v>78135</v>
      </c>
      <c r="E23" s="348">
        <v>80561</v>
      </c>
      <c r="F23" s="348">
        <v>85296.999999999985</v>
      </c>
      <c r="G23" s="348">
        <v>93248</v>
      </c>
      <c r="H23" s="348">
        <v>94993</v>
      </c>
      <c r="I23" s="348">
        <v>93635</v>
      </c>
      <c r="J23" s="348">
        <v>91960</v>
      </c>
      <c r="K23" s="348">
        <v>97506</v>
      </c>
      <c r="L23" s="348">
        <v>103758</v>
      </c>
    </row>
    <row r="24" spans="1:17" ht="17.45" customHeight="1">
      <c r="A24" s="661" t="s">
        <v>569</v>
      </c>
      <c r="B24" s="348">
        <v>45178</v>
      </c>
      <c r="C24" s="348">
        <v>45874.999999999993</v>
      </c>
      <c r="D24" s="348">
        <v>47312</v>
      </c>
      <c r="E24" s="348">
        <v>47227.000000000007</v>
      </c>
      <c r="F24" s="348">
        <v>49621</v>
      </c>
      <c r="G24" s="348">
        <v>50555</v>
      </c>
      <c r="H24" s="348">
        <v>51812</v>
      </c>
      <c r="I24" s="348">
        <v>50877</v>
      </c>
      <c r="J24" s="348">
        <v>50282</v>
      </c>
      <c r="K24" s="348">
        <v>53904.000000000007</v>
      </c>
      <c r="L24" s="348">
        <v>55728</v>
      </c>
    </row>
    <row r="25" spans="1:17" ht="17.45" customHeight="1">
      <c r="A25" s="661" t="s">
        <v>570</v>
      </c>
      <c r="B25" s="348">
        <v>49347</v>
      </c>
      <c r="C25" s="348">
        <v>50430.000000000007</v>
      </c>
      <c r="D25" s="348">
        <v>51190</v>
      </c>
      <c r="E25" s="348">
        <v>53456.999999999993</v>
      </c>
      <c r="F25" s="348">
        <v>57260.999999999993</v>
      </c>
      <c r="G25" s="348">
        <v>59468</v>
      </c>
      <c r="H25" s="348">
        <v>60669.999999999993</v>
      </c>
      <c r="I25" s="348">
        <v>62731.999999999993</v>
      </c>
      <c r="J25" s="348">
        <v>62898</v>
      </c>
      <c r="K25" s="348">
        <v>66465.999999999985</v>
      </c>
      <c r="L25" s="348">
        <v>69095</v>
      </c>
    </row>
    <row r="26" spans="1:17" ht="17.45" customHeight="1">
      <c r="A26" s="17" t="s">
        <v>571</v>
      </c>
      <c r="B26" s="347">
        <v>656569.99999999988</v>
      </c>
      <c r="C26" s="347">
        <v>677265</v>
      </c>
      <c r="D26" s="347">
        <v>692513</v>
      </c>
      <c r="E26" s="347">
        <v>728120</v>
      </c>
      <c r="F26" s="347">
        <v>753266.00000000012</v>
      </c>
      <c r="G26" s="347">
        <v>788380.00000000012</v>
      </c>
      <c r="H26" s="347">
        <v>807855</v>
      </c>
      <c r="I26" s="347">
        <v>797460</v>
      </c>
      <c r="J26" s="347">
        <v>801493</v>
      </c>
      <c r="K26" s="347">
        <v>875584</v>
      </c>
      <c r="L26" s="347">
        <v>928991</v>
      </c>
    </row>
    <row r="27" spans="1:17" ht="17.45" customHeight="1">
      <c r="A27" s="17" t="s">
        <v>572</v>
      </c>
      <c r="B27" s="347">
        <v>119320</v>
      </c>
      <c r="C27" s="347">
        <v>120734</v>
      </c>
      <c r="D27" s="347">
        <v>123784.00000000001</v>
      </c>
      <c r="E27" s="347">
        <v>127295</v>
      </c>
      <c r="F27" s="347">
        <v>134832.00000000003</v>
      </c>
      <c r="G27" s="347">
        <v>143332</v>
      </c>
      <c r="H27" s="347">
        <v>147144.00000000003</v>
      </c>
      <c r="I27" s="347">
        <v>146898</v>
      </c>
      <c r="J27" s="347">
        <v>148398</v>
      </c>
      <c r="K27" s="347">
        <v>158898</v>
      </c>
      <c r="L27" s="347">
        <v>163331</v>
      </c>
    </row>
    <row r="28" spans="1:17" ht="17.45" customHeight="1">
      <c r="A28" s="17" t="s">
        <v>573</v>
      </c>
      <c r="B28" s="347">
        <v>92817</v>
      </c>
      <c r="C28" s="347">
        <v>94632.999999999971</v>
      </c>
      <c r="D28" s="347">
        <v>98629.999999999985</v>
      </c>
      <c r="E28" s="347">
        <v>102620</v>
      </c>
      <c r="F28" s="347">
        <v>106989.99999999999</v>
      </c>
      <c r="G28" s="347">
        <v>110648.00000000001</v>
      </c>
      <c r="H28" s="347">
        <v>112693</v>
      </c>
      <c r="I28" s="347">
        <v>115844.99999999997</v>
      </c>
      <c r="J28" s="347">
        <v>116079.00000000004</v>
      </c>
      <c r="K28" s="347">
        <v>125145.00000000001</v>
      </c>
      <c r="L28" s="347">
        <v>131628.99999999994</v>
      </c>
    </row>
    <row r="29" spans="1:17" ht="17.45" customHeight="1">
      <c r="A29" s="661" t="s">
        <v>574</v>
      </c>
      <c r="B29" s="348">
        <v>20360</v>
      </c>
      <c r="C29" s="348">
        <v>20669</v>
      </c>
      <c r="D29" s="348">
        <v>22067</v>
      </c>
      <c r="E29" s="348">
        <v>23455</v>
      </c>
      <c r="F29" s="348">
        <v>25004</v>
      </c>
      <c r="G29" s="348">
        <v>26593</v>
      </c>
      <c r="H29" s="348">
        <v>28106</v>
      </c>
      <c r="I29" s="348">
        <v>31575</v>
      </c>
      <c r="J29" s="348">
        <v>31890</v>
      </c>
      <c r="K29" s="348">
        <v>34475</v>
      </c>
      <c r="L29" s="348">
        <v>36327</v>
      </c>
    </row>
    <row r="30" spans="1:17" ht="17.45" customHeight="1">
      <c r="A30" s="661" t="s">
        <v>575</v>
      </c>
      <c r="B30" s="348">
        <v>22085.999999999996</v>
      </c>
      <c r="C30" s="348">
        <v>22425.999999999996</v>
      </c>
      <c r="D30" s="348">
        <v>23238.999999999996</v>
      </c>
      <c r="E30" s="348">
        <v>23619.000000000004</v>
      </c>
      <c r="F30" s="348">
        <v>25024</v>
      </c>
      <c r="G30" s="348">
        <v>25408</v>
      </c>
      <c r="H30" s="348">
        <v>25504</v>
      </c>
      <c r="I30" s="348">
        <v>25388.999999999996</v>
      </c>
      <c r="J30" s="348">
        <v>25463.000000000004</v>
      </c>
      <c r="K30" s="348">
        <v>28355.999999999996</v>
      </c>
      <c r="L30" s="348">
        <v>29927.999999999993</v>
      </c>
    </row>
    <row r="31" spans="1:17" ht="17.45" customHeight="1">
      <c r="A31" s="661" t="s">
        <v>576</v>
      </c>
      <c r="B31" s="348">
        <v>18653.000000000004</v>
      </c>
      <c r="C31" s="348">
        <v>19009</v>
      </c>
      <c r="D31" s="348">
        <v>19293</v>
      </c>
      <c r="E31" s="348">
        <v>20176.000000000004</v>
      </c>
      <c r="F31" s="348">
        <v>20664</v>
      </c>
      <c r="G31" s="348">
        <v>20619.999999999996</v>
      </c>
      <c r="H31" s="348">
        <v>20826</v>
      </c>
      <c r="I31" s="348">
        <v>21098</v>
      </c>
      <c r="J31" s="348">
        <v>20537</v>
      </c>
      <c r="K31" s="348">
        <v>21623.000000000007</v>
      </c>
      <c r="L31" s="348">
        <v>22968</v>
      </c>
    </row>
    <row r="32" spans="1:17" ht="17.45" customHeight="1">
      <c r="A32" s="661" t="s">
        <v>577</v>
      </c>
      <c r="B32" s="348">
        <v>31718.000000000004</v>
      </c>
      <c r="C32" s="348">
        <v>32529</v>
      </c>
      <c r="D32" s="348">
        <v>34030.999999999993</v>
      </c>
      <c r="E32" s="348">
        <v>35370</v>
      </c>
      <c r="F32" s="348">
        <v>36298.000000000007</v>
      </c>
      <c r="G32" s="348">
        <v>38027.000000000015</v>
      </c>
      <c r="H32" s="348">
        <v>38257</v>
      </c>
      <c r="I32" s="348">
        <v>37783</v>
      </c>
      <c r="J32" s="348">
        <v>38189</v>
      </c>
      <c r="K32" s="348">
        <v>40691</v>
      </c>
      <c r="L32" s="348">
        <v>42405.999999999993</v>
      </c>
    </row>
    <row r="33" spans="1:17" ht="17.45" customHeight="1">
      <c r="A33" s="19" t="s">
        <v>578</v>
      </c>
      <c r="B33" s="663">
        <v>104938</v>
      </c>
      <c r="C33" s="663">
        <v>109922</v>
      </c>
      <c r="D33" s="663">
        <v>117234</v>
      </c>
      <c r="E33" s="663">
        <v>125989.99999999999</v>
      </c>
      <c r="F33" s="663">
        <v>135848</v>
      </c>
      <c r="G33" s="663">
        <v>144110</v>
      </c>
      <c r="H33" s="663">
        <v>149611</v>
      </c>
      <c r="I33" s="663">
        <v>133943.99999999997</v>
      </c>
      <c r="J33" s="663">
        <v>137936</v>
      </c>
      <c r="K33" s="663">
        <v>154669.99999999997</v>
      </c>
      <c r="L33" s="663">
        <v>166794.00000000003</v>
      </c>
      <c r="O33" s="20"/>
      <c r="P33" s="20"/>
      <c r="Q33" s="20"/>
    </row>
    <row r="34" spans="1:17" ht="17.45" customHeight="1">
      <c r="A34" s="21" t="s">
        <v>138</v>
      </c>
      <c r="C34" s="18"/>
      <c r="D34" s="18"/>
      <c r="E34" s="18"/>
      <c r="F34" s="18"/>
      <c r="G34" s="18"/>
      <c r="H34" s="18"/>
      <c r="I34" s="18"/>
      <c r="J34" s="18"/>
      <c r="K34" s="18"/>
      <c r="L34" s="18"/>
    </row>
  </sheetData>
  <mergeCells count="1">
    <mergeCell ref="A1:L1"/>
  </mergeCells>
  <conditionalFormatting sqref="A1 A35:E1048576 M1:N61 R1:XFD61 M62:XFD1048576">
    <cfRule type="cellIs" dxfId="805" priority="26" operator="equal">
      <formula>0</formula>
    </cfRule>
    <cfRule type="cellIs" priority="27" operator="equal">
      <formula>0</formula>
    </cfRule>
  </conditionalFormatting>
  <conditionalFormatting sqref="M4:N4">
    <cfRule type="cellIs" dxfId="804" priority="25" operator="equal">
      <formula>0</formula>
    </cfRule>
  </conditionalFormatting>
  <conditionalFormatting sqref="M4:N4">
    <cfRule type="containsText" dxfId="803" priority="24" operator="containsText" text="FALSO">
      <formula>NOT(ISERROR(SEARCH("FALSO",M4)))</formula>
    </cfRule>
  </conditionalFormatting>
  <conditionalFormatting sqref="H35:H1048576">
    <cfRule type="cellIs" dxfId="802" priority="22" operator="equal">
      <formula>0</formula>
    </cfRule>
    <cfRule type="cellIs" priority="23" operator="equal">
      <formula>0</formula>
    </cfRule>
  </conditionalFormatting>
  <conditionalFormatting sqref="F35:F1048576">
    <cfRule type="cellIs" dxfId="801" priority="20" operator="equal">
      <formula>0</formula>
    </cfRule>
    <cfRule type="cellIs" priority="21" operator="equal">
      <formula>0</formula>
    </cfRule>
  </conditionalFormatting>
  <conditionalFormatting sqref="G35:G1048576">
    <cfRule type="cellIs" dxfId="800" priority="18" operator="equal">
      <formula>0</formula>
    </cfRule>
    <cfRule type="cellIs" priority="19" operator="equal">
      <formula>0</formula>
    </cfRule>
  </conditionalFormatting>
  <conditionalFormatting sqref="I35:I1048576">
    <cfRule type="cellIs" dxfId="799" priority="16" operator="equal">
      <formula>0</formula>
    </cfRule>
    <cfRule type="cellIs" priority="17" operator="equal">
      <formula>0</formula>
    </cfRule>
  </conditionalFormatting>
  <conditionalFormatting sqref="K35:K1048576">
    <cfRule type="cellIs" dxfId="798" priority="12" operator="equal">
      <formula>0</formula>
    </cfRule>
    <cfRule type="cellIs" priority="13" operator="equal">
      <formula>0</formula>
    </cfRule>
  </conditionalFormatting>
  <conditionalFormatting sqref="J35:J1048576">
    <cfRule type="cellIs" dxfId="797" priority="14" operator="equal">
      <formula>0</formula>
    </cfRule>
    <cfRule type="cellIs" priority="15" operator="equal">
      <formula>0</formula>
    </cfRule>
  </conditionalFormatting>
  <conditionalFormatting sqref="L35:L1048576">
    <cfRule type="cellIs" dxfId="796" priority="10" operator="equal">
      <formula>0</formula>
    </cfRule>
    <cfRule type="cellIs" priority="11" operator="equal">
      <formula>0</formula>
    </cfRule>
  </conditionalFormatting>
  <conditionalFormatting sqref="C34:D34 B5:L33">
    <cfRule type="cellIs" dxfId="795" priority="9" operator="equal">
      <formula>0</formula>
    </cfRule>
  </conditionalFormatting>
  <conditionalFormatting sqref="E34">
    <cfRule type="cellIs" dxfId="794" priority="8" operator="equal">
      <formula>0</formula>
    </cfRule>
  </conditionalFormatting>
  <conditionalFormatting sqref="H34">
    <cfRule type="cellIs" dxfId="793" priority="7" operator="equal">
      <formula>0</formula>
    </cfRule>
  </conditionalFormatting>
  <conditionalFormatting sqref="F34">
    <cfRule type="cellIs" dxfId="792" priority="6" operator="equal">
      <formula>0</formula>
    </cfRule>
  </conditionalFormatting>
  <conditionalFormatting sqref="G34">
    <cfRule type="cellIs" dxfId="791" priority="5" operator="equal">
      <formula>0</formula>
    </cfRule>
  </conditionalFormatting>
  <conditionalFormatting sqref="I34">
    <cfRule type="cellIs" dxfId="790" priority="4" operator="equal">
      <formula>0</formula>
    </cfRule>
  </conditionalFormatting>
  <conditionalFormatting sqref="J34">
    <cfRule type="cellIs" dxfId="789" priority="3" operator="equal">
      <formula>0</formula>
    </cfRule>
  </conditionalFormatting>
  <conditionalFormatting sqref="K34">
    <cfRule type="cellIs" dxfId="788" priority="2" operator="equal">
      <formula>0</formula>
    </cfRule>
  </conditionalFormatting>
  <conditionalFormatting sqref="L34">
    <cfRule type="cellIs" dxfId="78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4" orientation="portrait" r:id="rId1"/>
  <headerFooter>
    <oddHeader xml:space="preserve">&amp;C&amp;G
</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tabColor indexed="25"/>
    <pageSetUpPr fitToPage="1"/>
  </sheetPr>
  <dimension ref="A1:P47"/>
  <sheetViews>
    <sheetView showGridLines="0" zoomScaleNormal="100" workbookViewId="0">
      <selection sqref="A1:M1"/>
    </sheetView>
  </sheetViews>
  <sheetFormatPr defaultColWidth="17.28515625" defaultRowHeight="11.25"/>
  <cols>
    <col min="1" max="1" width="14.7109375" style="61" customWidth="1"/>
    <col min="2" max="2" width="2.42578125" style="125" bestFit="1" customWidth="1"/>
    <col min="3" max="13" width="7.5703125" style="61" customWidth="1"/>
    <col min="14" max="15" width="7.85546875" style="61" customWidth="1"/>
    <col min="16" max="16384" width="17.28515625" style="61"/>
  </cols>
  <sheetData>
    <row r="1" spans="1:16" s="120" customFormat="1" ht="28.5" customHeight="1">
      <c r="A1" s="778" t="s">
        <v>650</v>
      </c>
      <c r="B1" s="778"/>
      <c r="C1" s="778"/>
      <c r="D1" s="778"/>
      <c r="E1" s="778"/>
      <c r="F1" s="778"/>
      <c r="G1" s="778"/>
      <c r="H1" s="778"/>
      <c r="I1" s="778"/>
      <c r="J1" s="778"/>
      <c r="K1" s="778"/>
      <c r="L1" s="778"/>
      <c r="M1" s="778"/>
    </row>
    <row r="2" spans="1:16" s="121" customFormat="1" ht="15" customHeight="1">
      <c r="A2" s="187"/>
      <c r="B2" s="188"/>
      <c r="C2" s="189"/>
      <c r="D2" s="187"/>
      <c r="E2" s="187"/>
      <c r="F2" s="187"/>
      <c r="G2" s="187"/>
      <c r="H2" s="187"/>
      <c r="I2" s="187"/>
      <c r="J2" s="187"/>
      <c r="K2" s="187"/>
      <c r="L2" s="187"/>
      <c r="M2" s="187"/>
    </row>
    <row r="3" spans="1:16" s="121" customFormat="1" ht="15" customHeight="1">
      <c r="A3" s="187" t="s">
        <v>14</v>
      </c>
      <c r="B3" s="188"/>
      <c r="C3" s="189"/>
      <c r="D3" s="187"/>
      <c r="E3" s="187"/>
      <c r="F3" s="187"/>
      <c r="G3" s="187"/>
      <c r="H3" s="187"/>
      <c r="I3" s="187"/>
      <c r="J3" s="187"/>
      <c r="K3" s="187"/>
      <c r="L3" s="187"/>
      <c r="M3" s="187"/>
    </row>
    <row r="4" spans="1:16" s="122" customFormat="1" ht="28.5" customHeight="1" thickBot="1">
      <c r="A4" s="69"/>
      <c r="B4" s="69"/>
      <c r="C4" s="69">
        <v>2013</v>
      </c>
      <c r="D4" s="69">
        <v>2014</v>
      </c>
      <c r="E4" s="69">
        <v>2015</v>
      </c>
      <c r="F4" s="69">
        <v>2016</v>
      </c>
      <c r="G4" s="69">
        <v>2017</v>
      </c>
      <c r="H4" s="69">
        <v>2018</v>
      </c>
      <c r="I4" s="69">
        <v>2019</v>
      </c>
      <c r="J4" s="69">
        <v>2020</v>
      </c>
      <c r="K4" s="69">
        <v>2021</v>
      </c>
      <c r="L4" s="69">
        <v>2022</v>
      </c>
      <c r="M4" s="69">
        <v>2023</v>
      </c>
    </row>
    <row r="5" spans="1:16" s="123" customFormat="1" ht="16.5" customHeight="1" thickTop="1">
      <c r="A5" s="54" t="s">
        <v>12</v>
      </c>
      <c r="B5" s="54" t="s">
        <v>45</v>
      </c>
      <c r="C5" s="365">
        <v>2384121</v>
      </c>
      <c r="D5" s="365">
        <v>2458163</v>
      </c>
      <c r="E5" s="365">
        <v>2537653</v>
      </c>
      <c r="F5" s="365">
        <v>2641919</v>
      </c>
      <c r="G5" s="365">
        <v>2767521</v>
      </c>
      <c r="H5" s="365">
        <v>2877918</v>
      </c>
      <c r="I5" s="365">
        <v>2930482</v>
      </c>
      <c r="J5" s="365">
        <v>2902825</v>
      </c>
      <c r="K5" s="365">
        <v>2922343</v>
      </c>
      <c r="L5" s="365">
        <v>3148147</v>
      </c>
      <c r="M5" s="365">
        <v>3296134</v>
      </c>
      <c r="N5" s="122"/>
      <c r="O5" s="436"/>
    </row>
    <row r="6" spans="1:16" s="123" customFormat="1" ht="12.75" customHeight="1">
      <c r="A6" s="54"/>
      <c r="B6" s="54" t="s">
        <v>53</v>
      </c>
      <c r="C6" s="364">
        <v>1242007</v>
      </c>
      <c r="D6" s="364">
        <v>1278921</v>
      </c>
      <c r="E6" s="364">
        <v>1311721</v>
      </c>
      <c r="F6" s="364">
        <v>1367705</v>
      </c>
      <c r="G6" s="364">
        <v>1437729</v>
      </c>
      <c r="H6" s="364">
        <v>1499993</v>
      </c>
      <c r="I6" s="364">
        <v>1529276</v>
      </c>
      <c r="J6" s="364">
        <v>1526297</v>
      </c>
      <c r="K6" s="364">
        <v>1530240</v>
      </c>
      <c r="L6" s="364">
        <v>1653917</v>
      </c>
      <c r="M6" s="364">
        <v>1743311</v>
      </c>
      <c r="N6" s="122"/>
      <c r="O6" s="122"/>
    </row>
    <row r="7" spans="1:16" s="123" customFormat="1" ht="12.75" customHeight="1">
      <c r="A7" s="54"/>
      <c r="B7" s="54" t="s">
        <v>54</v>
      </c>
      <c r="C7" s="364">
        <v>1142114</v>
      </c>
      <c r="D7" s="364">
        <v>1179242</v>
      </c>
      <c r="E7" s="364">
        <v>1225932</v>
      </c>
      <c r="F7" s="364">
        <v>1274214</v>
      </c>
      <c r="G7" s="364">
        <v>1329792</v>
      </c>
      <c r="H7" s="364">
        <v>1377925</v>
      </c>
      <c r="I7" s="364">
        <v>1401206</v>
      </c>
      <c r="J7" s="364">
        <v>1376528</v>
      </c>
      <c r="K7" s="364">
        <v>1392103</v>
      </c>
      <c r="L7" s="364">
        <v>1494230</v>
      </c>
      <c r="M7" s="364">
        <v>1552823</v>
      </c>
      <c r="N7" s="122"/>
      <c r="O7" s="122"/>
    </row>
    <row r="8" spans="1:16" s="124" customFormat="1" ht="16.5" customHeight="1">
      <c r="A8" s="56" t="s">
        <v>55</v>
      </c>
      <c r="B8" s="54" t="s">
        <v>45</v>
      </c>
      <c r="C8" s="364">
        <v>821</v>
      </c>
      <c r="D8" s="364">
        <v>687</v>
      </c>
      <c r="E8" s="364">
        <v>676</v>
      </c>
      <c r="F8" s="364">
        <v>865</v>
      </c>
      <c r="G8" s="364">
        <v>1270</v>
      </c>
      <c r="H8" s="364">
        <v>1466</v>
      </c>
      <c r="I8" s="364">
        <v>1544</v>
      </c>
      <c r="J8" s="364">
        <v>646</v>
      </c>
      <c r="K8" s="364">
        <v>995</v>
      </c>
      <c r="L8" s="364">
        <v>1420</v>
      </c>
      <c r="M8" s="364">
        <v>1132</v>
      </c>
      <c r="N8" s="122"/>
      <c r="O8" s="122"/>
    </row>
    <row r="9" spans="1:16" s="124" customFormat="1" ht="12.75" customHeight="1">
      <c r="A9" s="57"/>
      <c r="B9" s="58" t="s">
        <v>53</v>
      </c>
      <c r="C9" s="366">
        <v>504</v>
      </c>
      <c r="D9" s="366">
        <v>378</v>
      </c>
      <c r="E9" s="366">
        <v>357</v>
      </c>
      <c r="F9" s="366">
        <v>497</v>
      </c>
      <c r="G9" s="366">
        <v>714</v>
      </c>
      <c r="H9" s="366">
        <v>775</v>
      </c>
      <c r="I9" s="366">
        <v>811</v>
      </c>
      <c r="J9" s="366">
        <v>404</v>
      </c>
      <c r="K9" s="366">
        <v>568</v>
      </c>
      <c r="L9" s="366">
        <v>802</v>
      </c>
      <c r="M9" s="366">
        <v>648</v>
      </c>
      <c r="N9" s="122"/>
      <c r="O9" s="436"/>
    </row>
    <row r="10" spans="1:16" s="124" customFormat="1" ht="12.75" customHeight="1">
      <c r="A10" s="56"/>
      <c r="B10" s="58" t="s">
        <v>54</v>
      </c>
      <c r="C10" s="366">
        <v>317</v>
      </c>
      <c r="D10" s="366">
        <v>309</v>
      </c>
      <c r="E10" s="366">
        <v>319</v>
      </c>
      <c r="F10" s="366">
        <v>368</v>
      </c>
      <c r="G10" s="366">
        <v>556</v>
      </c>
      <c r="H10" s="366">
        <v>691</v>
      </c>
      <c r="I10" s="366">
        <v>733</v>
      </c>
      <c r="J10" s="366">
        <v>242</v>
      </c>
      <c r="K10" s="366">
        <v>427</v>
      </c>
      <c r="L10" s="366">
        <v>618</v>
      </c>
      <c r="M10" s="366">
        <v>484</v>
      </c>
      <c r="N10" s="218"/>
      <c r="O10" s="122"/>
    </row>
    <row r="11" spans="1:16" s="124" customFormat="1" ht="16.5" customHeight="1">
      <c r="A11" s="56" t="s">
        <v>56</v>
      </c>
      <c r="B11" s="54" t="s">
        <v>45</v>
      </c>
      <c r="C11" s="364">
        <v>172324</v>
      </c>
      <c r="D11" s="364">
        <v>181616</v>
      </c>
      <c r="E11" s="364">
        <v>194897</v>
      </c>
      <c r="F11" s="364">
        <v>210709</v>
      </c>
      <c r="G11" s="364">
        <v>235752</v>
      </c>
      <c r="H11" s="364">
        <v>254057</v>
      </c>
      <c r="I11" s="364">
        <v>264849</v>
      </c>
      <c r="J11" s="364">
        <v>236534</v>
      </c>
      <c r="K11" s="364">
        <v>243610</v>
      </c>
      <c r="L11" s="364">
        <v>270997</v>
      </c>
      <c r="M11" s="364">
        <v>281461</v>
      </c>
      <c r="N11" s="218"/>
      <c r="O11" s="218"/>
    </row>
    <row r="12" spans="1:16" s="124" customFormat="1" ht="12.75" customHeight="1">
      <c r="A12" s="57"/>
      <c r="B12" s="58" t="s">
        <v>53</v>
      </c>
      <c r="C12" s="366">
        <v>90921</v>
      </c>
      <c r="D12" s="366">
        <v>96570</v>
      </c>
      <c r="E12" s="366">
        <v>103018</v>
      </c>
      <c r="F12" s="366">
        <v>112378</v>
      </c>
      <c r="G12" s="366">
        <v>126226</v>
      </c>
      <c r="H12" s="366">
        <v>137590</v>
      </c>
      <c r="I12" s="366">
        <v>143662</v>
      </c>
      <c r="J12" s="366">
        <v>130505</v>
      </c>
      <c r="K12" s="366">
        <v>131787</v>
      </c>
      <c r="L12" s="366">
        <v>146876</v>
      </c>
      <c r="M12" s="366">
        <v>154697</v>
      </c>
      <c r="N12" s="218"/>
      <c r="O12" s="218"/>
    </row>
    <row r="13" spans="1:16" s="124" customFormat="1" ht="12.75" customHeight="1">
      <c r="A13" s="56"/>
      <c r="B13" s="58" t="s">
        <v>54</v>
      </c>
      <c r="C13" s="366">
        <v>81403</v>
      </c>
      <c r="D13" s="366">
        <v>85046</v>
      </c>
      <c r="E13" s="366">
        <v>91879</v>
      </c>
      <c r="F13" s="366">
        <v>98331</v>
      </c>
      <c r="G13" s="366">
        <v>109526</v>
      </c>
      <c r="H13" s="366">
        <v>116467</v>
      </c>
      <c r="I13" s="366">
        <v>121187</v>
      </c>
      <c r="J13" s="366">
        <v>106029</v>
      </c>
      <c r="K13" s="366">
        <v>111823</v>
      </c>
      <c r="L13" s="366">
        <v>124121</v>
      </c>
      <c r="M13" s="366">
        <v>126764</v>
      </c>
    </row>
    <row r="14" spans="1:16" s="124" customFormat="1" ht="16.5" customHeight="1">
      <c r="A14" s="56" t="s">
        <v>57</v>
      </c>
      <c r="B14" s="54" t="s">
        <v>45</v>
      </c>
      <c r="C14" s="364">
        <v>286064</v>
      </c>
      <c r="D14" s="364">
        <v>282624</v>
      </c>
      <c r="E14" s="364">
        <v>287062</v>
      </c>
      <c r="F14" s="364">
        <v>300003</v>
      </c>
      <c r="G14" s="364">
        <v>315844</v>
      </c>
      <c r="H14" s="364">
        <v>332392</v>
      </c>
      <c r="I14" s="364">
        <v>343669</v>
      </c>
      <c r="J14" s="364">
        <v>335858</v>
      </c>
      <c r="K14" s="364">
        <v>337576</v>
      </c>
      <c r="L14" s="364">
        <v>371254</v>
      </c>
      <c r="M14" s="364">
        <v>394936</v>
      </c>
      <c r="N14" s="218"/>
      <c r="O14" s="218"/>
    </row>
    <row r="15" spans="1:16" s="124" customFormat="1" ht="12.75" customHeight="1">
      <c r="A15" s="57"/>
      <c r="B15" s="58" t="s">
        <v>53</v>
      </c>
      <c r="C15" s="366">
        <v>143959</v>
      </c>
      <c r="D15" s="366">
        <v>143426</v>
      </c>
      <c r="E15" s="366">
        <v>145066</v>
      </c>
      <c r="F15" s="366">
        <v>152746</v>
      </c>
      <c r="G15" s="366">
        <v>161880</v>
      </c>
      <c r="H15" s="366">
        <v>171342</v>
      </c>
      <c r="I15" s="366">
        <v>178722</v>
      </c>
      <c r="J15" s="366">
        <v>177492</v>
      </c>
      <c r="K15" s="366">
        <v>178073</v>
      </c>
      <c r="L15" s="366">
        <v>198012</v>
      </c>
      <c r="M15" s="366">
        <v>213975</v>
      </c>
      <c r="N15" s="218"/>
      <c r="O15" s="218"/>
      <c r="P15" s="535"/>
    </row>
    <row r="16" spans="1:16" s="124" customFormat="1" ht="12.75" customHeight="1">
      <c r="A16" s="56"/>
      <c r="B16" s="58" t="s">
        <v>54</v>
      </c>
      <c r="C16" s="366">
        <v>142105</v>
      </c>
      <c r="D16" s="366">
        <v>139198</v>
      </c>
      <c r="E16" s="366">
        <v>141996</v>
      </c>
      <c r="F16" s="366">
        <v>147257</v>
      </c>
      <c r="G16" s="366">
        <v>153964</v>
      </c>
      <c r="H16" s="366">
        <v>161050</v>
      </c>
      <c r="I16" s="366">
        <v>164947</v>
      </c>
      <c r="J16" s="366">
        <v>158366</v>
      </c>
      <c r="K16" s="366">
        <v>159503</v>
      </c>
      <c r="L16" s="366">
        <v>173242</v>
      </c>
      <c r="M16" s="366">
        <v>180961</v>
      </c>
      <c r="N16" s="218"/>
      <c r="O16" s="218"/>
    </row>
    <row r="17" spans="1:15" s="124" customFormat="1" ht="16.5" customHeight="1">
      <c r="A17" s="56" t="s">
        <v>58</v>
      </c>
      <c r="B17" s="54" t="s">
        <v>45</v>
      </c>
      <c r="C17" s="364">
        <v>365055</v>
      </c>
      <c r="D17" s="364">
        <v>364306</v>
      </c>
      <c r="E17" s="364">
        <v>358742</v>
      </c>
      <c r="F17" s="364">
        <v>357287</v>
      </c>
      <c r="G17" s="364">
        <v>356743</v>
      </c>
      <c r="H17" s="364">
        <v>357880</v>
      </c>
      <c r="I17" s="364">
        <v>359925</v>
      </c>
      <c r="J17" s="364">
        <v>355278</v>
      </c>
      <c r="K17" s="364">
        <v>357312</v>
      </c>
      <c r="L17" s="364">
        <v>390147</v>
      </c>
      <c r="M17" s="364">
        <v>413020</v>
      </c>
      <c r="N17" s="218"/>
      <c r="O17" s="218"/>
    </row>
    <row r="18" spans="1:15" s="124" customFormat="1" ht="12.75" customHeight="1">
      <c r="A18" s="57"/>
      <c r="B18" s="58" t="s">
        <v>53</v>
      </c>
      <c r="C18" s="366">
        <v>184699</v>
      </c>
      <c r="D18" s="366">
        <v>184540</v>
      </c>
      <c r="E18" s="366">
        <v>180783</v>
      </c>
      <c r="F18" s="366">
        <v>181205</v>
      </c>
      <c r="G18" s="366">
        <v>182213</v>
      </c>
      <c r="H18" s="366">
        <v>184393</v>
      </c>
      <c r="I18" s="366">
        <v>187093</v>
      </c>
      <c r="J18" s="366">
        <v>187182</v>
      </c>
      <c r="K18" s="366">
        <v>188548</v>
      </c>
      <c r="L18" s="366">
        <v>208088</v>
      </c>
      <c r="M18" s="366">
        <v>222868</v>
      </c>
      <c r="N18" s="218"/>
      <c r="O18" s="218"/>
    </row>
    <row r="19" spans="1:15" s="124" customFormat="1" ht="12.75" customHeight="1">
      <c r="A19" s="56"/>
      <c r="B19" s="58" t="s">
        <v>54</v>
      </c>
      <c r="C19" s="366">
        <v>180356</v>
      </c>
      <c r="D19" s="366">
        <v>179766</v>
      </c>
      <c r="E19" s="366">
        <v>177959</v>
      </c>
      <c r="F19" s="366">
        <v>176082</v>
      </c>
      <c r="G19" s="366">
        <v>174530</v>
      </c>
      <c r="H19" s="366">
        <v>173487</v>
      </c>
      <c r="I19" s="366">
        <v>172832</v>
      </c>
      <c r="J19" s="366">
        <v>168096</v>
      </c>
      <c r="K19" s="366">
        <v>168764</v>
      </c>
      <c r="L19" s="366">
        <v>182059</v>
      </c>
      <c r="M19" s="366">
        <v>190152</v>
      </c>
      <c r="N19" s="218"/>
      <c r="O19" s="218"/>
    </row>
    <row r="20" spans="1:15" s="124" customFormat="1" ht="16.5" customHeight="1">
      <c r="A20" s="56" t="s">
        <v>59</v>
      </c>
      <c r="B20" s="54" t="s">
        <v>45</v>
      </c>
      <c r="C20" s="364">
        <v>399462</v>
      </c>
      <c r="D20" s="364">
        <v>402951</v>
      </c>
      <c r="E20" s="364">
        <v>403321</v>
      </c>
      <c r="F20" s="364">
        <v>401501</v>
      </c>
      <c r="G20" s="364">
        <v>401529</v>
      </c>
      <c r="H20" s="364">
        <v>404395</v>
      </c>
      <c r="I20" s="364">
        <v>402914</v>
      </c>
      <c r="J20" s="364">
        <v>390970</v>
      </c>
      <c r="K20" s="364">
        <v>380153</v>
      </c>
      <c r="L20" s="364">
        <v>398061</v>
      </c>
      <c r="M20" s="364">
        <v>409302</v>
      </c>
      <c r="N20" s="218"/>
      <c r="O20" s="218"/>
    </row>
    <row r="21" spans="1:15" s="124" customFormat="1" ht="12.75" customHeight="1">
      <c r="A21" s="57"/>
      <c r="B21" s="58" t="s">
        <v>53</v>
      </c>
      <c r="C21" s="366">
        <v>204549</v>
      </c>
      <c r="D21" s="366">
        <v>205809</v>
      </c>
      <c r="E21" s="366">
        <v>204090</v>
      </c>
      <c r="F21" s="366">
        <v>202948</v>
      </c>
      <c r="G21" s="366">
        <v>203280</v>
      </c>
      <c r="H21" s="366">
        <v>205696</v>
      </c>
      <c r="I21" s="366">
        <v>205891</v>
      </c>
      <c r="J21" s="366">
        <v>201984</v>
      </c>
      <c r="K21" s="366">
        <v>196795</v>
      </c>
      <c r="L21" s="366">
        <v>207992</v>
      </c>
      <c r="M21" s="366">
        <v>217026</v>
      </c>
      <c r="N21" s="218"/>
      <c r="O21" s="218"/>
    </row>
    <row r="22" spans="1:15" s="124" customFormat="1" ht="12.75" customHeight="1">
      <c r="A22" s="56"/>
      <c r="B22" s="58" t="s">
        <v>54</v>
      </c>
      <c r="C22" s="366">
        <v>194913</v>
      </c>
      <c r="D22" s="366">
        <v>197142</v>
      </c>
      <c r="E22" s="366">
        <v>199231</v>
      </c>
      <c r="F22" s="366">
        <v>198553</v>
      </c>
      <c r="G22" s="366">
        <v>198249</v>
      </c>
      <c r="H22" s="366">
        <v>198699</v>
      </c>
      <c r="I22" s="366">
        <v>197023</v>
      </c>
      <c r="J22" s="366">
        <v>188986</v>
      </c>
      <c r="K22" s="366">
        <v>183358</v>
      </c>
      <c r="L22" s="366">
        <v>190069</v>
      </c>
      <c r="M22" s="366">
        <v>192276</v>
      </c>
      <c r="N22" s="218"/>
      <c r="O22" s="218"/>
    </row>
    <row r="23" spans="1:15" s="124" customFormat="1" ht="16.5" customHeight="1">
      <c r="A23" s="56" t="s">
        <v>60</v>
      </c>
      <c r="B23" s="54" t="s">
        <v>45</v>
      </c>
      <c r="C23" s="364">
        <v>351159</v>
      </c>
      <c r="D23" s="364">
        <v>368420</v>
      </c>
      <c r="E23" s="364">
        <v>386160</v>
      </c>
      <c r="F23" s="364">
        <v>404236</v>
      </c>
      <c r="G23" s="364">
        <v>420413</v>
      </c>
      <c r="H23" s="364">
        <v>429624</v>
      </c>
      <c r="I23" s="364">
        <v>427698</v>
      </c>
      <c r="J23" s="364">
        <v>421690</v>
      </c>
      <c r="K23" s="364">
        <v>408105</v>
      </c>
      <c r="L23" s="364">
        <v>423321</v>
      </c>
      <c r="M23" s="364">
        <v>434518</v>
      </c>
      <c r="N23" s="218"/>
      <c r="O23" s="218"/>
    </row>
    <row r="24" spans="1:15" s="124" customFormat="1" ht="12.75" customHeight="1">
      <c r="A24" s="57"/>
      <c r="B24" s="58" t="s">
        <v>53</v>
      </c>
      <c r="C24" s="366">
        <v>181664</v>
      </c>
      <c r="D24" s="366">
        <v>189669</v>
      </c>
      <c r="E24" s="366">
        <v>197261</v>
      </c>
      <c r="F24" s="366">
        <v>205927</v>
      </c>
      <c r="G24" s="366">
        <v>214153</v>
      </c>
      <c r="H24" s="366">
        <v>218703</v>
      </c>
      <c r="I24" s="366">
        <v>218345</v>
      </c>
      <c r="J24" s="366">
        <v>216198</v>
      </c>
      <c r="K24" s="366">
        <v>208335</v>
      </c>
      <c r="L24" s="366">
        <v>216580</v>
      </c>
      <c r="M24" s="366">
        <v>223891</v>
      </c>
      <c r="N24" s="218"/>
      <c r="O24" s="218"/>
    </row>
    <row r="25" spans="1:15" s="124" customFormat="1" ht="12.75" customHeight="1">
      <c r="A25" s="56"/>
      <c r="B25" s="58" t="s">
        <v>54</v>
      </c>
      <c r="C25" s="366">
        <v>169495</v>
      </c>
      <c r="D25" s="366">
        <v>178751</v>
      </c>
      <c r="E25" s="366">
        <v>188899</v>
      </c>
      <c r="F25" s="366">
        <v>198309</v>
      </c>
      <c r="G25" s="366">
        <v>206260</v>
      </c>
      <c r="H25" s="366">
        <v>210921</v>
      </c>
      <c r="I25" s="366">
        <v>209353</v>
      </c>
      <c r="J25" s="366">
        <v>205492</v>
      </c>
      <c r="K25" s="366">
        <v>199770</v>
      </c>
      <c r="L25" s="366">
        <v>206741</v>
      </c>
      <c r="M25" s="366">
        <v>210627</v>
      </c>
      <c r="N25" s="218"/>
      <c r="O25" s="218"/>
    </row>
    <row r="26" spans="1:15" s="124" customFormat="1" ht="16.5" customHeight="1">
      <c r="A26" s="56" t="s">
        <v>61</v>
      </c>
      <c r="B26" s="54" t="s">
        <v>45</v>
      </c>
      <c r="C26" s="364">
        <v>299127</v>
      </c>
      <c r="D26" s="364">
        <v>310574</v>
      </c>
      <c r="E26" s="364">
        <v>322015</v>
      </c>
      <c r="F26" s="364">
        <v>340070</v>
      </c>
      <c r="G26" s="364">
        <v>357859</v>
      </c>
      <c r="H26" s="364">
        <v>375994</v>
      </c>
      <c r="I26" s="364">
        <v>385008</v>
      </c>
      <c r="J26" s="364">
        <v>395386</v>
      </c>
      <c r="K26" s="364">
        <v>401585</v>
      </c>
      <c r="L26" s="364">
        <v>429128</v>
      </c>
      <c r="M26" s="364">
        <v>441192</v>
      </c>
      <c r="N26" s="218"/>
      <c r="O26" s="218"/>
    </row>
    <row r="27" spans="1:15" s="124" customFormat="1" ht="12.75" customHeight="1">
      <c r="A27" s="57"/>
      <c r="B27" s="58" t="s">
        <v>53</v>
      </c>
      <c r="C27" s="366">
        <v>155991</v>
      </c>
      <c r="D27" s="366">
        <v>161147</v>
      </c>
      <c r="E27" s="366">
        <v>165714</v>
      </c>
      <c r="F27" s="366">
        <v>174784</v>
      </c>
      <c r="G27" s="366">
        <v>184319</v>
      </c>
      <c r="H27" s="366">
        <v>193294</v>
      </c>
      <c r="I27" s="366">
        <v>197447</v>
      </c>
      <c r="J27" s="366">
        <v>203550</v>
      </c>
      <c r="K27" s="366">
        <v>205394</v>
      </c>
      <c r="L27" s="366">
        <v>218880</v>
      </c>
      <c r="M27" s="366">
        <v>225057</v>
      </c>
      <c r="N27" s="218"/>
      <c r="O27" s="218"/>
    </row>
    <row r="28" spans="1:15" s="124" customFormat="1" ht="12.75" customHeight="1">
      <c r="A28" s="56"/>
      <c r="B28" s="58" t="s">
        <v>54</v>
      </c>
      <c r="C28" s="366">
        <v>143136</v>
      </c>
      <c r="D28" s="366">
        <v>149427</v>
      </c>
      <c r="E28" s="366">
        <v>156301</v>
      </c>
      <c r="F28" s="366">
        <v>165286</v>
      </c>
      <c r="G28" s="366">
        <v>173540</v>
      </c>
      <c r="H28" s="366">
        <v>182700</v>
      </c>
      <c r="I28" s="366">
        <v>187561</v>
      </c>
      <c r="J28" s="366">
        <v>191836</v>
      </c>
      <c r="K28" s="366">
        <v>196191</v>
      </c>
      <c r="L28" s="366">
        <v>210248</v>
      </c>
      <c r="M28" s="366">
        <v>216135</v>
      </c>
      <c r="N28" s="218"/>
      <c r="O28" s="218"/>
    </row>
    <row r="29" spans="1:15" s="124" customFormat="1" ht="16.5" customHeight="1">
      <c r="A29" s="56" t="s">
        <v>62</v>
      </c>
      <c r="B29" s="54" t="s">
        <v>45</v>
      </c>
      <c r="C29" s="364">
        <v>243612</v>
      </c>
      <c r="D29" s="364">
        <v>254771</v>
      </c>
      <c r="E29" s="364">
        <v>268173</v>
      </c>
      <c r="F29" s="364">
        <v>285691</v>
      </c>
      <c r="G29" s="364">
        <v>301821</v>
      </c>
      <c r="H29" s="364">
        <v>316767</v>
      </c>
      <c r="I29" s="364">
        <v>321211</v>
      </c>
      <c r="J29" s="364">
        <v>326029</v>
      </c>
      <c r="K29" s="364">
        <v>331946</v>
      </c>
      <c r="L29" s="364">
        <v>356932</v>
      </c>
      <c r="M29" s="364">
        <v>375154</v>
      </c>
      <c r="N29" s="218"/>
      <c r="O29" s="218"/>
    </row>
    <row r="30" spans="1:15" s="124" customFormat="1" ht="12.75" customHeight="1">
      <c r="A30" s="57"/>
      <c r="B30" s="58" t="s">
        <v>53</v>
      </c>
      <c r="C30" s="366">
        <v>129950</v>
      </c>
      <c r="D30" s="366">
        <v>134964</v>
      </c>
      <c r="E30" s="366">
        <v>141049</v>
      </c>
      <c r="F30" s="366">
        <v>149949</v>
      </c>
      <c r="G30" s="366">
        <v>157982</v>
      </c>
      <c r="H30" s="366">
        <v>165922</v>
      </c>
      <c r="I30" s="366">
        <v>166923</v>
      </c>
      <c r="J30" s="366">
        <v>169949</v>
      </c>
      <c r="K30" s="366">
        <v>171732</v>
      </c>
      <c r="L30" s="366">
        <v>183896</v>
      </c>
      <c r="M30" s="366">
        <v>192811</v>
      </c>
      <c r="N30" s="218"/>
      <c r="O30" s="218"/>
    </row>
    <row r="31" spans="1:15" s="124" customFormat="1" ht="12.75" customHeight="1">
      <c r="A31" s="56"/>
      <c r="B31" s="58" t="s">
        <v>54</v>
      </c>
      <c r="C31" s="366">
        <v>113662</v>
      </c>
      <c r="D31" s="366">
        <v>119807</v>
      </c>
      <c r="E31" s="366">
        <v>127124</v>
      </c>
      <c r="F31" s="366">
        <v>135742</v>
      </c>
      <c r="G31" s="366">
        <v>143839</v>
      </c>
      <c r="H31" s="366">
        <v>150845</v>
      </c>
      <c r="I31" s="366">
        <v>154288</v>
      </c>
      <c r="J31" s="366">
        <v>156080</v>
      </c>
      <c r="K31" s="366">
        <v>160214</v>
      </c>
      <c r="L31" s="366">
        <v>173036</v>
      </c>
      <c r="M31" s="366">
        <v>182343</v>
      </c>
      <c r="N31" s="218"/>
      <c r="O31" s="218"/>
    </row>
    <row r="32" spans="1:15" s="124" customFormat="1" ht="16.5" customHeight="1">
      <c r="A32" s="56" t="s">
        <v>63</v>
      </c>
      <c r="B32" s="54" t="s">
        <v>45</v>
      </c>
      <c r="C32" s="364">
        <v>167903</v>
      </c>
      <c r="D32" s="364">
        <v>181742</v>
      </c>
      <c r="E32" s="364">
        <v>194900</v>
      </c>
      <c r="F32" s="364">
        <v>208931</v>
      </c>
      <c r="G32" s="364">
        <v>226252</v>
      </c>
      <c r="H32" s="364">
        <v>242664</v>
      </c>
      <c r="I32" s="364">
        <v>250736</v>
      </c>
      <c r="J32" s="364">
        <v>260160</v>
      </c>
      <c r="K32" s="364">
        <v>266190</v>
      </c>
      <c r="L32" s="364">
        <v>285393</v>
      </c>
      <c r="M32" s="364">
        <v>300179</v>
      </c>
      <c r="N32" s="218"/>
      <c r="O32" s="218"/>
    </row>
    <row r="33" spans="1:15" s="124" customFormat="1" ht="12.75" customHeight="1">
      <c r="A33" s="57"/>
      <c r="B33" s="58" t="s">
        <v>53</v>
      </c>
      <c r="C33" s="366">
        <v>93822</v>
      </c>
      <c r="D33" s="366">
        <v>100043</v>
      </c>
      <c r="E33" s="366">
        <v>106199</v>
      </c>
      <c r="F33" s="366">
        <v>113202</v>
      </c>
      <c r="G33" s="366">
        <v>122797</v>
      </c>
      <c r="H33" s="366">
        <v>131577</v>
      </c>
      <c r="I33" s="366">
        <v>134804</v>
      </c>
      <c r="J33" s="366">
        <v>139411</v>
      </c>
      <c r="K33" s="366">
        <v>141593</v>
      </c>
      <c r="L33" s="366">
        <v>150231</v>
      </c>
      <c r="M33" s="366">
        <v>157204</v>
      </c>
      <c r="N33" s="218"/>
      <c r="O33" s="218"/>
    </row>
    <row r="34" spans="1:15" s="124" customFormat="1" ht="12.75" customHeight="1">
      <c r="A34" s="56"/>
      <c r="B34" s="58" t="s">
        <v>54</v>
      </c>
      <c r="C34" s="366">
        <v>74081</v>
      </c>
      <c r="D34" s="366">
        <v>81699</v>
      </c>
      <c r="E34" s="366">
        <v>88701</v>
      </c>
      <c r="F34" s="366">
        <v>95729</v>
      </c>
      <c r="G34" s="366">
        <v>103455</v>
      </c>
      <c r="H34" s="366">
        <v>111087</v>
      </c>
      <c r="I34" s="366">
        <v>115932</v>
      </c>
      <c r="J34" s="366">
        <v>120749</v>
      </c>
      <c r="K34" s="366">
        <v>124597</v>
      </c>
      <c r="L34" s="366">
        <v>135162</v>
      </c>
      <c r="M34" s="366">
        <v>142975</v>
      </c>
      <c r="N34" s="218"/>
      <c r="O34" s="218"/>
    </row>
    <row r="35" spans="1:15" s="124" customFormat="1" ht="16.5" customHeight="1">
      <c r="A35" s="56" t="s">
        <v>64</v>
      </c>
      <c r="B35" s="54" t="s">
        <v>45</v>
      </c>
      <c r="C35" s="364">
        <v>77778</v>
      </c>
      <c r="D35" s="364">
        <v>86375</v>
      </c>
      <c r="E35" s="364">
        <v>94453</v>
      </c>
      <c r="F35" s="364">
        <v>101937</v>
      </c>
      <c r="G35" s="364">
        <v>115424</v>
      </c>
      <c r="H35" s="364">
        <v>122990</v>
      </c>
      <c r="I35" s="364">
        <v>129982</v>
      </c>
      <c r="J35" s="364">
        <v>136328</v>
      </c>
      <c r="K35" s="364">
        <v>147017</v>
      </c>
      <c r="L35" s="364">
        <v>167283</v>
      </c>
      <c r="M35" s="364">
        <v>184566</v>
      </c>
      <c r="N35" s="218"/>
      <c r="O35" s="218"/>
    </row>
    <row r="36" spans="1:15" s="124" customFormat="1" ht="12.75" customHeight="1">
      <c r="A36" s="57"/>
      <c r="B36" s="58" t="s">
        <v>53</v>
      </c>
      <c r="C36" s="366">
        <v>43298</v>
      </c>
      <c r="D36" s="366">
        <v>48273</v>
      </c>
      <c r="E36" s="366">
        <v>52491</v>
      </c>
      <c r="F36" s="366">
        <v>56506</v>
      </c>
      <c r="G36" s="366">
        <v>64123</v>
      </c>
      <c r="H36" s="366">
        <v>67556</v>
      </c>
      <c r="I36" s="366">
        <v>70416</v>
      </c>
      <c r="J36" s="366">
        <v>73844</v>
      </c>
      <c r="K36" s="366">
        <v>79524</v>
      </c>
      <c r="L36" s="366">
        <v>90520</v>
      </c>
      <c r="M36" s="366">
        <v>99062</v>
      </c>
      <c r="N36" s="218"/>
      <c r="O36" s="218"/>
    </row>
    <row r="37" spans="1:15" s="124" customFormat="1" ht="12.75" customHeight="1">
      <c r="A37" s="56"/>
      <c r="B37" s="58" t="s">
        <v>54</v>
      </c>
      <c r="C37" s="366">
        <v>34480</v>
      </c>
      <c r="D37" s="366">
        <v>38102</v>
      </c>
      <c r="E37" s="366">
        <v>41962</v>
      </c>
      <c r="F37" s="366">
        <v>45431</v>
      </c>
      <c r="G37" s="366">
        <v>51301</v>
      </c>
      <c r="H37" s="366">
        <v>55434</v>
      </c>
      <c r="I37" s="366">
        <v>59566</v>
      </c>
      <c r="J37" s="366">
        <v>62484</v>
      </c>
      <c r="K37" s="366">
        <v>67493</v>
      </c>
      <c r="L37" s="366">
        <v>76763</v>
      </c>
      <c r="M37" s="366">
        <v>85504</v>
      </c>
      <c r="N37" s="218"/>
      <c r="O37" s="218"/>
    </row>
    <row r="38" spans="1:15" s="124" customFormat="1" ht="16.5" customHeight="1">
      <c r="A38" s="56" t="s">
        <v>65</v>
      </c>
      <c r="B38" s="54" t="s">
        <v>45</v>
      </c>
      <c r="C38" s="364">
        <v>18687</v>
      </c>
      <c r="D38" s="364">
        <v>21870</v>
      </c>
      <c r="E38" s="364">
        <v>24902</v>
      </c>
      <c r="F38" s="364">
        <v>28135</v>
      </c>
      <c r="G38" s="364">
        <v>31931</v>
      </c>
      <c r="H38" s="364">
        <v>36702</v>
      </c>
      <c r="I38" s="364">
        <v>42154</v>
      </c>
      <c r="J38" s="364">
        <v>43484</v>
      </c>
      <c r="K38" s="364">
        <v>46896</v>
      </c>
      <c r="L38" s="364">
        <v>53834</v>
      </c>
      <c r="M38" s="364">
        <v>60667</v>
      </c>
      <c r="N38" s="218"/>
      <c r="O38" s="218"/>
    </row>
    <row r="39" spans="1:15" s="124" customFormat="1" ht="12.75" customHeight="1">
      <c r="A39" s="57"/>
      <c r="B39" s="58" t="s">
        <v>53</v>
      </c>
      <c r="C39" s="366">
        <v>11276</v>
      </c>
      <c r="D39" s="366">
        <v>12687</v>
      </c>
      <c r="E39" s="366">
        <v>14235</v>
      </c>
      <c r="F39" s="366">
        <v>15954</v>
      </c>
      <c r="G39" s="366">
        <v>18372</v>
      </c>
      <c r="H39" s="366">
        <v>21276</v>
      </c>
      <c r="I39" s="366">
        <v>24844</v>
      </c>
      <c r="J39" s="366">
        <v>25548</v>
      </c>
      <c r="K39" s="366">
        <v>27505</v>
      </c>
      <c r="L39" s="366">
        <v>31840</v>
      </c>
      <c r="M39" s="366">
        <v>36069</v>
      </c>
      <c r="N39" s="218"/>
      <c r="O39" s="218"/>
    </row>
    <row r="40" spans="1:15" s="124" customFormat="1" ht="12.75" customHeight="1">
      <c r="A40" s="56"/>
      <c r="B40" s="58" t="s">
        <v>54</v>
      </c>
      <c r="C40" s="366">
        <v>7411</v>
      </c>
      <c r="D40" s="366">
        <v>9183</v>
      </c>
      <c r="E40" s="366">
        <v>10667</v>
      </c>
      <c r="F40" s="366">
        <v>12181</v>
      </c>
      <c r="G40" s="366">
        <v>13559</v>
      </c>
      <c r="H40" s="366">
        <v>15426</v>
      </c>
      <c r="I40" s="366">
        <v>17310</v>
      </c>
      <c r="J40" s="366">
        <v>17936</v>
      </c>
      <c r="K40" s="366">
        <v>19391</v>
      </c>
      <c r="L40" s="366">
        <v>21994</v>
      </c>
      <c r="M40" s="366">
        <v>24598</v>
      </c>
      <c r="N40" s="218"/>
      <c r="O40" s="218"/>
    </row>
    <row r="41" spans="1:15" s="124" customFormat="1" ht="16.5" customHeight="1">
      <c r="A41" s="56" t="s">
        <v>13</v>
      </c>
      <c r="B41" s="54" t="s">
        <v>45</v>
      </c>
      <c r="C41" s="364">
        <v>2129</v>
      </c>
      <c r="D41" s="364">
        <v>2227</v>
      </c>
      <c r="E41" s="364">
        <v>2352</v>
      </c>
      <c r="F41" s="364">
        <v>2554</v>
      </c>
      <c r="G41" s="364">
        <v>2683</v>
      </c>
      <c r="H41" s="364">
        <v>2987</v>
      </c>
      <c r="I41" s="364">
        <v>792</v>
      </c>
      <c r="J41" s="364">
        <v>462</v>
      </c>
      <c r="K41" s="364">
        <v>958</v>
      </c>
      <c r="L41" s="364">
        <v>377</v>
      </c>
      <c r="M41" s="364">
        <v>7</v>
      </c>
      <c r="N41" s="218"/>
      <c r="O41" s="218"/>
    </row>
    <row r="42" spans="1:15" s="124" customFormat="1" ht="12.75" customHeight="1">
      <c r="A42" s="59"/>
      <c r="B42" s="58" t="s">
        <v>53</v>
      </c>
      <c r="C42" s="366">
        <v>1374</v>
      </c>
      <c r="D42" s="366">
        <v>1415</v>
      </c>
      <c r="E42" s="366">
        <v>1458</v>
      </c>
      <c r="F42" s="366">
        <v>1609</v>
      </c>
      <c r="G42" s="366">
        <v>1670</v>
      </c>
      <c r="H42" s="366">
        <v>1869</v>
      </c>
      <c r="I42" s="366">
        <v>318</v>
      </c>
      <c r="J42" s="366">
        <v>230</v>
      </c>
      <c r="K42" s="366">
        <v>386</v>
      </c>
      <c r="L42" s="366">
        <v>200</v>
      </c>
      <c r="M42" s="366">
        <v>3</v>
      </c>
      <c r="N42" s="218"/>
      <c r="O42" s="218"/>
    </row>
    <row r="43" spans="1:15" s="124" customFormat="1" ht="12.75" customHeight="1">
      <c r="A43" s="9"/>
      <c r="B43" s="60" t="s">
        <v>54</v>
      </c>
      <c r="C43" s="367">
        <v>755</v>
      </c>
      <c r="D43" s="367">
        <v>812</v>
      </c>
      <c r="E43" s="367">
        <v>894</v>
      </c>
      <c r="F43" s="367">
        <v>945</v>
      </c>
      <c r="G43" s="367">
        <v>1013</v>
      </c>
      <c r="H43" s="367">
        <v>1118</v>
      </c>
      <c r="I43" s="367">
        <v>474</v>
      </c>
      <c r="J43" s="367">
        <v>232</v>
      </c>
      <c r="K43" s="367">
        <v>572</v>
      </c>
      <c r="L43" s="367">
        <v>177</v>
      </c>
      <c r="M43" s="367">
        <v>4</v>
      </c>
      <c r="N43" s="218"/>
      <c r="O43" s="218"/>
    </row>
    <row r="44" spans="1:15" ht="15" customHeight="1">
      <c r="A44" s="21" t="s">
        <v>138</v>
      </c>
      <c r="B44" s="35"/>
      <c r="C44" s="147"/>
      <c r="D44" s="55"/>
      <c r="E44" s="55"/>
      <c r="F44" s="55"/>
      <c r="G44" s="55"/>
      <c r="H44" s="55"/>
      <c r="I44" s="55"/>
      <c r="J44" s="55"/>
      <c r="K44" s="55"/>
      <c r="L44" s="55"/>
      <c r="M44" s="55"/>
    </row>
    <row r="45" spans="1:15" ht="15" customHeight="1">
      <c r="A45" s="211"/>
      <c r="B45" s="211"/>
      <c r="C45" s="201"/>
      <c r="D45" s="201"/>
      <c r="E45" s="201"/>
      <c r="F45" s="201"/>
      <c r="G45" s="201"/>
      <c r="H45" s="201"/>
      <c r="I45" s="201"/>
      <c r="J45" s="201"/>
      <c r="K45" s="201"/>
      <c r="L45" s="201"/>
      <c r="M45" s="201"/>
    </row>
    <row r="46" spans="1:15">
      <c r="C46" s="201"/>
      <c r="D46" s="201"/>
      <c r="E46" s="201"/>
      <c r="F46" s="201"/>
      <c r="G46" s="201"/>
      <c r="H46" s="201"/>
      <c r="I46" s="201"/>
      <c r="J46" s="201"/>
      <c r="K46" s="201"/>
      <c r="L46" s="201"/>
      <c r="M46" s="201"/>
    </row>
    <row r="47" spans="1:15">
      <c r="C47" s="201"/>
      <c r="D47" s="201"/>
      <c r="E47" s="201"/>
      <c r="F47" s="201"/>
      <c r="G47" s="201"/>
      <c r="H47" s="201"/>
      <c r="I47" s="201"/>
      <c r="J47" s="201"/>
      <c r="K47" s="201"/>
      <c r="L47" s="201"/>
      <c r="M47" s="201"/>
    </row>
  </sheetData>
  <mergeCells count="1">
    <mergeCell ref="A1:M1"/>
  </mergeCells>
  <phoneticPr fontId="25" type="noConversion"/>
  <conditionalFormatting sqref="A1 I2:I3 H4:I4 A44:F1048576 A2:G4 A5:J43 N5:O12 N44:O1048576 P5:XFD1048576 N1:XFD4">
    <cfRule type="cellIs" dxfId="786" priority="38" operator="equal">
      <formula>0</formula>
    </cfRule>
  </conditionalFormatting>
  <conditionalFormatting sqref="O5:O8">
    <cfRule type="containsText" dxfId="785" priority="36" operator="containsText" text="FALSO">
      <formula>NOT(ISERROR(SEARCH("FALSO",O5)))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tabColor indexed="25"/>
    <pageSetUpPr fitToPage="1"/>
  </sheetPr>
  <dimension ref="A1:Z46"/>
  <sheetViews>
    <sheetView showGridLines="0" workbookViewId="0">
      <selection sqref="A1:M1"/>
    </sheetView>
  </sheetViews>
  <sheetFormatPr defaultColWidth="9.140625" defaultRowHeight="17.25" customHeight="1"/>
  <cols>
    <col min="1" max="1" width="25.7109375" style="51" customWidth="1"/>
    <col min="2" max="2" width="1.28515625" style="48" customWidth="1"/>
    <col min="3" max="13" width="7.5703125" style="51" customWidth="1"/>
    <col min="14" max="16384" width="9.140625" style="51"/>
  </cols>
  <sheetData>
    <row r="1" spans="1:25" s="49" customFormat="1" ht="28.5" customHeight="1">
      <c r="A1" s="760" t="s">
        <v>651</v>
      </c>
      <c r="B1" s="760"/>
      <c r="C1" s="760"/>
      <c r="D1" s="760"/>
      <c r="E1" s="760"/>
      <c r="F1" s="760"/>
      <c r="G1" s="760"/>
      <c r="H1" s="760"/>
      <c r="I1" s="760"/>
      <c r="J1" s="760"/>
      <c r="K1" s="760"/>
      <c r="L1" s="760"/>
      <c r="M1" s="760"/>
    </row>
    <row r="2" spans="1:25" s="50" customFormat="1" ht="15" customHeight="1">
      <c r="A2" s="67"/>
      <c r="B2" s="42"/>
      <c r="C2" s="67"/>
      <c r="D2" s="187"/>
      <c r="E2" s="187"/>
      <c r="F2" s="187"/>
      <c r="G2" s="187"/>
      <c r="H2" s="187"/>
      <c r="I2" s="187"/>
      <c r="J2" s="187"/>
      <c r="K2" s="187"/>
      <c r="L2" s="187"/>
      <c r="M2" s="187"/>
    </row>
    <row r="3" spans="1:25" s="50" customFormat="1" ht="15" customHeight="1">
      <c r="A3" s="72" t="s">
        <v>14</v>
      </c>
      <c r="B3" s="42"/>
      <c r="C3" s="67"/>
      <c r="D3" s="187"/>
      <c r="E3" s="187"/>
      <c r="F3" s="187"/>
      <c r="G3" s="187"/>
      <c r="H3" s="187"/>
      <c r="I3" s="187"/>
      <c r="J3" s="187"/>
      <c r="K3" s="187"/>
      <c r="L3" s="187"/>
      <c r="M3" s="187"/>
    </row>
    <row r="4" spans="1:25" s="50" customFormat="1" ht="28.5" customHeight="1" thickBot="1">
      <c r="A4" s="43"/>
      <c r="B4" s="82"/>
      <c r="C4" s="43">
        <v>2013</v>
      </c>
      <c r="D4" s="43">
        <v>2014</v>
      </c>
      <c r="E4" s="43">
        <v>2015</v>
      </c>
      <c r="F4" s="43">
        <v>2016</v>
      </c>
      <c r="G4" s="43">
        <v>2017</v>
      </c>
      <c r="H4" s="43">
        <v>2018</v>
      </c>
      <c r="I4" s="43">
        <v>2019</v>
      </c>
      <c r="J4" s="43">
        <v>2020</v>
      </c>
      <c r="K4" s="43">
        <v>2021</v>
      </c>
      <c r="L4" s="43">
        <v>2022</v>
      </c>
      <c r="M4" s="43">
        <v>2023</v>
      </c>
      <c r="O4" s="50">
        <f>+C4</f>
        <v>2013</v>
      </c>
      <c r="P4" s="50">
        <f t="shared" ref="P4:Y4" si="0">+D4</f>
        <v>2014</v>
      </c>
      <c r="Q4" s="50">
        <f t="shared" si="0"/>
        <v>2015</v>
      </c>
      <c r="R4" s="50">
        <f t="shared" si="0"/>
        <v>2016</v>
      </c>
      <c r="S4" s="50">
        <f t="shared" si="0"/>
        <v>2017</v>
      </c>
      <c r="T4" s="50">
        <f t="shared" si="0"/>
        <v>2018</v>
      </c>
      <c r="U4" s="50">
        <f t="shared" si="0"/>
        <v>2019</v>
      </c>
      <c r="V4" s="50">
        <f t="shared" si="0"/>
        <v>2020</v>
      </c>
      <c r="W4" s="50">
        <f t="shared" si="0"/>
        <v>2021</v>
      </c>
      <c r="X4" s="50">
        <f t="shared" si="0"/>
        <v>2022</v>
      </c>
      <c r="Y4" s="50">
        <f t="shared" si="0"/>
        <v>2023</v>
      </c>
    </row>
    <row r="5" spans="1:25" s="41" customFormat="1" ht="20.25" customHeight="1" thickTop="1">
      <c r="A5" s="65" t="s">
        <v>12</v>
      </c>
      <c r="B5" s="437" t="s">
        <v>45</v>
      </c>
      <c r="C5" s="365">
        <v>2384121</v>
      </c>
      <c r="D5" s="365">
        <v>2458163</v>
      </c>
      <c r="E5" s="365">
        <v>2537653</v>
      </c>
      <c r="F5" s="365">
        <v>2641919</v>
      </c>
      <c r="G5" s="365">
        <v>2767521</v>
      </c>
      <c r="H5" s="365">
        <v>2877918</v>
      </c>
      <c r="I5" s="365">
        <v>2930482</v>
      </c>
      <c r="J5" s="365">
        <v>2902825</v>
      </c>
      <c r="K5" s="365">
        <v>2922343</v>
      </c>
      <c r="L5" s="365">
        <v>3148147</v>
      </c>
      <c r="M5" s="365">
        <v>3296134</v>
      </c>
      <c r="N5" s="50"/>
      <c r="O5" s="649">
        <f>+C5*100/C$5</f>
        <v>100</v>
      </c>
      <c r="P5" s="649">
        <f t="shared" ref="P5:Y5" si="1">+D5*100/D$5</f>
        <v>100</v>
      </c>
      <c r="Q5" s="649">
        <f t="shared" si="1"/>
        <v>100</v>
      </c>
      <c r="R5" s="649">
        <f t="shared" si="1"/>
        <v>100</v>
      </c>
      <c r="S5" s="649">
        <f t="shared" si="1"/>
        <v>100</v>
      </c>
      <c r="T5" s="649">
        <f t="shared" si="1"/>
        <v>100</v>
      </c>
      <c r="U5" s="649">
        <f t="shared" si="1"/>
        <v>100</v>
      </c>
      <c r="V5" s="649">
        <f t="shared" si="1"/>
        <v>100</v>
      </c>
      <c r="W5" s="649">
        <f t="shared" si="1"/>
        <v>100</v>
      </c>
      <c r="X5" s="649">
        <f t="shared" si="1"/>
        <v>100</v>
      </c>
      <c r="Y5" s="649">
        <f t="shared" si="1"/>
        <v>100</v>
      </c>
    </row>
    <row r="6" spans="1:25" s="41" customFormat="1" ht="15" customHeight="1">
      <c r="A6" s="40"/>
      <c r="B6" s="437" t="s">
        <v>46</v>
      </c>
      <c r="C6" s="364">
        <v>1242007</v>
      </c>
      <c r="D6" s="364">
        <v>1278921</v>
      </c>
      <c r="E6" s="364">
        <v>1311721</v>
      </c>
      <c r="F6" s="364">
        <v>1367705</v>
      </c>
      <c r="G6" s="364">
        <v>1437729</v>
      </c>
      <c r="H6" s="364">
        <v>1499993</v>
      </c>
      <c r="I6" s="364">
        <v>1529276</v>
      </c>
      <c r="J6" s="364">
        <v>1526297</v>
      </c>
      <c r="K6" s="364">
        <v>1530240</v>
      </c>
      <c r="L6" s="364">
        <v>1653917</v>
      </c>
      <c r="M6" s="364">
        <v>1743311</v>
      </c>
      <c r="N6" s="50"/>
    </row>
    <row r="7" spans="1:25" s="41" customFormat="1" ht="15" customHeight="1">
      <c r="A7" s="40"/>
      <c r="B7" s="437" t="s">
        <v>47</v>
      </c>
      <c r="C7" s="364">
        <v>1142114</v>
      </c>
      <c r="D7" s="364">
        <v>1179242</v>
      </c>
      <c r="E7" s="364">
        <v>1225932</v>
      </c>
      <c r="F7" s="364">
        <v>1274214</v>
      </c>
      <c r="G7" s="364">
        <v>1329792</v>
      </c>
      <c r="H7" s="364">
        <v>1377925</v>
      </c>
      <c r="I7" s="364">
        <v>1401206</v>
      </c>
      <c r="J7" s="364">
        <v>1376528</v>
      </c>
      <c r="K7" s="364">
        <v>1392103</v>
      </c>
      <c r="L7" s="364">
        <v>1494230</v>
      </c>
      <c r="M7" s="364">
        <v>1552823</v>
      </c>
      <c r="N7" s="50"/>
      <c r="O7" s="649">
        <f>+C7/C5*100</f>
        <v>47.90503502129296</v>
      </c>
      <c r="P7" s="649">
        <f t="shared" ref="P7:Y7" si="2">+D7/D5*100</f>
        <v>47.972490026088586</v>
      </c>
      <c r="Q7" s="649">
        <f t="shared" si="2"/>
        <v>48.309678273585874</v>
      </c>
      <c r="R7" s="649">
        <f t="shared" si="2"/>
        <v>48.230623270433348</v>
      </c>
      <c r="S7" s="649">
        <f t="shared" si="2"/>
        <v>48.049933496439593</v>
      </c>
      <c r="T7" s="649">
        <f t="shared" si="2"/>
        <v>47.879230749451516</v>
      </c>
      <c r="U7" s="649">
        <f t="shared" si="2"/>
        <v>47.814864585416323</v>
      </c>
      <c r="V7" s="649">
        <f t="shared" si="2"/>
        <v>47.420288856544914</v>
      </c>
      <c r="W7" s="649">
        <f t="shared" si="2"/>
        <v>47.636536847317373</v>
      </c>
      <c r="X7" s="649">
        <f t="shared" si="2"/>
        <v>47.463793780913029</v>
      </c>
      <c r="Y7" s="649">
        <f t="shared" si="2"/>
        <v>47.110433010308441</v>
      </c>
    </row>
    <row r="8" spans="1:25" s="41" customFormat="1" ht="20.25" customHeight="1">
      <c r="A8" s="40" t="s">
        <v>48</v>
      </c>
      <c r="B8" s="437" t="s">
        <v>45</v>
      </c>
      <c r="C8" s="364">
        <v>197559</v>
      </c>
      <c r="D8" s="364">
        <v>198228</v>
      </c>
      <c r="E8" s="364">
        <v>204966</v>
      </c>
      <c r="F8" s="364">
        <v>212297</v>
      </c>
      <c r="G8" s="364">
        <v>220121</v>
      </c>
      <c r="H8" s="364">
        <v>233180</v>
      </c>
      <c r="I8" s="364">
        <v>247905</v>
      </c>
      <c r="J8" s="364">
        <v>262157</v>
      </c>
      <c r="K8" s="364">
        <v>275270</v>
      </c>
      <c r="L8" s="364">
        <v>297522</v>
      </c>
      <c r="M8" s="364">
        <v>315188</v>
      </c>
      <c r="N8" s="50"/>
      <c r="O8" s="649">
        <f>+C8*100/C$5</f>
        <v>8.2864502263098228</v>
      </c>
      <c r="P8" s="649">
        <f t="shared" ref="P8:Y8" si="3">+D8*100/D$5</f>
        <v>8.064070608824558</v>
      </c>
      <c r="Q8" s="649">
        <f t="shared" si="3"/>
        <v>8.0769908257748408</v>
      </c>
      <c r="R8" s="649">
        <f t="shared" si="3"/>
        <v>8.0357119200096605</v>
      </c>
      <c r="S8" s="649">
        <f t="shared" si="3"/>
        <v>7.9537246510505248</v>
      </c>
      <c r="T8" s="649">
        <f t="shared" si="3"/>
        <v>8.1023851270258564</v>
      </c>
      <c r="U8" s="649">
        <f t="shared" si="3"/>
        <v>8.4595298657353979</v>
      </c>
      <c r="V8" s="649">
        <f t="shared" si="3"/>
        <v>9.0310990156140996</v>
      </c>
      <c r="W8" s="649">
        <f t="shared" si="3"/>
        <v>9.4194966162425153</v>
      </c>
      <c r="X8" s="649">
        <f t="shared" si="3"/>
        <v>9.450702270256123</v>
      </c>
      <c r="Y8" s="649">
        <f t="shared" si="3"/>
        <v>9.5623539576971091</v>
      </c>
    </row>
    <row r="9" spans="1:25" s="47" customFormat="1" ht="15" customHeight="1">
      <c r="A9" s="66"/>
      <c r="B9" s="438" t="s">
        <v>46</v>
      </c>
      <c r="C9" s="366">
        <v>108560</v>
      </c>
      <c r="D9" s="366">
        <v>107935</v>
      </c>
      <c r="E9" s="366">
        <v>110245</v>
      </c>
      <c r="F9" s="366">
        <v>112923</v>
      </c>
      <c r="G9" s="366">
        <v>116590</v>
      </c>
      <c r="H9" s="366">
        <v>122652</v>
      </c>
      <c r="I9" s="366">
        <v>129834</v>
      </c>
      <c r="J9" s="366">
        <v>136643</v>
      </c>
      <c r="K9" s="366">
        <v>142391</v>
      </c>
      <c r="L9" s="366">
        <v>154897</v>
      </c>
      <c r="M9" s="366">
        <v>162389</v>
      </c>
      <c r="N9" s="50"/>
    </row>
    <row r="10" spans="1:25" s="47" customFormat="1" ht="15" customHeight="1">
      <c r="A10" s="66"/>
      <c r="B10" s="438" t="s">
        <v>47</v>
      </c>
      <c r="C10" s="366">
        <v>88999</v>
      </c>
      <c r="D10" s="366">
        <v>90293</v>
      </c>
      <c r="E10" s="366">
        <v>94721</v>
      </c>
      <c r="F10" s="366">
        <v>99374</v>
      </c>
      <c r="G10" s="366">
        <v>103531</v>
      </c>
      <c r="H10" s="366">
        <v>110528</v>
      </c>
      <c r="I10" s="366">
        <v>118071</v>
      </c>
      <c r="J10" s="366">
        <v>125514</v>
      </c>
      <c r="K10" s="366">
        <v>132879</v>
      </c>
      <c r="L10" s="366">
        <v>142625</v>
      </c>
      <c r="M10" s="366">
        <v>152799</v>
      </c>
      <c r="O10" s="649">
        <f>+C10/C8*100</f>
        <v>45.049327036480243</v>
      </c>
      <c r="P10" s="649">
        <f t="shared" ref="P10" si="4">+D10/D8*100</f>
        <v>45.550073652561693</v>
      </c>
      <c r="Q10" s="649">
        <f t="shared" ref="Q10" si="5">+E10/E8*100</f>
        <v>46.213030453831365</v>
      </c>
      <c r="R10" s="649">
        <f t="shared" ref="R10" si="6">+F10/F8*100</f>
        <v>46.808951610244137</v>
      </c>
      <c r="S10" s="649">
        <f t="shared" ref="S10" si="7">+G10/G8*100</f>
        <v>47.033676932232723</v>
      </c>
      <c r="T10" s="649">
        <f t="shared" ref="T10" si="8">+H10/H8*100</f>
        <v>47.400291620207561</v>
      </c>
      <c r="U10" s="649">
        <f t="shared" ref="U10" si="9">+I10/I8*100</f>
        <v>47.627518605917594</v>
      </c>
      <c r="V10" s="649">
        <f t="shared" ref="V10" si="10">+J10/J8*100</f>
        <v>47.877416967694927</v>
      </c>
      <c r="W10" s="649">
        <f t="shared" ref="W10" si="11">+K10/K8*100</f>
        <v>48.272241798961019</v>
      </c>
      <c r="X10" s="649">
        <f t="shared" ref="X10" si="12">+L10/L8*100</f>
        <v>47.937631502880457</v>
      </c>
      <c r="Y10" s="649">
        <f t="shared" ref="Y10" si="13">+M10/M8*100</f>
        <v>48.478685736766629</v>
      </c>
    </row>
    <row r="11" spans="1:25" s="41" customFormat="1" ht="20.25" customHeight="1">
      <c r="A11" s="40" t="s">
        <v>49</v>
      </c>
      <c r="B11" s="437" t="s">
        <v>45</v>
      </c>
      <c r="C11" s="364">
        <v>136489</v>
      </c>
      <c r="D11" s="364">
        <v>138984</v>
      </c>
      <c r="E11" s="364">
        <v>143200</v>
      </c>
      <c r="F11" s="364">
        <v>149778</v>
      </c>
      <c r="G11" s="364">
        <v>157495</v>
      </c>
      <c r="H11" s="364">
        <v>165603</v>
      </c>
      <c r="I11" s="364">
        <v>165392</v>
      </c>
      <c r="J11" s="364">
        <v>172837</v>
      </c>
      <c r="K11" s="364">
        <v>176658</v>
      </c>
      <c r="L11" s="364">
        <v>192362</v>
      </c>
      <c r="M11" s="364">
        <v>197236</v>
      </c>
      <c r="O11" s="649">
        <f>+C11*100/C$5</f>
        <v>5.7249191630793907</v>
      </c>
      <c r="P11" s="649">
        <f t="shared" ref="P11:Y11" si="14">+D11*100/D$5</f>
        <v>5.6539781942857328</v>
      </c>
      <c r="Q11" s="649">
        <f t="shared" si="14"/>
        <v>5.643009505239684</v>
      </c>
      <c r="R11" s="649">
        <f t="shared" si="14"/>
        <v>5.669288119734178</v>
      </c>
      <c r="S11" s="649">
        <f t="shared" si="14"/>
        <v>5.6908330596226735</v>
      </c>
      <c r="T11" s="649">
        <f t="shared" si="14"/>
        <v>5.7542640200311475</v>
      </c>
      <c r="U11" s="649">
        <f t="shared" si="14"/>
        <v>5.6438497148250697</v>
      </c>
      <c r="V11" s="649">
        <f t="shared" si="14"/>
        <v>5.9540964405363743</v>
      </c>
      <c r="W11" s="649">
        <f t="shared" si="14"/>
        <v>6.0450809504565344</v>
      </c>
      <c r="X11" s="649">
        <f t="shared" si="14"/>
        <v>6.1103245814124945</v>
      </c>
      <c r="Y11" s="649">
        <f t="shared" si="14"/>
        <v>5.9838586659401587</v>
      </c>
    </row>
    <row r="12" spans="1:25" s="47" customFormat="1" ht="15" customHeight="1">
      <c r="A12" s="66"/>
      <c r="B12" s="438" t="s">
        <v>46</v>
      </c>
      <c r="C12" s="366">
        <v>71920</v>
      </c>
      <c r="D12" s="366">
        <v>72941</v>
      </c>
      <c r="E12" s="366">
        <v>74247</v>
      </c>
      <c r="F12" s="366">
        <v>76819</v>
      </c>
      <c r="G12" s="366">
        <v>81167</v>
      </c>
      <c r="H12" s="366">
        <v>84803</v>
      </c>
      <c r="I12" s="366">
        <v>83836</v>
      </c>
      <c r="J12" s="366">
        <v>87718</v>
      </c>
      <c r="K12" s="366">
        <v>89330</v>
      </c>
      <c r="L12" s="366">
        <v>97684</v>
      </c>
      <c r="M12" s="366">
        <v>100757</v>
      </c>
    </row>
    <row r="13" spans="1:25" s="47" customFormat="1" ht="15" customHeight="1">
      <c r="A13" s="66"/>
      <c r="B13" s="438" t="s">
        <v>47</v>
      </c>
      <c r="C13" s="366">
        <v>64569</v>
      </c>
      <c r="D13" s="366">
        <v>66043</v>
      </c>
      <c r="E13" s="366">
        <v>68953</v>
      </c>
      <c r="F13" s="366">
        <v>72959</v>
      </c>
      <c r="G13" s="366">
        <v>76328</v>
      </c>
      <c r="H13" s="366">
        <v>80800</v>
      </c>
      <c r="I13" s="366">
        <v>81556</v>
      </c>
      <c r="J13" s="366">
        <v>85119</v>
      </c>
      <c r="K13" s="366">
        <v>87328</v>
      </c>
      <c r="L13" s="366">
        <v>94678</v>
      </c>
      <c r="M13" s="366">
        <v>96479</v>
      </c>
      <c r="O13" s="649">
        <f>+C13/C11*100</f>
        <v>47.307108997794693</v>
      </c>
      <c r="P13" s="649">
        <f t="shared" ref="P13" si="15">+D13/D11*100</f>
        <v>47.51841938640419</v>
      </c>
      <c r="Q13" s="649">
        <f t="shared" ref="Q13" si="16">+E13/E11*100</f>
        <v>48.15153631284916</v>
      </c>
      <c r="R13" s="649">
        <f t="shared" ref="R13" si="17">+F13/F11*100</f>
        <v>48.71142624417471</v>
      </c>
      <c r="S13" s="649">
        <f t="shared" ref="S13" si="18">+G13/G11*100</f>
        <v>48.463760754309661</v>
      </c>
      <c r="T13" s="649">
        <f t="shared" ref="T13" si="19">+H13/H11*100</f>
        <v>48.791386629469272</v>
      </c>
      <c r="U13" s="649">
        <f t="shared" ref="U13" si="20">+I13/I11*100</f>
        <v>49.310728451194734</v>
      </c>
      <c r="V13" s="649">
        <f t="shared" ref="V13" si="21">+J13/J11*100</f>
        <v>49.248135526536565</v>
      </c>
      <c r="W13" s="649">
        <f t="shared" ref="W13" si="22">+K13/K11*100</f>
        <v>49.433368429394648</v>
      </c>
      <c r="X13" s="649">
        <f t="shared" ref="X13" si="23">+L13/L11*100</f>
        <v>49.21866065023238</v>
      </c>
      <c r="Y13" s="649">
        <f t="shared" ref="Y13" si="24">+M13/M11*100</f>
        <v>48.915512381106893</v>
      </c>
    </row>
    <row r="14" spans="1:25" s="41" customFormat="1" ht="20.25" customHeight="1">
      <c r="A14" s="40" t="s">
        <v>70</v>
      </c>
      <c r="B14" s="437" t="s">
        <v>45</v>
      </c>
      <c r="C14" s="364">
        <v>119895</v>
      </c>
      <c r="D14" s="364">
        <v>121764</v>
      </c>
      <c r="E14" s="364">
        <v>123477</v>
      </c>
      <c r="F14" s="364">
        <v>130096</v>
      </c>
      <c r="G14" s="364">
        <v>136871</v>
      </c>
      <c r="H14" s="364">
        <v>144343</v>
      </c>
      <c r="I14" s="364">
        <v>138249</v>
      </c>
      <c r="J14" s="364">
        <v>135963</v>
      </c>
      <c r="K14" s="364">
        <v>141942</v>
      </c>
      <c r="L14" s="364">
        <v>156172</v>
      </c>
      <c r="M14" s="364">
        <v>169353</v>
      </c>
      <c r="O14" s="649">
        <f>+C14*100/C$5</f>
        <v>5.0288974427052988</v>
      </c>
      <c r="P14" s="649">
        <f t="shared" ref="P14:Y14" si="25">+D14*100/D$5</f>
        <v>4.9534550800740229</v>
      </c>
      <c r="Q14" s="649">
        <f t="shared" si="25"/>
        <v>4.8657952840676009</v>
      </c>
      <c r="R14" s="649">
        <f t="shared" si="25"/>
        <v>4.924299344529488</v>
      </c>
      <c r="S14" s="649">
        <f t="shared" si="25"/>
        <v>4.9456173954958249</v>
      </c>
      <c r="T14" s="649">
        <f t="shared" si="25"/>
        <v>5.0155355364537835</v>
      </c>
      <c r="U14" s="649">
        <f t="shared" si="25"/>
        <v>4.7176198318228879</v>
      </c>
      <c r="V14" s="649">
        <f t="shared" si="25"/>
        <v>4.6838166269065482</v>
      </c>
      <c r="W14" s="649">
        <f t="shared" si="25"/>
        <v>4.8571300494158285</v>
      </c>
      <c r="X14" s="649">
        <f t="shared" si="25"/>
        <v>4.9607594562769783</v>
      </c>
      <c r="Y14" s="649">
        <f t="shared" si="25"/>
        <v>5.1379282517033591</v>
      </c>
    </row>
    <row r="15" spans="1:25" s="47" customFormat="1" ht="15" customHeight="1">
      <c r="A15" s="66"/>
      <c r="B15" s="438" t="s">
        <v>46</v>
      </c>
      <c r="C15" s="366">
        <v>76740</v>
      </c>
      <c r="D15" s="366">
        <v>77240</v>
      </c>
      <c r="E15" s="366">
        <v>77620</v>
      </c>
      <c r="F15" s="366">
        <v>80653</v>
      </c>
      <c r="G15" s="366">
        <v>83817</v>
      </c>
      <c r="H15" s="366">
        <v>87877</v>
      </c>
      <c r="I15" s="366">
        <v>85329</v>
      </c>
      <c r="J15" s="366">
        <v>83980</v>
      </c>
      <c r="K15" s="366">
        <v>86890</v>
      </c>
      <c r="L15" s="366">
        <v>94376</v>
      </c>
      <c r="M15" s="366">
        <v>101143</v>
      </c>
    </row>
    <row r="16" spans="1:25" s="47" customFormat="1" ht="15" customHeight="1">
      <c r="A16" s="66"/>
      <c r="B16" s="438" t="s">
        <v>47</v>
      </c>
      <c r="C16" s="366">
        <v>43155</v>
      </c>
      <c r="D16" s="366">
        <v>44524</v>
      </c>
      <c r="E16" s="366">
        <v>45857</v>
      </c>
      <c r="F16" s="366">
        <v>49443</v>
      </c>
      <c r="G16" s="366">
        <v>53054</v>
      </c>
      <c r="H16" s="366">
        <v>56466</v>
      </c>
      <c r="I16" s="366">
        <v>52920</v>
      </c>
      <c r="J16" s="366">
        <v>51983</v>
      </c>
      <c r="K16" s="366">
        <v>55052</v>
      </c>
      <c r="L16" s="366">
        <v>61796</v>
      </c>
      <c r="M16" s="366">
        <v>68210</v>
      </c>
      <c r="O16" s="649">
        <f>+C16/C14*100</f>
        <v>35.993994745402226</v>
      </c>
      <c r="P16" s="649">
        <f t="shared" ref="P16" si="26">+D16/D14*100</f>
        <v>36.565815840478301</v>
      </c>
      <c r="Q16" s="649">
        <f t="shared" ref="Q16" si="27">+E16/E14*100</f>
        <v>37.138090494586038</v>
      </c>
      <c r="R16" s="649">
        <f t="shared" ref="R16" si="28">+F16/F14*100</f>
        <v>38.005011683679747</v>
      </c>
      <c r="S16" s="649">
        <f t="shared" ref="S16" si="29">+G16/G14*100</f>
        <v>38.762046014130092</v>
      </c>
      <c r="T16" s="649">
        <f t="shared" ref="T16" si="30">+H16/H14*100</f>
        <v>39.119319953167107</v>
      </c>
      <c r="U16" s="649">
        <f t="shared" ref="U16" si="31">+I16/I14*100</f>
        <v>38.278757893366318</v>
      </c>
      <c r="V16" s="649">
        <f t="shared" ref="V16" si="32">+J16/J14*100</f>
        <v>38.233195795915066</v>
      </c>
      <c r="W16" s="649">
        <f t="shared" ref="W16" si="33">+K16/K14*100</f>
        <v>38.784855786166176</v>
      </c>
      <c r="X16" s="649">
        <f t="shared" ref="X16" si="34">+L16/L14*100</f>
        <v>39.569192941116206</v>
      </c>
      <c r="Y16" s="649">
        <f t="shared" ref="Y16" si="35">+M16/M14*100</f>
        <v>40.276818243550458</v>
      </c>
    </row>
    <row r="17" spans="1:26" s="41" customFormat="1" ht="20.25" customHeight="1">
      <c r="A17" s="40" t="s">
        <v>69</v>
      </c>
      <c r="B17" s="437" t="s">
        <v>45</v>
      </c>
      <c r="C17" s="364">
        <v>176384</v>
      </c>
      <c r="D17" s="364">
        <v>182629</v>
      </c>
      <c r="E17" s="364">
        <v>189545</v>
      </c>
      <c r="F17" s="364">
        <v>201938</v>
      </c>
      <c r="G17" s="364">
        <v>213571</v>
      </c>
      <c r="H17" s="364">
        <v>223564</v>
      </c>
      <c r="I17" s="364">
        <v>243170</v>
      </c>
      <c r="J17" s="364">
        <v>254726</v>
      </c>
      <c r="K17" s="364">
        <v>263533</v>
      </c>
      <c r="L17" s="364">
        <v>284791</v>
      </c>
      <c r="M17" s="364">
        <v>296557</v>
      </c>
      <c r="O17" s="649">
        <f>+C17*100/C$5</f>
        <v>7.3982822180585632</v>
      </c>
      <c r="P17" s="649">
        <f t="shared" ref="P17:Y17" si="36">+D17*100/D$5</f>
        <v>7.4294910467694777</v>
      </c>
      <c r="Q17" s="649">
        <f t="shared" si="36"/>
        <v>7.4693033287056974</v>
      </c>
      <c r="R17" s="649">
        <f t="shared" si="36"/>
        <v>7.6436105724664536</v>
      </c>
      <c r="S17" s="649">
        <f t="shared" si="36"/>
        <v>7.7170507468597345</v>
      </c>
      <c r="T17" s="649">
        <f t="shared" si="36"/>
        <v>7.7682546896749667</v>
      </c>
      <c r="U17" s="649">
        <f t="shared" si="36"/>
        <v>8.2979523505007027</v>
      </c>
      <c r="V17" s="649">
        <f t="shared" si="36"/>
        <v>8.7751070078285807</v>
      </c>
      <c r="W17" s="649">
        <f t="shared" si="36"/>
        <v>9.0178668280896535</v>
      </c>
      <c r="X17" s="649">
        <f t="shared" si="36"/>
        <v>9.0463056521820615</v>
      </c>
      <c r="Y17" s="649">
        <f t="shared" si="36"/>
        <v>8.9971160153076308</v>
      </c>
    </row>
    <row r="18" spans="1:26" s="47" customFormat="1" ht="15" customHeight="1">
      <c r="A18" s="66"/>
      <c r="B18" s="438" t="s">
        <v>46</v>
      </c>
      <c r="C18" s="366">
        <v>89419</v>
      </c>
      <c r="D18" s="366">
        <v>91459</v>
      </c>
      <c r="E18" s="366">
        <v>93730</v>
      </c>
      <c r="F18" s="366">
        <v>99603</v>
      </c>
      <c r="G18" s="366">
        <v>106415</v>
      </c>
      <c r="H18" s="366">
        <v>110781</v>
      </c>
      <c r="I18" s="366">
        <v>121613</v>
      </c>
      <c r="J18" s="366">
        <v>125955</v>
      </c>
      <c r="K18" s="366">
        <v>129812</v>
      </c>
      <c r="L18" s="366">
        <v>141741</v>
      </c>
      <c r="M18" s="366">
        <v>149227</v>
      </c>
    </row>
    <row r="19" spans="1:26" s="47" customFormat="1" ht="15" customHeight="1">
      <c r="A19" s="66"/>
      <c r="B19" s="438" t="s">
        <v>47</v>
      </c>
      <c r="C19" s="366">
        <v>86965</v>
      </c>
      <c r="D19" s="366">
        <v>91170</v>
      </c>
      <c r="E19" s="366">
        <v>95815</v>
      </c>
      <c r="F19" s="366">
        <v>102335</v>
      </c>
      <c r="G19" s="366">
        <v>107156</v>
      </c>
      <c r="H19" s="366">
        <v>112783</v>
      </c>
      <c r="I19" s="366">
        <v>121557</v>
      </c>
      <c r="J19" s="366">
        <v>128771</v>
      </c>
      <c r="K19" s="366">
        <v>133721</v>
      </c>
      <c r="L19" s="366">
        <v>143050</v>
      </c>
      <c r="M19" s="366">
        <v>147330</v>
      </c>
      <c r="O19" s="649">
        <f>+C19/C17*100</f>
        <v>49.304358671988389</v>
      </c>
      <c r="P19" s="649">
        <f t="shared" ref="P19" si="37">+D19/D17*100</f>
        <v>49.920877845249109</v>
      </c>
      <c r="Q19" s="649">
        <f t="shared" ref="Q19" si="38">+E19/E17*100</f>
        <v>50.550001318948013</v>
      </c>
      <c r="R19" s="649">
        <f t="shared" ref="R19" si="39">+F19/F17*100</f>
        <v>50.67644524557042</v>
      </c>
      <c r="S19" s="649">
        <f t="shared" ref="S19" si="40">+G19/G17*100</f>
        <v>50.173478608987175</v>
      </c>
      <c r="T19" s="649">
        <f t="shared" ref="T19" si="41">+H19/H17*100</f>
        <v>50.447746506593191</v>
      </c>
      <c r="U19" s="649">
        <f t="shared" ref="U19" si="42">+I19/I17*100</f>
        <v>49.988485421721428</v>
      </c>
      <c r="V19" s="649">
        <f t="shared" ref="V19" si="43">+J19/J17*100</f>
        <v>50.552750798897641</v>
      </c>
      <c r="W19" s="649">
        <f t="shared" ref="W19" si="44">+K19/K17*100</f>
        <v>50.741652848030419</v>
      </c>
      <c r="X19" s="649">
        <f t="shared" ref="X19" si="45">+L19/L17*100</f>
        <v>50.229817655754573</v>
      </c>
      <c r="Y19" s="649">
        <f t="shared" ref="Y19" si="46">+M19/M17*100</f>
        <v>49.680162666873485</v>
      </c>
    </row>
    <row r="20" spans="1:26" s="41" customFormat="1" ht="20.25" customHeight="1">
      <c r="A20" s="40" t="s">
        <v>50</v>
      </c>
      <c r="B20" s="437" t="s">
        <v>45</v>
      </c>
      <c r="C20" s="364">
        <v>902091</v>
      </c>
      <c r="D20" s="364">
        <v>927748</v>
      </c>
      <c r="E20" s="364">
        <v>958705</v>
      </c>
      <c r="F20" s="364">
        <v>993716</v>
      </c>
      <c r="G20" s="364">
        <v>1092258</v>
      </c>
      <c r="H20" s="364">
        <v>1149282</v>
      </c>
      <c r="I20" s="364">
        <v>1091473</v>
      </c>
      <c r="J20" s="364">
        <v>1073089</v>
      </c>
      <c r="K20" s="364">
        <v>1066230</v>
      </c>
      <c r="L20" s="364">
        <v>1141072</v>
      </c>
      <c r="M20" s="364">
        <v>1179375</v>
      </c>
      <c r="O20" s="649">
        <f>+C20*100/C$5</f>
        <v>37.837467141978109</v>
      </c>
      <c r="P20" s="649">
        <f t="shared" ref="P20:Y20" si="47">+D20*100/D$5</f>
        <v>37.741516734244229</v>
      </c>
      <c r="Q20" s="649">
        <f t="shared" si="47"/>
        <v>37.779199914251478</v>
      </c>
      <c r="R20" s="649">
        <f t="shared" si="47"/>
        <v>37.613416611183006</v>
      </c>
      <c r="S20" s="649">
        <f t="shared" si="47"/>
        <v>39.467017594446439</v>
      </c>
      <c r="T20" s="649">
        <f t="shared" si="47"/>
        <v>39.934494311512701</v>
      </c>
      <c r="U20" s="649">
        <f t="shared" si="47"/>
        <v>37.245511147995451</v>
      </c>
      <c r="V20" s="649">
        <f t="shared" si="47"/>
        <v>36.967057952167288</v>
      </c>
      <c r="W20" s="649">
        <f t="shared" si="47"/>
        <v>36.485450202115217</v>
      </c>
      <c r="X20" s="649">
        <f t="shared" si="47"/>
        <v>36.245829689655537</v>
      </c>
      <c r="Y20" s="649">
        <f t="shared" si="47"/>
        <v>35.780553824571456</v>
      </c>
      <c r="Z20" s="649">
        <f>+R20+R23</f>
        <v>59.773066471757836</v>
      </c>
    </row>
    <row r="21" spans="1:26" s="47" customFormat="1" ht="15" customHeight="1">
      <c r="A21" s="66"/>
      <c r="B21" s="438" t="s">
        <v>46</v>
      </c>
      <c r="C21" s="366">
        <v>527897</v>
      </c>
      <c r="D21" s="366">
        <v>541440</v>
      </c>
      <c r="E21" s="366">
        <v>558904</v>
      </c>
      <c r="F21" s="366">
        <v>577377</v>
      </c>
      <c r="G21" s="366">
        <v>623424</v>
      </c>
      <c r="H21" s="366">
        <v>656464</v>
      </c>
      <c r="I21" s="366">
        <v>631996</v>
      </c>
      <c r="J21" s="366">
        <v>627429</v>
      </c>
      <c r="K21" s="366">
        <v>617966</v>
      </c>
      <c r="L21" s="366">
        <v>660462</v>
      </c>
      <c r="M21" s="366">
        <v>686194</v>
      </c>
    </row>
    <row r="22" spans="1:26" s="47" customFormat="1" ht="15" customHeight="1">
      <c r="A22" s="66"/>
      <c r="B22" s="438" t="s">
        <v>47</v>
      </c>
      <c r="C22" s="366">
        <v>374194</v>
      </c>
      <c r="D22" s="366">
        <v>386308</v>
      </c>
      <c r="E22" s="366">
        <v>399801</v>
      </c>
      <c r="F22" s="366">
        <v>416339</v>
      </c>
      <c r="G22" s="366">
        <v>468834</v>
      </c>
      <c r="H22" s="366">
        <v>492818</v>
      </c>
      <c r="I22" s="366">
        <v>459477</v>
      </c>
      <c r="J22" s="366">
        <v>445660</v>
      </c>
      <c r="K22" s="366">
        <v>448264</v>
      </c>
      <c r="L22" s="366">
        <v>480610</v>
      </c>
      <c r="M22" s="366">
        <v>493181</v>
      </c>
      <c r="O22" s="649">
        <f>+C22/C20*100</f>
        <v>41.480737530914283</v>
      </c>
      <c r="P22" s="649">
        <f t="shared" ref="P22" si="48">+D22/D20*100</f>
        <v>41.639324471731548</v>
      </c>
      <c r="Q22" s="649">
        <f t="shared" ref="Q22" si="49">+E22/E20*100</f>
        <v>41.702192019442897</v>
      </c>
      <c r="R22" s="649">
        <f t="shared" ref="R22" si="50">+F22/F20*100</f>
        <v>41.897181891003065</v>
      </c>
      <c r="S22" s="649">
        <f t="shared" ref="S22" si="51">+G22/G20*100</f>
        <v>42.923375246507696</v>
      </c>
      <c r="T22" s="649">
        <f t="shared" ref="T22" si="52">+H22/H20*100</f>
        <v>42.880511484561666</v>
      </c>
      <c r="U22" s="649">
        <f t="shared" ref="U22" si="53">+I22/I20*100</f>
        <v>42.096964377497201</v>
      </c>
      <c r="V22" s="649">
        <f t="shared" ref="V22" si="54">+J22/J20*100</f>
        <v>41.530572021519184</v>
      </c>
      <c r="W22" s="649">
        <f t="shared" ref="W22" si="55">+K22/K20*100</f>
        <v>42.041960927754801</v>
      </c>
      <c r="X22" s="649">
        <f t="shared" ref="X22" si="56">+L22/L20*100</f>
        <v>42.119165135942346</v>
      </c>
      <c r="Y22" s="649">
        <f t="shared" ref="Y22" si="57">+M22/M20*100</f>
        <v>41.817148913619498</v>
      </c>
    </row>
    <row r="23" spans="1:26" s="41" customFormat="1" ht="20.25" customHeight="1">
      <c r="A23" s="40" t="s">
        <v>71</v>
      </c>
      <c r="B23" s="437" t="s">
        <v>45</v>
      </c>
      <c r="C23" s="364">
        <v>519108</v>
      </c>
      <c r="D23" s="364">
        <v>535910</v>
      </c>
      <c r="E23" s="364">
        <v>555223</v>
      </c>
      <c r="F23" s="364">
        <v>585440</v>
      </c>
      <c r="G23" s="364">
        <v>569141</v>
      </c>
      <c r="H23" s="364">
        <v>582366</v>
      </c>
      <c r="I23" s="364">
        <v>594326</v>
      </c>
      <c r="J23" s="364">
        <v>575153</v>
      </c>
      <c r="K23" s="364">
        <v>555639</v>
      </c>
      <c r="L23" s="364">
        <v>602364</v>
      </c>
      <c r="M23" s="364">
        <v>665042</v>
      </c>
      <c r="O23" s="649">
        <f>+C23*100/C$5</f>
        <v>21.773559311796674</v>
      </c>
      <c r="P23" s="649">
        <f t="shared" ref="P23:Y23" si="58">+D23*100/D$5</f>
        <v>21.801239380789639</v>
      </c>
      <c r="Q23" s="649">
        <f t="shared" si="58"/>
        <v>21.879390129383331</v>
      </c>
      <c r="R23" s="649">
        <f t="shared" si="58"/>
        <v>22.159649860574831</v>
      </c>
      <c r="S23" s="649">
        <f t="shared" si="58"/>
        <v>20.565011069473368</v>
      </c>
      <c r="T23" s="649">
        <f t="shared" si="58"/>
        <v>20.235670370038338</v>
      </c>
      <c r="U23" s="649">
        <f t="shared" si="58"/>
        <v>20.280827522571371</v>
      </c>
      <c r="V23" s="649">
        <f t="shared" si="58"/>
        <v>19.813560927716967</v>
      </c>
      <c r="W23" s="649">
        <f t="shared" si="58"/>
        <v>19.013476515248211</v>
      </c>
      <c r="X23" s="649">
        <f t="shared" si="58"/>
        <v>19.133922272371652</v>
      </c>
      <c r="Y23" s="649">
        <f t="shared" si="58"/>
        <v>20.176424866222064</v>
      </c>
    </row>
    <row r="24" spans="1:26" s="47" customFormat="1" ht="15" customHeight="1">
      <c r="A24" s="66"/>
      <c r="B24" s="438" t="s">
        <v>46</v>
      </c>
      <c r="C24" s="366">
        <v>222139</v>
      </c>
      <c r="D24" s="366">
        <v>233306</v>
      </c>
      <c r="E24" s="366">
        <v>237914</v>
      </c>
      <c r="F24" s="366">
        <v>254447</v>
      </c>
      <c r="G24" s="366">
        <v>248727</v>
      </c>
      <c r="H24" s="366">
        <v>255362</v>
      </c>
      <c r="I24" s="366">
        <v>257099</v>
      </c>
      <c r="J24" s="366">
        <v>251110</v>
      </c>
      <c r="K24" s="366">
        <v>240263</v>
      </c>
      <c r="L24" s="366">
        <v>260895</v>
      </c>
      <c r="M24" s="366">
        <v>289714</v>
      </c>
    </row>
    <row r="25" spans="1:26" s="47" customFormat="1" ht="15" customHeight="1">
      <c r="A25" s="66"/>
      <c r="B25" s="438" t="s">
        <v>47</v>
      </c>
      <c r="C25" s="366">
        <v>296969</v>
      </c>
      <c r="D25" s="366">
        <v>302604</v>
      </c>
      <c r="E25" s="366">
        <v>317309</v>
      </c>
      <c r="F25" s="366">
        <v>330993</v>
      </c>
      <c r="G25" s="366">
        <v>320414</v>
      </c>
      <c r="H25" s="366">
        <v>327004</v>
      </c>
      <c r="I25" s="366">
        <v>337227</v>
      </c>
      <c r="J25" s="366">
        <v>324043</v>
      </c>
      <c r="K25" s="366">
        <v>315376</v>
      </c>
      <c r="L25" s="366">
        <v>341469</v>
      </c>
      <c r="M25" s="366">
        <v>375328</v>
      </c>
      <c r="O25" s="649">
        <f>+C25/C23*100</f>
        <v>57.207556038435158</v>
      </c>
      <c r="P25" s="649">
        <f t="shared" ref="P25" si="59">+D25/D23*100</f>
        <v>56.465451288462617</v>
      </c>
      <c r="Q25" s="649">
        <f t="shared" ref="Q25" si="60">+E25/E23*100</f>
        <v>57.149829888171055</v>
      </c>
      <c r="R25" s="649">
        <f t="shared" ref="R25" si="61">+F25/F23*100</f>
        <v>56.537476086362389</v>
      </c>
      <c r="S25" s="649">
        <f t="shared" ref="S25" si="62">+G25/G23*100</f>
        <v>56.297824264988819</v>
      </c>
      <c r="T25" s="649">
        <f t="shared" ref="T25" si="63">+H25/H23*100</f>
        <v>56.150942877846575</v>
      </c>
      <c r="U25" s="649">
        <f t="shared" ref="U25" si="64">+I25/I23*100</f>
        <v>56.741081493994884</v>
      </c>
      <c r="V25" s="649">
        <f t="shared" ref="V25" si="65">+J25/J23*100</f>
        <v>56.340312925430283</v>
      </c>
      <c r="W25" s="649">
        <f t="shared" ref="W25" si="66">+K25/K23*100</f>
        <v>56.759154774952805</v>
      </c>
      <c r="X25" s="649">
        <f t="shared" ref="X25" si="67">+L25/L23*100</f>
        <v>56.68814869414507</v>
      </c>
      <c r="Y25" s="649">
        <f t="shared" ref="Y25" si="68">+M25/M23*100</f>
        <v>56.436736326427507</v>
      </c>
    </row>
    <row r="26" spans="1:26" s="41" customFormat="1" ht="20.25" customHeight="1">
      <c r="A26" s="40" t="s">
        <v>51</v>
      </c>
      <c r="B26" s="437" t="s">
        <v>45</v>
      </c>
      <c r="C26" s="364">
        <v>261276</v>
      </c>
      <c r="D26" s="364">
        <v>276984</v>
      </c>
      <c r="E26" s="364">
        <v>284805</v>
      </c>
      <c r="F26" s="364">
        <v>291322</v>
      </c>
      <c r="G26" s="364">
        <v>297838</v>
      </c>
      <c r="H26" s="364">
        <v>296301</v>
      </c>
      <c r="I26" s="364">
        <v>366355</v>
      </c>
      <c r="J26" s="364">
        <v>361526</v>
      </c>
      <c r="K26" s="364">
        <v>371122</v>
      </c>
      <c r="L26" s="364">
        <v>396732</v>
      </c>
      <c r="M26" s="364">
        <v>396317</v>
      </c>
      <c r="O26" s="649">
        <f>+C26*100/C$5</f>
        <v>10.959007533594143</v>
      </c>
      <c r="P26" s="649">
        <f t="shared" ref="P26:Y26" si="69">+D26*100/D$5</f>
        <v>11.267926496330796</v>
      </c>
      <c r="Q26" s="649">
        <f t="shared" si="69"/>
        <v>11.223165657400756</v>
      </c>
      <c r="R26" s="649">
        <f t="shared" si="69"/>
        <v>11.026908849211502</v>
      </c>
      <c r="S26" s="649">
        <f t="shared" si="69"/>
        <v>10.76190569104986</v>
      </c>
      <c r="T26" s="649">
        <f t="shared" si="69"/>
        <v>10.29567207960755</v>
      </c>
      <c r="U26" s="649">
        <f t="shared" si="69"/>
        <v>12.501527052546304</v>
      </c>
      <c r="V26" s="649">
        <f t="shared" si="69"/>
        <v>12.454281604988244</v>
      </c>
      <c r="W26" s="649">
        <f t="shared" si="69"/>
        <v>12.699467516304555</v>
      </c>
      <c r="X26" s="649">
        <f t="shared" si="69"/>
        <v>12.602079890170312</v>
      </c>
      <c r="Y26" s="649">
        <f t="shared" si="69"/>
        <v>12.023691997958821</v>
      </c>
    </row>
    <row r="27" spans="1:26" s="47" customFormat="1" ht="15" customHeight="1">
      <c r="A27" s="66"/>
      <c r="B27" s="438" t="s">
        <v>46</v>
      </c>
      <c r="C27" s="366">
        <v>110519</v>
      </c>
      <c r="D27" s="366">
        <v>117350</v>
      </c>
      <c r="E27" s="366">
        <v>120466</v>
      </c>
      <c r="F27" s="366">
        <v>127061</v>
      </c>
      <c r="G27" s="366">
        <v>136792</v>
      </c>
      <c r="H27" s="366">
        <v>139286</v>
      </c>
      <c r="I27" s="366">
        <v>175214</v>
      </c>
      <c r="J27" s="366">
        <v>175948</v>
      </c>
      <c r="K27" s="366">
        <v>183201</v>
      </c>
      <c r="L27" s="366">
        <v>202071</v>
      </c>
      <c r="M27" s="366">
        <v>210562</v>
      </c>
    </row>
    <row r="28" spans="1:26" s="47" customFormat="1" ht="15" customHeight="1">
      <c r="A28" s="66"/>
      <c r="B28" s="438" t="s">
        <v>47</v>
      </c>
      <c r="C28" s="366">
        <v>150757</v>
      </c>
      <c r="D28" s="366">
        <v>159634</v>
      </c>
      <c r="E28" s="366">
        <v>164339</v>
      </c>
      <c r="F28" s="366">
        <v>164261</v>
      </c>
      <c r="G28" s="366">
        <v>161046</v>
      </c>
      <c r="H28" s="366">
        <v>157015</v>
      </c>
      <c r="I28" s="366">
        <v>191141</v>
      </c>
      <c r="J28" s="366">
        <v>185578</v>
      </c>
      <c r="K28" s="366">
        <v>187921</v>
      </c>
      <c r="L28" s="366">
        <v>194661</v>
      </c>
      <c r="M28" s="366">
        <v>185755</v>
      </c>
      <c r="O28" s="649">
        <f>+C28/C26*100</f>
        <v>57.700286287297722</v>
      </c>
      <c r="P28" s="649">
        <f t="shared" ref="P28" si="70">+D28/D26*100</f>
        <v>57.63293186610057</v>
      </c>
      <c r="Q28" s="649">
        <f t="shared" ref="Q28" si="71">+E28/E26*100</f>
        <v>57.702287530064432</v>
      </c>
      <c r="R28" s="649">
        <f t="shared" ref="R28" si="72">+F28/F26*100</f>
        <v>56.38468773384777</v>
      </c>
      <c r="S28" s="649">
        <f t="shared" ref="S28" si="73">+G28/G26*100</f>
        <v>54.071676548996436</v>
      </c>
      <c r="T28" s="649">
        <f t="shared" ref="T28" si="74">+H28/H26*100</f>
        <v>52.991721256425052</v>
      </c>
      <c r="U28" s="649">
        <f t="shared" ref="U28" si="75">+I28/I26*100</f>
        <v>52.173711290960952</v>
      </c>
      <c r="V28" s="649">
        <f t="shared" ref="V28" si="76">+J28/J26*100</f>
        <v>51.331854417109703</v>
      </c>
      <c r="W28" s="649">
        <f t="shared" ref="W28" si="77">+K28/K26*100</f>
        <v>50.635909485290554</v>
      </c>
      <c r="X28" s="649">
        <f t="shared" ref="X28" si="78">+L28/L26*100</f>
        <v>49.066120202050755</v>
      </c>
      <c r="Y28" s="649">
        <f t="shared" ref="Y28" si="79">+M28/M26*100</f>
        <v>46.870308364263963</v>
      </c>
    </row>
    <row r="29" spans="1:26" s="41" customFormat="1" ht="20.25" customHeight="1">
      <c r="A29" s="40" t="s">
        <v>52</v>
      </c>
      <c r="B29" s="437" t="s">
        <v>45</v>
      </c>
      <c r="C29" s="364">
        <v>71319</v>
      </c>
      <c r="D29" s="364">
        <v>75916</v>
      </c>
      <c r="E29" s="364">
        <v>77732</v>
      </c>
      <c r="F29" s="364">
        <v>77332</v>
      </c>
      <c r="G29" s="364">
        <v>80226</v>
      </c>
      <c r="H29" s="364">
        <v>83279</v>
      </c>
      <c r="I29" s="364">
        <v>83612</v>
      </c>
      <c r="J29" s="364">
        <v>67374</v>
      </c>
      <c r="K29" s="364">
        <v>71949</v>
      </c>
      <c r="L29" s="364">
        <v>77132</v>
      </c>
      <c r="M29" s="364">
        <v>77066</v>
      </c>
      <c r="O29" s="649">
        <f>+C29*100/C$5</f>
        <v>2.9914169624779952</v>
      </c>
      <c r="P29" s="649">
        <f t="shared" ref="P29:Y29" si="80">+D29*100/D$5</f>
        <v>3.0883224586815441</v>
      </c>
      <c r="Q29" s="649">
        <f t="shared" si="80"/>
        <v>3.0631453551766139</v>
      </c>
      <c r="R29" s="649">
        <f t="shared" si="80"/>
        <v>2.9271147222908804</v>
      </c>
      <c r="S29" s="649">
        <f t="shared" si="80"/>
        <v>2.8988397920015783</v>
      </c>
      <c r="T29" s="649">
        <f t="shared" si="80"/>
        <v>2.8937238656556579</v>
      </c>
      <c r="U29" s="649">
        <f t="shared" si="80"/>
        <v>2.8531825140028158</v>
      </c>
      <c r="V29" s="649">
        <f t="shared" si="80"/>
        <v>2.3209804242419021</v>
      </c>
      <c r="W29" s="649">
        <f t="shared" si="80"/>
        <v>2.4620313221274848</v>
      </c>
      <c r="X29" s="649">
        <f t="shared" si="80"/>
        <v>2.4500761876748447</v>
      </c>
      <c r="Y29" s="649">
        <f t="shared" si="80"/>
        <v>2.3380724205994055</v>
      </c>
    </row>
    <row r="30" spans="1:26" s="47" customFormat="1" ht="15" customHeight="1">
      <c r="A30" s="66"/>
      <c r="B30" s="438" t="s">
        <v>46</v>
      </c>
      <c r="C30" s="366">
        <v>34813</v>
      </c>
      <c r="D30" s="366">
        <v>37250</v>
      </c>
      <c r="E30" s="366">
        <v>38595</v>
      </c>
      <c r="F30" s="366">
        <v>38822</v>
      </c>
      <c r="G30" s="366">
        <v>40797</v>
      </c>
      <c r="H30" s="366">
        <v>42768</v>
      </c>
      <c r="I30" s="366">
        <v>44355</v>
      </c>
      <c r="J30" s="366">
        <v>37514</v>
      </c>
      <c r="K30" s="366">
        <v>40387</v>
      </c>
      <c r="L30" s="366">
        <v>41791</v>
      </c>
      <c r="M30" s="366">
        <v>43325</v>
      </c>
    </row>
    <row r="31" spans="1:26" s="47" customFormat="1" ht="15" customHeight="1">
      <c r="A31" s="117"/>
      <c r="B31" s="85" t="s">
        <v>47</v>
      </c>
      <c r="C31" s="367">
        <v>36506</v>
      </c>
      <c r="D31" s="367">
        <v>38666</v>
      </c>
      <c r="E31" s="367">
        <v>39137</v>
      </c>
      <c r="F31" s="367">
        <v>38510</v>
      </c>
      <c r="G31" s="367">
        <v>39429</v>
      </c>
      <c r="H31" s="367">
        <v>40511</v>
      </c>
      <c r="I31" s="367">
        <v>39257</v>
      </c>
      <c r="J31" s="367">
        <v>29860</v>
      </c>
      <c r="K31" s="367">
        <v>31562</v>
      </c>
      <c r="L31" s="367">
        <v>35341</v>
      </c>
      <c r="M31" s="367">
        <v>33741</v>
      </c>
      <c r="O31" s="649">
        <f>+C31/C29*100</f>
        <v>51.186920736409661</v>
      </c>
      <c r="P31" s="649">
        <f t="shared" ref="P31" si="81">+D31/D29*100</f>
        <v>50.932609726539859</v>
      </c>
      <c r="Q31" s="649">
        <f t="shared" ref="Q31" si="82">+E31/E29*100</f>
        <v>50.348633767303042</v>
      </c>
      <c r="R31" s="649">
        <f t="shared" ref="R31" si="83">+F31/F29*100</f>
        <v>49.798272384006623</v>
      </c>
      <c r="S31" s="649">
        <f t="shared" ref="S31" si="84">+G31/G29*100</f>
        <v>49.147408570787526</v>
      </c>
      <c r="T31" s="649">
        <f t="shared" ref="T31" si="85">+H31/H29*100</f>
        <v>48.644916485548578</v>
      </c>
      <c r="U31" s="649">
        <f t="shared" ref="U31" si="86">+I31/I29*100</f>
        <v>46.951394536669376</v>
      </c>
      <c r="V31" s="649">
        <f t="shared" ref="V31" si="87">+J31/J29*100</f>
        <v>44.319767269273015</v>
      </c>
      <c r="W31" s="649">
        <f t="shared" ref="W31" si="88">+K31/K29*100</f>
        <v>43.867183699564968</v>
      </c>
      <c r="X31" s="649">
        <f t="shared" ref="X31" si="89">+L31/L29*100</f>
        <v>45.818855987138932</v>
      </c>
      <c r="Y31" s="649">
        <f t="shared" ref="Y31" si="90">+M31/M29*100</f>
        <v>43.781953131082446</v>
      </c>
    </row>
    <row r="32" spans="1:26" ht="15" customHeight="1">
      <c r="A32" s="21" t="s">
        <v>138</v>
      </c>
      <c r="B32" s="105"/>
      <c r="C32" s="55"/>
    </row>
    <row r="46" spans="2:2" ht="17.25" customHeight="1">
      <c r="B46" s="52"/>
    </row>
  </sheetData>
  <mergeCells count="1">
    <mergeCell ref="A1:M1"/>
  </mergeCells>
  <phoneticPr fontId="25" type="noConversion"/>
  <conditionalFormatting sqref="A1 N9 A33:F1048576 B32:F32 A2:F4 A5:I30 A31:E31 N32:XFD1048576 N1:XFD4 Z5:XFD29 N5:Y8 O9:Y29 O30:XFD31">
    <cfRule type="cellIs" dxfId="784" priority="56" operator="equal">
      <formula>0</formula>
    </cfRule>
  </conditionalFormatting>
  <conditionalFormatting sqref="A32">
    <cfRule type="cellIs" dxfId="783" priority="53" operator="equal">
      <formula>0</formula>
    </cfRule>
  </conditionalFormatting>
  <conditionalFormatting sqref="G32:G1048576 G2:G4 H4:I4">
    <cfRule type="cellIs" dxfId="782" priority="51" operator="equal">
      <formula>0</formula>
    </cfRule>
  </conditionalFormatting>
  <conditionalFormatting sqref="I32:I1048576 I2:I3">
    <cfRule type="cellIs" dxfId="781" priority="48" operator="equal">
      <formula>0</formula>
    </cfRule>
  </conditionalFormatting>
  <conditionalFormatting sqref="H32:H1048576 H2:H3">
    <cfRule type="cellIs" dxfId="780" priority="44" operator="equal">
      <formula>0</formula>
    </cfRule>
  </conditionalFormatting>
  <conditionalFormatting sqref="J5:J7">
    <cfRule type="cellIs" dxfId="779" priority="41" operator="equal">
      <formula>0</formula>
    </cfRule>
  </conditionalFormatting>
  <conditionalFormatting sqref="J4">
    <cfRule type="cellIs" dxfId="778" priority="40" operator="equal">
      <formula>0</formula>
    </cfRule>
  </conditionalFormatting>
  <conditionalFormatting sqref="J8:J30">
    <cfRule type="cellIs" dxfId="777" priority="38" operator="equal">
      <formula>0</formula>
    </cfRule>
  </conditionalFormatting>
  <conditionalFormatting sqref="J32:J1048576 J2:J3">
    <cfRule type="cellIs" dxfId="776" priority="37" operator="equal">
      <formula>0</formula>
    </cfRule>
  </conditionalFormatting>
  <conditionalFormatting sqref="K5:K7">
    <cfRule type="cellIs" dxfId="775" priority="36" operator="equal">
      <formula>0</formula>
    </cfRule>
  </conditionalFormatting>
  <conditionalFormatting sqref="K4">
    <cfRule type="cellIs" dxfId="774" priority="35" operator="equal">
      <formula>0</formula>
    </cfRule>
  </conditionalFormatting>
  <conditionalFormatting sqref="K8:K30">
    <cfRule type="cellIs" dxfId="773" priority="33" operator="equal">
      <formula>0</formula>
    </cfRule>
  </conditionalFormatting>
  <conditionalFormatting sqref="K32:K1048576 K2:K3">
    <cfRule type="cellIs" dxfId="772" priority="32" operator="equal">
      <formula>0</formula>
    </cfRule>
  </conditionalFormatting>
  <conditionalFormatting sqref="L5:L7">
    <cfRule type="cellIs" dxfId="771" priority="22" operator="equal">
      <formula>0</formula>
    </cfRule>
  </conditionalFormatting>
  <conditionalFormatting sqref="L4">
    <cfRule type="cellIs" dxfId="770" priority="21" operator="equal">
      <formula>0</formula>
    </cfRule>
  </conditionalFormatting>
  <conditionalFormatting sqref="L8:L30">
    <cfRule type="cellIs" dxfId="769" priority="19" operator="equal">
      <formula>0</formula>
    </cfRule>
  </conditionalFormatting>
  <conditionalFormatting sqref="L32:L1048576 L2:L3">
    <cfRule type="cellIs" dxfId="768" priority="18" operator="equal">
      <formula>0</formula>
    </cfRule>
  </conditionalFormatting>
  <conditionalFormatting sqref="F31">
    <cfRule type="cellIs" dxfId="767" priority="16" operator="equal">
      <formula>0</formula>
    </cfRule>
  </conditionalFormatting>
  <conditionalFormatting sqref="G31:I31">
    <cfRule type="cellIs" dxfId="766" priority="15" operator="equal">
      <formula>0</formula>
    </cfRule>
  </conditionalFormatting>
  <conditionalFormatting sqref="J31">
    <cfRule type="cellIs" dxfId="765" priority="14" operator="equal">
      <formula>0</formula>
    </cfRule>
  </conditionalFormatting>
  <conditionalFormatting sqref="K31">
    <cfRule type="cellIs" dxfId="764" priority="13" operator="equal">
      <formula>0</formula>
    </cfRule>
  </conditionalFormatting>
  <conditionalFormatting sqref="L31">
    <cfRule type="cellIs" dxfId="763" priority="12" operator="equal">
      <formula>0</formula>
    </cfRule>
  </conditionalFormatting>
  <conditionalFormatting sqref="M5:M7">
    <cfRule type="cellIs" dxfId="762" priority="5" operator="equal">
      <formula>0</formula>
    </cfRule>
  </conditionalFormatting>
  <conditionalFormatting sqref="M4">
    <cfRule type="cellIs" dxfId="761" priority="4" operator="equal">
      <formula>0</formula>
    </cfRule>
  </conditionalFormatting>
  <conditionalFormatting sqref="M8:M30">
    <cfRule type="cellIs" dxfId="760" priority="3" operator="equal">
      <formula>0</formula>
    </cfRule>
  </conditionalFormatting>
  <conditionalFormatting sqref="M32:M1048576 M2:M3">
    <cfRule type="cellIs" dxfId="759" priority="2" operator="equal">
      <formula>0</formula>
    </cfRule>
  </conditionalFormatting>
  <conditionalFormatting sqref="M31">
    <cfRule type="cellIs" dxfId="758"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1" orientation="portrait" r:id="rId1"/>
  <headerFooter>
    <oddHeader xml:space="preserve">&amp;C&amp;G
</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3F6BB-065D-4B17-81F9-5FA91E5FEA1E}">
  <sheetPr>
    <tabColor rgb="FFDBA9B3"/>
    <pageSetUpPr fitToPage="1"/>
  </sheetPr>
  <dimension ref="A1:O88"/>
  <sheetViews>
    <sheetView showGridLines="0" workbookViewId="0">
      <selection sqref="A1:M1"/>
    </sheetView>
  </sheetViews>
  <sheetFormatPr defaultColWidth="9.140625" defaultRowHeight="11.25"/>
  <cols>
    <col min="1" max="1" width="3" style="718" customWidth="1"/>
    <col min="2" max="2" width="44.42578125" style="719" customWidth="1"/>
    <col min="3" max="13" width="7.7109375" style="696" customWidth="1"/>
    <col min="14" max="16384" width="9.140625" style="696"/>
  </cols>
  <sheetData>
    <row r="1" spans="1:13" s="693" customFormat="1" ht="23.1" customHeight="1">
      <c r="A1" s="797" t="s">
        <v>652</v>
      </c>
      <c r="B1" s="797"/>
      <c r="C1" s="797"/>
      <c r="D1" s="797"/>
      <c r="E1" s="797"/>
      <c r="F1" s="797"/>
      <c r="G1" s="797"/>
      <c r="H1" s="797"/>
      <c r="I1" s="797"/>
      <c r="J1" s="797"/>
      <c r="K1" s="797"/>
      <c r="L1" s="797"/>
      <c r="M1" s="797"/>
    </row>
    <row r="2" spans="1:13" ht="9.6" customHeight="1">
      <c r="A2" s="694"/>
      <c r="B2" s="695"/>
      <c r="C2" s="695"/>
      <c r="D2" s="695"/>
      <c r="E2" s="695"/>
      <c r="F2" s="695"/>
      <c r="G2" s="695"/>
      <c r="H2" s="695"/>
      <c r="I2" s="695"/>
      <c r="J2" s="695"/>
      <c r="K2" s="695"/>
      <c r="L2" s="695"/>
      <c r="M2" s="695"/>
    </row>
    <row r="3" spans="1:13" s="118" customFormat="1" ht="15" customHeight="1">
      <c r="A3" s="697" t="s">
        <v>42</v>
      </c>
      <c r="B3" s="698"/>
      <c r="C3" s="31"/>
      <c r="D3" s="31"/>
      <c r="E3" s="31"/>
      <c r="F3" s="31"/>
      <c r="G3" s="31"/>
      <c r="H3" s="31"/>
      <c r="I3" s="31"/>
      <c r="J3" s="31"/>
      <c r="K3" s="31"/>
      <c r="L3" s="31"/>
      <c r="M3" s="31"/>
    </row>
    <row r="4" spans="1:13" s="118" customFormat="1" ht="22.5" customHeight="1" thickBot="1">
      <c r="A4" s="107" t="s">
        <v>653</v>
      </c>
      <c r="B4" s="699"/>
      <c r="C4" s="204">
        <v>2013</v>
      </c>
      <c r="D4" s="204">
        <v>2014</v>
      </c>
      <c r="E4" s="204">
        <v>2015</v>
      </c>
      <c r="F4" s="204">
        <v>2016</v>
      </c>
      <c r="G4" s="204">
        <v>2017</v>
      </c>
      <c r="H4" s="204">
        <v>2018</v>
      </c>
      <c r="I4" s="204">
        <v>2019</v>
      </c>
      <c r="J4" s="204">
        <v>2020</v>
      </c>
      <c r="K4" s="204">
        <v>2021</v>
      </c>
      <c r="L4" s="204">
        <v>2022</v>
      </c>
      <c r="M4" s="204">
        <v>2023</v>
      </c>
    </row>
    <row r="5" spans="1:13" s="118" customFormat="1" ht="24" customHeight="1" thickTop="1">
      <c r="A5" s="700"/>
      <c r="B5" s="701" t="s">
        <v>12</v>
      </c>
      <c r="C5" s="702">
        <v>2384121</v>
      </c>
      <c r="D5" s="702">
        <v>2458163</v>
      </c>
      <c r="E5" s="702">
        <v>2537653</v>
      </c>
      <c r="F5" s="702">
        <v>2641919</v>
      </c>
      <c r="G5" s="702">
        <v>2767521</v>
      </c>
      <c r="H5" s="702">
        <v>2877918</v>
      </c>
      <c r="I5" s="702">
        <v>2930482</v>
      </c>
      <c r="J5" s="702">
        <v>2902825</v>
      </c>
      <c r="K5" s="702">
        <v>2922343</v>
      </c>
      <c r="L5" s="702">
        <v>3148147</v>
      </c>
      <c r="M5" s="702">
        <v>3296134</v>
      </c>
    </row>
    <row r="6" spans="1:13" s="118" customFormat="1" ht="24" customHeight="1">
      <c r="A6" s="700">
        <v>1</v>
      </c>
      <c r="B6" s="703" t="s">
        <v>654</v>
      </c>
      <c r="C6" s="7">
        <v>103488</v>
      </c>
      <c r="D6" s="7">
        <v>102919</v>
      </c>
      <c r="E6" s="7">
        <v>102237</v>
      </c>
      <c r="F6" s="7">
        <v>102101</v>
      </c>
      <c r="G6" s="7">
        <v>103477</v>
      </c>
      <c r="H6" s="7">
        <v>103469</v>
      </c>
      <c r="I6" s="7">
        <v>102017</v>
      </c>
      <c r="J6" s="7">
        <v>103372</v>
      </c>
      <c r="K6" s="7">
        <v>101914</v>
      </c>
      <c r="L6" s="7">
        <v>108618</v>
      </c>
      <c r="M6" s="7">
        <v>112926</v>
      </c>
    </row>
    <row r="7" spans="1:13" s="118" customFormat="1" ht="21" customHeight="1">
      <c r="A7" s="704">
        <v>11</v>
      </c>
      <c r="B7" s="705" t="s">
        <v>655</v>
      </c>
      <c r="C7" s="706">
        <v>14624</v>
      </c>
      <c r="D7" s="706">
        <v>14566</v>
      </c>
      <c r="E7" s="706">
        <v>14586</v>
      </c>
      <c r="F7" s="706">
        <v>14773</v>
      </c>
      <c r="G7" s="706">
        <v>15327</v>
      </c>
      <c r="H7" s="706">
        <v>15542</v>
      </c>
      <c r="I7" s="706">
        <v>15291</v>
      </c>
      <c r="J7" s="706">
        <v>15291</v>
      </c>
      <c r="K7" s="706">
        <v>15593</v>
      </c>
      <c r="L7" s="706">
        <v>16594</v>
      </c>
      <c r="M7" s="706">
        <v>17071</v>
      </c>
    </row>
    <row r="8" spans="1:13" s="118" customFormat="1" ht="12.75" customHeight="1">
      <c r="A8" s="704">
        <v>12</v>
      </c>
      <c r="B8" s="705" t="s">
        <v>656</v>
      </c>
      <c r="C8" s="706">
        <v>34035</v>
      </c>
      <c r="D8" s="706">
        <v>34362</v>
      </c>
      <c r="E8" s="706">
        <v>34158</v>
      </c>
      <c r="F8" s="706">
        <v>34318</v>
      </c>
      <c r="G8" s="706">
        <v>35282</v>
      </c>
      <c r="H8" s="706">
        <v>34806</v>
      </c>
      <c r="I8" s="706">
        <v>34200</v>
      </c>
      <c r="J8" s="706">
        <v>35160</v>
      </c>
      <c r="K8" s="706">
        <v>34365</v>
      </c>
      <c r="L8" s="706">
        <v>36390</v>
      </c>
      <c r="M8" s="706">
        <v>37296</v>
      </c>
    </row>
    <row r="9" spans="1:13" s="118" customFormat="1" ht="12.75" customHeight="1">
      <c r="A9" s="704">
        <v>13</v>
      </c>
      <c r="B9" s="705" t="s">
        <v>657</v>
      </c>
      <c r="C9" s="706">
        <v>25511</v>
      </c>
      <c r="D9" s="706">
        <v>25339</v>
      </c>
      <c r="E9" s="706">
        <v>24936</v>
      </c>
      <c r="F9" s="706">
        <v>25216</v>
      </c>
      <c r="G9" s="706">
        <v>24949</v>
      </c>
      <c r="H9" s="706">
        <v>25104</v>
      </c>
      <c r="I9" s="706">
        <v>24498</v>
      </c>
      <c r="J9" s="706">
        <v>25721</v>
      </c>
      <c r="K9" s="706">
        <v>25535</v>
      </c>
      <c r="L9" s="706">
        <v>26924</v>
      </c>
      <c r="M9" s="706">
        <v>27936</v>
      </c>
    </row>
    <row r="10" spans="1:13" s="118" customFormat="1" ht="16.5" customHeight="1">
      <c r="A10" s="704">
        <v>14</v>
      </c>
      <c r="B10" s="705" t="s">
        <v>658</v>
      </c>
      <c r="C10" s="706">
        <v>29318</v>
      </c>
      <c r="D10" s="706">
        <v>28652</v>
      </c>
      <c r="E10" s="706">
        <v>28557</v>
      </c>
      <c r="F10" s="706">
        <v>27794</v>
      </c>
      <c r="G10" s="706">
        <v>27919</v>
      </c>
      <c r="H10" s="706">
        <v>28017</v>
      </c>
      <c r="I10" s="706">
        <v>28028</v>
      </c>
      <c r="J10" s="706">
        <v>27200</v>
      </c>
      <c r="K10" s="706">
        <v>26421</v>
      </c>
      <c r="L10" s="706">
        <v>28710</v>
      </c>
      <c r="M10" s="706">
        <v>30623</v>
      </c>
    </row>
    <row r="11" spans="1:13" s="468" customFormat="1" ht="12.75" customHeight="1">
      <c r="A11" s="707">
        <v>2</v>
      </c>
      <c r="B11" s="708" t="s">
        <v>659</v>
      </c>
      <c r="C11" s="7">
        <v>248750</v>
      </c>
      <c r="D11" s="7">
        <v>257358</v>
      </c>
      <c r="E11" s="7">
        <v>268541</v>
      </c>
      <c r="F11" s="7">
        <v>279378</v>
      </c>
      <c r="G11" s="7">
        <v>293235</v>
      </c>
      <c r="H11" s="7">
        <v>314401</v>
      </c>
      <c r="I11" s="7">
        <v>332396</v>
      </c>
      <c r="J11" s="7">
        <v>345330</v>
      </c>
      <c r="K11" s="7">
        <v>358638</v>
      </c>
      <c r="L11" s="7">
        <v>394102</v>
      </c>
      <c r="M11" s="7">
        <v>416579</v>
      </c>
    </row>
    <row r="12" spans="1:13" s="118" customFormat="1" ht="23.25" customHeight="1">
      <c r="A12" s="709">
        <v>21</v>
      </c>
      <c r="B12" s="705" t="s">
        <v>660</v>
      </c>
      <c r="C12" s="706">
        <v>52392</v>
      </c>
      <c r="D12" s="706">
        <v>53936</v>
      </c>
      <c r="E12" s="706">
        <v>57203</v>
      </c>
      <c r="F12" s="706">
        <v>58756</v>
      </c>
      <c r="G12" s="706">
        <v>61272</v>
      </c>
      <c r="H12" s="706">
        <v>65788</v>
      </c>
      <c r="I12" s="706">
        <v>70069</v>
      </c>
      <c r="J12" s="706">
        <v>71824</v>
      </c>
      <c r="K12" s="706">
        <v>73837</v>
      </c>
      <c r="L12" s="706">
        <v>81649</v>
      </c>
      <c r="M12" s="706">
        <v>85228</v>
      </c>
    </row>
    <row r="13" spans="1:13" s="118" customFormat="1" ht="12.75" customHeight="1">
      <c r="A13" s="709">
        <v>22</v>
      </c>
      <c r="B13" s="705" t="s">
        <v>661</v>
      </c>
      <c r="C13" s="706">
        <v>43112</v>
      </c>
      <c r="D13" s="706">
        <v>44788</v>
      </c>
      <c r="E13" s="706">
        <v>49436</v>
      </c>
      <c r="F13" s="706">
        <v>53612</v>
      </c>
      <c r="G13" s="706">
        <v>57092</v>
      </c>
      <c r="H13" s="706">
        <v>60819</v>
      </c>
      <c r="I13" s="706">
        <v>64767</v>
      </c>
      <c r="J13" s="706">
        <v>68337</v>
      </c>
      <c r="K13" s="706">
        <v>71562</v>
      </c>
      <c r="L13" s="706">
        <v>74125</v>
      </c>
      <c r="M13" s="706">
        <v>77078</v>
      </c>
    </row>
    <row r="14" spans="1:13" s="118" customFormat="1" ht="12.75" customHeight="1">
      <c r="A14" s="709">
        <v>23</v>
      </c>
      <c r="B14" s="705" t="s">
        <v>662</v>
      </c>
      <c r="C14" s="706">
        <v>37763</v>
      </c>
      <c r="D14" s="706">
        <v>37921</v>
      </c>
      <c r="E14" s="706">
        <v>37898</v>
      </c>
      <c r="F14" s="706">
        <v>37561</v>
      </c>
      <c r="G14" s="706">
        <v>36741</v>
      </c>
      <c r="H14" s="706">
        <v>37838</v>
      </c>
      <c r="I14" s="706">
        <v>38064</v>
      </c>
      <c r="J14" s="706">
        <v>38061</v>
      </c>
      <c r="K14" s="706">
        <v>37418</v>
      </c>
      <c r="L14" s="706">
        <v>39217</v>
      </c>
      <c r="M14" s="706">
        <v>41141</v>
      </c>
    </row>
    <row r="15" spans="1:13" s="118" customFormat="1" ht="20.25" customHeight="1">
      <c r="A15" s="709">
        <v>24</v>
      </c>
      <c r="B15" s="705" t="s">
        <v>663</v>
      </c>
      <c r="C15" s="706">
        <v>58621</v>
      </c>
      <c r="D15" s="706">
        <v>60284</v>
      </c>
      <c r="E15" s="706">
        <v>62197</v>
      </c>
      <c r="F15" s="706">
        <v>64163</v>
      </c>
      <c r="G15" s="706">
        <v>69115</v>
      </c>
      <c r="H15" s="706">
        <v>73962</v>
      </c>
      <c r="I15" s="706">
        <v>77524</v>
      </c>
      <c r="J15" s="706">
        <v>79819</v>
      </c>
      <c r="K15" s="706">
        <v>81725</v>
      </c>
      <c r="L15" s="706">
        <v>91927</v>
      </c>
      <c r="M15" s="706">
        <v>100382</v>
      </c>
    </row>
    <row r="16" spans="1:13" s="118" customFormat="1" ht="24" customHeight="1">
      <c r="A16" s="709">
        <v>25</v>
      </c>
      <c r="B16" s="705" t="s">
        <v>664</v>
      </c>
      <c r="C16" s="706">
        <v>30200</v>
      </c>
      <c r="D16" s="706">
        <v>33107</v>
      </c>
      <c r="E16" s="706">
        <v>34612</v>
      </c>
      <c r="F16" s="706">
        <v>37200</v>
      </c>
      <c r="G16" s="706">
        <v>41013</v>
      </c>
      <c r="H16" s="706">
        <v>46836</v>
      </c>
      <c r="I16" s="706">
        <v>52225</v>
      </c>
      <c r="J16" s="706">
        <v>57060</v>
      </c>
      <c r="K16" s="706">
        <v>62968</v>
      </c>
      <c r="L16" s="706">
        <v>74050</v>
      </c>
      <c r="M16" s="706">
        <v>78822</v>
      </c>
    </row>
    <row r="17" spans="1:14" s="118" customFormat="1" ht="21.6" customHeight="1">
      <c r="A17" s="709">
        <v>26</v>
      </c>
      <c r="B17" s="705" t="s">
        <v>665</v>
      </c>
      <c r="C17" s="706">
        <v>26662</v>
      </c>
      <c r="D17" s="706">
        <v>27322</v>
      </c>
      <c r="E17" s="706">
        <v>27195</v>
      </c>
      <c r="F17" s="706">
        <v>28086</v>
      </c>
      <c r="G17" s="706">
        <v>28002</v>
      </c>
      <c r="H17" s="706">
        <v>29158</v>
      </c>
      <c r="I17" s="706">
        <v>29747</v>
      </c>
      <c r="J17" s="706">
        <v>30229</v>
      </c>
      <c r="K17" s="706">
        <v>31128</v>
      </c>
      <c r="L17" s="706">
        <v>33134</v>
      </c>
      <c r="M17" s="706">
        <v>33928</v>
      </c>
    </row>
    <row r="18" spans="1:14" s="468" customFormat="1" ht="12.75" customHeight="1">
      <c r="A18" s="707">
        <v>3</v>
      </c>
      <c r="B18" s="708" t="s">
        <v>666</v>
      </c>
      <c r="C18" s="7">
        <v>240864</v>
      </c>
      <c r="D18" s="7">
        <v>246049</v>
      </c>
      <c r="E18" s="7">
        <v>251040</v>
      </c>
      <c r="F18" s="7">
        <v>259812</v>
      </c>
      <c r="G18" s="7">
        <v>269831</v>
      </c>
      <c r="H18" s="7">
        <v>281971</v>
      </c>
      <c r="I18" s="7">
        <v>289631</v>
      </c>
      <c r="J18" s="7">
        <v>296724</v>
      </c>
      <c r="K18" s="7">
        <v>303361</v>
      </c>
      <c r="L18" s="7">
        <v>325171</v>
      </c>
      <c r="M18" s="7">
        <v>340854</v>
      </c>
    </row>
    <row r="19" spans="1:14" s="118" customFormat="1" ht="21.75" customHeight="1">
      <c r="A19" s="709">
        <v>31</v>
      </c>
      <c r="B19" s="705" t="s">
        <v>667</v>
      </c>
      <c r="C19" s="706">
        <v>82275</v>
      </c>
      <c r="D19" s="706">
        <v>83627</v>
      </c>
      <c r="E19" s="706">
        <v>83071</v>
      </c>
      <c r="F19" s="706">
        <v>85723</v>
      </c>
      <c r="G19" s="706">
        <v>89328</v>
      </c>
      <c r="H19" s="706">
        <v>92148</v>
      </c>
      <c r="I19" s="706">
        <v>94638</v>
      </c>
      <c r="J19" s="706">
        <v>96148</v>
      </c>
      <c r="K19" s="706">
        <v>98883</v>
      </c>
      <c r="L19" s="706">
        <v>105038</v>
      </c>
      <c r="M19" s="706">
        <v>108851</v>
      </c>
    </row>
    <row r="20" spans="1:14" s="118" customFormat="1" ht="12.75" customHeight="1">
      <c r="A20" s="709">
        <v>32</v>
      </c>
      <c r="B20" s="705" t="s">
        <v>668</v>
      </c>
      <c r="C20" s="706">
        <v>25770</v>
      </c>
      <c r="D20" s="706">
        <v>25957</v>
      </c>
      <c r="E20" s="706">
        <v>27510</v>
      </c>
      <c r="F20" s="706">
        <v>29401</v>
      </c>
      <c r="G20" s="706">
        <v>30282</v>
      </c>
      <c r="H20" s="706">
        <v>31997</v>
      </c>
      <c r="I20" s="706">
        <v>33339</v>
      </c>
      <c r="J20" s="706">
        <v>34286</v>
      </c>
      <c r="K20" s="706">
        <v>35389</v>
      </c>
      <c r="L20" s="706">
        <v>38640</v>
      </c>
      <c r="M20" s="706">
        <v>40419</v>
      </c>
    </row>
    <row r="21" spans="1:14" s="118" customFormat="1" ht="21" customHeight="1">
      <c r="A21" s="709">
        <v>33</v>
      </c>
      <c r="B21" s="705" t="s">
        <v>669</v>
      </c>
      <c r="C21" s="706">
        <v>96858</v>
      </c>
      <c r="D21" s="706">
        <v>98955</v>
      </c>
      <c r="E21" s="706">
        <v>101831</v>
      </c>
      <c r="F21" s="706">
        <v>103925</v>
      </c>
      <c r="G21" s="706">
        <v>107541</v>
      </c>
      <c r="H21" s="706">
        <v>112524</v>
      </c>
      <c r="I21" s="706">
        <v>116356</v>
      </c>
      <c r="J21" s="706">
        <v>117262</v>
      </c>
      <c r="K21" s="706">
        <v>119390</v>
      </c>
      <c r="L21" s="706">
        <v>129968</v>
      </c>
      <c r="M21" s="706">
        <v>136418</v>
      </c>
    </row>
    <row r="22" spans="1:14" s="118" customFormat="1" ht="21.75" customHeight="1">
      <c r="A22" s="709">
        <v>34</v>
      </c>
      <c r="B22" s="705" t="s">
        <v>670</v>
      </c>
      <c r="C22" s="706">
        <v>12322</v>
      </c>
      <c r="D22" s="706">
        <v>12407</v>
      </c>
      <c r="E22" s="706">
        <v>13251</v>
      </c>
      <c r="F22" s="706">
        <v>13881</v>
      </c>
      <c r="G22" s="706">
        <v>14527</v>
      </c>
      <c r="H22" s="706">
        <v>15556</v>
      </c>
      <c r="I22" s="706">
        <v>16018</v>
      </c>
      <c r="J22" s="706">
        <v>16333</v>
      </c>
      <c r="K22" s="706">
        <v>16751</v>
      </c>
      <c r="L22" s="706">
        <v>18580</v>
      </c>
      <c r="M22" s="706">
        <v>19744</v>
      </c>
    </row>
    <row r="23" spans="1:14" s="118" customFormat="1" ht="12.75" customHeight="1">
      <c r="A23" s="709">
        <v>35</v>
      </c>
      <c r="B23" s="705" t="s">
        <v>671</v>
      </c>
      <c r="C23" s="706">
        <v>23639</v>
      </c>
      <c r="D23" s="706">
        <v>25103</v>
      </c>
      <c r="E23" s="706">
        <v>25377</v>
      </c>
      <c r="F23" s="706">
        <v>26882</v>
      </c>
      <c r="G23" s="706">
        <v>28153</v>
      </c>
      <c r="H23" s="706">
        <v>29746</v>
      </c>
      <c r="I23" s="706">
        <v>29280</v>
      </c>
      <c r="J23" s="706">
        <v>32695</v>
      </c>
      <c r="K23" s="706">
        <v>32948</v>
      </c>
      <c r="L23" s="706">
        <v>32945</v>
      </c>
      <c r="M23" s="706">
        <v>35422</v>
      </c>
    </row>
    <row r="24" spans="1:14" s="468" customFormat="1" ht="12.75" customHeight="1">
      <c r="A24" s="707">
        <v>4</v>
      </c>
      <c r="B24" s="708" t="s">
        <v>672</v>
      </c>
      <c r="C24" s="7">
        <v>322068</v>
      </c>
      <c r="D24" s="7">
        <v>329818</v>
      </c>
      <c r="E24" s="7">
        <v>339590</v>
      </c>
      <c r="F24" s="7">
        <v>354101</v>
      </c>
      <c r="G24" s="7">
        <v>364437</v>
      </c>
      <c r="H24" s="7">
        <v>379700</v>
      </c>
      <c r="I24" s="7">
        <v>385649</v>
      </c>
      <c r="J24" s="7">
        <v>383564</v>
      </c>
      <c r="K24" s="7">
        <v>383195</v>
      </c>
      <c r="L24" s="7">
        <v>421193</v>
      </c>
      <c r="M24" s="7">
        <v>434712</v>
      </c>
      <c r="N24" s="118"/>
    </row>
    <row r="25" spans="1:14" s="118" customFormat="1" ht="22.5" customHeight="1">
      <c r="A25" s="709">
        <v>41</v>
      </c>
      <c r="B25" s="710" t="s">
        <v>673</v>
      </c>
      <c r="C25" s="706">
        <v>126039</v>
      </c>
      <c r="D25" s="706">
        <v>127415</v>
      </c>
      <c r="E25" s="706">
        <v>128408</v>
      </c>
      <c r="F25" s="706">
        <v>129773</v>
      </c>
      <c r="G25" s="706">
        <v>131357</v>
      </c>
      <c r="H25" s="706">
        <v>134432</v>
      </c>
      <c r="I25" s="706">
        <v>133588</v>
      </c>
      <c r="J25" s="706">
        <v>134498</v>
      </c>
      <c r="K25" s="706">
        <v>131641</v>
      </c>
      <c r="L25" s="706">
        <v>137034</v>
      </c>
      <c r="M25" s="706">
        <v>134608</v>
      </c>
    </row>
    <row r="26" spans="1:14" s="118" customFormat="1" ht="12.75" customHeight="1">
      <c r="A26" s="709">
        <v>42</v>
      </c>
      <c r="B26" s="705" t="s">
        <v>674</v>
      </c>
      <c r="C26" s="706">
        <v>73626</v>
      </c>
      <c r="D26" s="706">
        <v>76136</v>
      </c>
      <c r="E26" s="706">
        <v>79863</v>
      </c>
      <c r="F26" s="706">
        <v>85134</v>
      </c>
      <c r="G26" s="706">
        <v>86371</v>
      </c>
      <c r="H26" s="706">
        <v>88218</v>
      </c>
      <c r="I26" s="706">
        <v>88739</v>
      </c>
      <c r="J26" s="706">
        <v>86178</v>
      </c>
      <c r="K26" s="706">
        <v>88505</v>
      </c>
      <c r="L26" s="706">
        <v>101022</v>
      </c>
      <c r="M26" s="706">
        <v>108751</v>
      </c>
      <c r="N26" s="468"/>
    </row>
    <row r="27" spans="1:14" s="118" customFormat="1" ht="24.75" customHeight="1">
      <c r="A27" s="709">
        <v>43</v>
      </c>
      <c r="B27" s="705" t="s">
        <v>675</v>
      </c>
      <c r="C27" s="706">
        <v>92425</v>
      </c>
      <c r="D27" s="706">
        <v>94203</v>
      </c>
      <c r="E27" s="706">
        <v>97173</v>
      </c>
      <c r="F27" s="706">
        <v>102609</v>
      </c>
      <c r="G27" s="706">
        <v>107467</v>
      </c>
      <c r="H27" s="706">
        <v>112889</v>
      </c>
      <c r="I27" s="706">
        <v>116133</v>
      </c>
      <c r="J27" s="706">
        <v>114428</v>
      </c>
      <c r="K27" s="706">
        <v>113739</v>
      </c>
      <c r="L27" s="706">
        <v>126169</v>
      </c>
      <c r="M27" s="706">
        <v>129618</v>
      </c>
    </row>
    <row r="28" spans="1:14" s="118" customFormat="1" ht="12.75" customHeight="1">
      <c r="A28" s="709">
        <v>44</v>
      </c>
      <c r="B28" s="705" t="s">
        <v>676</v>
      </c>
      <c r="C28" s="706">
        <v>29978</v>
      </c>
      <c r="D28" s="706">
        <v>32064</v>
      </c>
      <c r="E28" s="706">
        <v>34146</v>
      </c>
      <c r="F28" s="706">
        <v>36585</v>
      </c>
      <c r="G28" s="706">
        <v>39242</v>
      </c>
      <c r="H28" s="706">
        <v>44161</v>
      </c>
      <c r="I28" s="706">
        <v>47189</v>
      </c>
      <c r="J28" s="706">
        <v>48460</v>
      </c>
      <c r="K28" s="706">
        <v>49310</v>
      </c>
      <c r="L28" s="706">
        <v>56968</v>
      </c>
      <c r="M28" s="706">
        <v>61735</v>
      </c>
    </row>
    <row r="29" spans="1:14" s="468" customFormat="1" ht="12.75" customHeight="1">
      <c r="A29" s="707">
        <v>5</v>
      </c>
      <c r="B29" s="703" t="s">
        <v>677</v>
      </c>
      <c r="C29" s="7">
        <v>502616</v>
      </c>
      <c r="D29" s="7">
        <v>522200</v>
      </c>
      <c r="E29" s="7">
        <v>543846</v>
      </c>
      <c r="F29" s="7">
        <v>569034</v>
      </c>
      <c r="G29" s="7">
        <v>601609</v>
      </c>
      <c r="H29" s="7">
        <v>617409</v>
      </c>
      <c r="I29" s="7">
        <v>636383</v>
      </c>
      <c r="J29" s="7">
        <v>600680</v>
      </c>
      <c r="K29" s="7">
        <v>604817</v>
      </c>
      <c r="L29" s="7">
        <v>658740</v>
      </c>
      <c r="M29" s="7">
        <v>691852</v>
      </c>
      <c r="N29" s="118"/>
    </row>
    <row r="30" spans="1:14" s="118" customFormat="1" ht="12.75" customHeight="1">
      <c r="A30" s="709">
        <v>51</v>
      </c>
      <c r="B30" s="705" t="s">
        <v>678</v>
      </c>
      <c r="C30" s="706">
        <v>127934</v>
      </c>
      <c r="D30" s="706">
        <v>134873</v>
      </c>
      <c r="E30" s="706">
        <v>143866</v>
      </c>
      <c r="F30" s="706">
        <v>152750</v>
      </c>
      <c r="G30" s="706">
        <v>166640</v>
      </c>
      <c r="H30" s="706">
        <v>172287</v>
      </c>
      <c r="I30" s="706">
        <v>175785</v>
      </c>
      <c r="J30" s="706">
        <v>149906</v>
      </c>
      <c r="K30" s="706">
        <v>151093</v>
      </c>
      <c r="L30" s="706">
        <v>174365</v>
      </c>
      <c r="M30" s="706">
        <v>186103</v>
      </c>
    </row>
    <row r="31" spans="1:14" s="130" customFormat="1" ht="12.75" customHeight="1">
      <c r="A31" s="709">
        <v>52</v>
      </c>
      <c r="B31" s="705" t="s">
        <v>679</v>
      </c>
      <c r="C31" s="706">
        <v>254653</v>
      </c>
      <c r="D31" s="706">
        <v>263151</v>
      </c>
      <c r="E31" s="706">
        <v>270985</v>
      </c>
      <c r="F31" s="706">
        <v>280655</v>
      </c>
      <c r="G31" s="706">
        <v>291243</v>
      </c>
      <c r="H31" s="706">
        <v>298789</v>
      </c>
      <c r="I31" s="706">
        <v>309982</v>
      </c>
      <c r="J31" s="706">
        <v>295149</v>
      </c>
      <c r="K31" s="706">
        <v>299247</v>
      </c>
      <c r="L31" s="706">
        <v>320061</v>
      </c>
      <c r="M31" s="706">
        <v>331326</v>
      </c>
      <c r="N31" s="118"/>
    </row>
    <row r="32" spans="1:14" s="118" customFormat="1" ht="12.75" customHeight="1">
      <c r="A32" s="709">
        <v>53</v>
      </c>
      <c r="B32" s="705" t="s">
        <v>680</v>
      </c>
      <c r="C32" s="706">
        <v>78127</v>
      </c>
      <c r="D32" s="706">
        <v>81286</v>
      </c>
      <c r="E32" s="706">
        <v>86092</v>
      </c>
      <c r="F32" s="706">
        <v>91219</v>
      </c>
      <c r="G32" s="706">
        <v>95144</v>
      </c>
      <c r="H32" s="706">
        <v>98128</v>
      </c>
      <c r="I32" s="706">
        <v>99748</v>
      </c>
      <c r="J32" s="706">
        <v>104516</v>
      </c>
      <c r="K32" s="706">
        <v>105485</v>
      </c>
      <c r="L32" s="706">
        <v>110716</v>
      </c>
      <c r="M32" s="706">
        <v>117247</v>
      </c>
    </row>
    <row r="33" spans="1:15" s="118" customFormat="1" ht="12.75" customHeight="1">
      <c r="A33" s="709">
        <v>54</v>
      </c>
      <c r="B33" s="705" t="s">
        <v>681</v>
      </c>
      <c r="C33" s="706">
        <v>41902</v>
      </c>
      <c r="D33" s="706">
        <v>42890</v>
      </c>
      <c r="E33" s="706">
        <v>42903</v>
      </c>
      <c r="F33" s="706">
        <v>44410</v>
      </c>
      <c r="G33" s="706">
        <v>48582</v>
      </c>
      <c r="H33" s="706">
        <v>48205</v>
      </c>
      <c r="I33" s="706">
        <v>50868</v>
      </c>
      <c r="J33" s="706">
        <v>51109</v>
      </c>
      <c r="K33" s="706">
        <v>48992</v>
      </c>
      <c r="L33" s="706">
        <v>53598</v>
      </c>
      <c r="M33" s="706">
        <v>57176</v>
      </c>
      <c r="N33" s="468"/>
    </row>
    <row r="34" spans="1:15" s="468" customFormat="1" ht="16.5" customHeight="1">
      <c r="A34" s="700">
        <v>6</v>
      </c>
      <c r="B34" s="703" t="s">
        <v>682</v>
      </c>
      <c r="C34" s="7">
        <v>30746</v>
      </c>
      <c r="D34" s="7">
        <v>31493</v>
      </c>
      <c r="E34" s="7">
        <v>32226</v>
      </c>
      <c r="F34" s="7">
        <v>32914</v>
      </c>
      <c r="G34" s="7">
        <v>33535</v>
      </c>
      <c r="H34" s="7">
        <v>36393</v>
      </c>
      <c r="I34" s="7">
        <v>36879</v>
      </c>
      <c r="J34" s="7">
        <v>39132</v>
      </c>
      <c r="K34" s="7">
        <v>36652</v>
      </c>
      <c r="L34" s="7">
        <v>37073</v>
      </c>
      <c r="M34" s="7">
        <v>37292</v>
      </c>
      <c r="N34" s="118"/>
    </row>
    <row r="35" spans="1:15" s="118" customFormat="1" ht="21.75" customHeight="1">
      <c r="A35" s="704">
        <v>61</v>
      </c>
      <c r="B35" s="705" t="s">
        <v>683</v>
      </c>
      <c r="C35" s="706">
        <v>22187</v>
      </c>
      <c r="D35" s="706">
        <v>23060</v>
      </c>
      <c r="E35" s="706">
        <v>23476</v>
      </c>
      <c r="F35" s="706">
        <v>24249</v>
      </c>
      <c r="G35" s="706">
        <v>24932</v>
      </c>
      <c r="H35" s="706">
        <v>27605</v>
      </c>
      <c r="I35" s="706">
        <v>28319</v>
      </c>
      <c r="J35" s="706">
        <v>30718</v>
      </c>
      <c r="K35" s="706">
        <v>29429</v>
      </c>
      <c r="L35" s="706">
        <v>29294</v>
      </c>
      <c r="M35" s="706">
        <v>29598</v>
      </c>
    </row>
    <row r="36" spans="1:15" s="118" customFormat="1" ht="22.5" customHeight="1">
      <c r="A36" s="704">
        <v>62</v>
      </c>
      <c r="B36" s="705" t="s">
        <v>684</v>
      </c>
      <c r="C36" s="706">
        <v>8559</v>
      </c>
      <c r="D36" s="706">
        <v>8433</v>
      </c>
      <c r="E36" s="706">
        <v>8750</v>
      </c>
      <c r="F36" s="706">
        <v>8665</v>
      </c>
      <c r="G36" s="706">
        <v>8603</v>
      </c>
      <c r="H36" s="706">
        <v>8788</v>
      </c>
      <c r="I36" s="706">
        <v>8560</v>
      </c>
      <c r="J36" s="706">
        <v>8414</v>
      </c>
      <c r="K36" s="706">
        <v>7223</v>
      </c>
      <c r="L36" s="706">
        <v>7779</v>
      </c>
      <c r="M36" s="706">
        <v>7694</v>
      </c>
    </row>
    <row r="37" spans="1:15" s="468" customFormat="1" ht="12.75" customHeight="1">
      <c r="A37" s="700">
        <v>7</v>
      </c>
      <c r="B37" s="703" t="s">
        <v>685</v>
      </c>
      <c r="C37" s="7">
        <v>360756</v>
      </c>
      <c r="D37" s="7">
        <v>368809</v>
      </c>
      <c r="E37" s="7">
        <v>376388</v>
      </c>
      <c r="F37" s="7">
        <v>384741</v>
      </c>
      <c r="G37" s="7">
        <v>400615</v>
      </c>
      <c r="H37" s="7">
        <v>413669</v>
      </c>
      <c r="I37" s="7">
        <v>416319</v>
      </c>
      <c r="J37" s="7">
        <v>417902</v>
      </c>
      <c r="K37" s="7">
        <v>412413</v>
      </c>
      <c r="L37" s="7">
        <v>440677</v>
      </c>
      <c r="M37" s="7">
        <v>457733</v>
      </c>
      <c r="N37" s="118"/>
      <c r="O37" s="118"/>
    </row>
    <row r="38" spans="1:15" s="118" customFormat="1" ht="12.75" customHeight="1">
      <c r="A38" s="704">
        <v>71</v>
      </c>
      <c r="B38" s="705" t="s">
        <v>686</v>
      </c>
      <c r="C38" s="706">
        <v>97722</v>
      </c>
      <c r="D38" s="706">
        <v>98146</v>
      </c>
      <c r="E38" s="706">
        <v>100428</v>
      </c>
      <c r="F38" s="706">
        <v>103664</v>
      </c>
      <c r="G38" s="706">
        <v>110634</v>
      </c>
      <c r="H38" s="706">
        <v>116374</v>
      </c>
      <c r="I38" s="706">
        <v>121288</v>
      </c>
      <c r="J38" s="706">
        <v>126443</v>
      </c>
      <c r="K38" s="706">
        <v>125656</v>
      </c>
      <c r="L38" s="706">
        <v>137470</v>
      </c>
      <c r="M38" s="706">
        <v>149415</v>
      </c>
    </row>
    <row r="39" spans="1:15" s="118" customFormat="1" ht="12.75" customHeight="1">
      <c r="A39" s="704">
        <v>72</v>
      </c>
      <c r="B39" s="705" t="s">
        <v>687</v>
      </c>
      <c r="C39" s="706">
        <v>99982</v>
      </c>
      <c r="D39" s="706">
        <v>102263</v>
      </c>
      <c r="E39" s="706">
        <v>104231</v>
      </c>
      <c r="F39" s="706">
        <v>106329</v>
      </c>
      <c r="G39" s="706">
        <v>110705</v>
      </c>
      <c r="H39" s="706">
        <v>114993</v>
      </c>
      <c r="I39" s="706">
        <v>114006</v>
      </c>
      <c r="J39" s="706">
        <v>111881</v>
      </c>
      <c r="K39" s="706">
        <v>110688</v>
      </c>
      <c r="L39" s="706">
        <v>117004</v>
      </c>
      <c r="M39" s="706">
        <v>122278</v>
      </c>
      <c r="N39" s="468"/>
    </row>
    <row r="40" spans="1:15" s="118" customFormat="1" ht="23.25" customHeight="1">
      <c r="A40" s="704">
        <v>73</v>
      </c>
      <c r="B40" s="705" t="s">
        <v>688</v>
      </c>
      <c r="C40" s="706">
        <v>18801</v>
      </c>
      <c r="D40" s="706">
        <v>19495</v>
      </c>
      <c r="E40" s="706">
        <v>19592</v>
      </c>
      <c r="F40" s="706">
        <v>19618</v>
      </c>
      <c r="G40" s="706">
        <v>20340</v>
      </c>
      <c r="H40" s="706">
        <v>20903</v>
      </c>
      <c r="I40" s="706">
        <v>22916</v>
      </c>
      <c r="J40" s="706">
        <v>23331</v>
      </c>
      <c r="K40" s="706">
        <v>20621</v>
      </c>
      <c r="L40" s="706">
        <v>24295</v>
      </c>
      <c r="M40" s="706">
        <v>23570</v>
      </c>
    </row>
    <row r="41" spans="1:15" s="249" customFormat="1" ht="12.75" customHeight="1">
      <c r="A41" s="704">
        <v>74</v>
      </c>
      <c r="B41" s="705" t="s">
        <v>689</v>
      </c>
      <c r="C41" s="706">
        <v>33106</v>
      </c>
      <c r="D41" s="706">
        <v>33942</v>
      </c>
      <c r="E41" s="706">
        <v>34311</v>
      </c>
      <c r="F41" s="706">
        <v>34549</v>
      </c>
      <c r="G41" s="706">
        <v>35590</v>
      </c>
      <c r="H41" s="706">
        <v>37607</v>
      </c>
      <c r="I41" s="706">
        <v>38478</v>
      </c>
      <c r="J41" s="706">
        <v>39559</v>
      </c>
      <c r="K41" s="706">
        <v>39353</v>
      </c>
      <c r="L41" s="706">
        <v>42499</v>
      </c>
      <c r="M41" s="706">
        <v>45755</v>
      </c>
      <c r="N41" s="118"/>
      <c r="O41" s="118"/>
    </row>
    <row r="42" spans="1:15" s="249" customFormat="1" ht="22.5" customHeight="1">
      <c r="A42" s="704">
        <v>75</v>
      </c>
      <c r="B42" s="705" t="s">
        <v>690</v>
      </c>
      <c r="C42" s="706">
        <v>111145</v>
      </c>
      <c r="D42" s="706">
        <v>114963</v>
      </c>
      <c r="E42" s="706">
        <v>117826</v>
      </c>
      <c r="F42" s="706">
        <v>120581</v>
      </c>
      <c r="G42" s="706">
        <v>123346</v>
      </c>
      <c r="H42" s="706">
        <v>123792</v>
      </c>
      <c r="I42" s="706">
        <v>119631</v>
      </c>
      <c r="J42" s="706">
        <v>116688</v>
      </c>
      <c r="K42" s="706">
        <v>116095</v>
      </c>
      <c r="L42" s="706">
        <v>119409</v>
      </c>
      <c r="M42" s="706">
        <v>116715</v>
      </c>
      <c r="N42" s="118"/>
      <c r="O42" s="118"/>
    </row>
    <row r="43" spans="1:15" s="274" customFormat="1" ht="12.75" customHeight="1">
      <c r="A43" s="700">
        <v>8</v>
      </c>
      <c r="B43" s="703" t="s">
        <v>691</v>
      </c>
      <c r="C43" s="7">
        <v>264446</v>
      </c>
      <c r="D43" s="7">
        <v>274804</v>
      </c>
      <c r="E43" s="7">
        <v>280377</v>
      </c>
      <c r="F43" s="7">
        <v>291313</v>
      </c>
      <c r="G43" s="7">
        <v>307015</v>
      </c>
      <c r="H43" s="7">
        <v>315599</v>
      </c>
      <c r="I43" s="7">
        <v>307042</v>
      </c>
      <c r="J43" s="7">
        <v>302090</v>
      </c>
      <c r="K43" s="7">
        <v>298377</v>
      </c>
      <c r="L43" s="7">
        <v>315144</v>
      </c>
      <c r="M43" s="7">
        <v>324386</v>
      </c>
      <c r="N43" s="118"/>
      <c r="O43" s="468"/>
    </row>
    <row r="44" spans="1:15" s="249" customFormat="1" ht="12.75" customHeight="1">
      <c r="A44" s="704">
        <v>81</v>
      </c>
      <c r="B44" s="705" t="s">
        <v>692</v>
      </c>
      <c r="C44" s="706">
        <v>136624</v>
      </c>
      <c r="D44" s="706">
        <v>142396</v>
      </c>
      <c r="E44" s="706">
        <v>144184</v>
      </c>
      <c r="F44" s="706">
        <v>150285</v>
      </c>
      <c r="G44" s="706">
        <v>155358</v>
      </c>
      <c r="H44" s="706">
        <v>157097</v>
      </c>
      <c r="I44" s="706">
        <v>147320</v>
      </c>
      <c r="J44" s="706">
        <v>142969</v>
      </c>
      <c r="K44" s="706">
        <v>140883</v>
      </c>
      <c r="L44" s="706">
        <v>149878</v>
      </c>
      <c r="M44" s="706">
        <v>150252</v>
      </c>
      <c r="N44" s="468"/>
      <c r="O44" s="118"/>
    </row>
    <row r="45" spans="1:15" s="249" customFormat="1" ht="12.75" customHeight="1">
      <c r="A45" s="704">
        <v>82</v>
      </c>
      <c r="B45" s="705" t="s">
        <v>693</v>
      </c>
      <c r="C45" s="706">
        <v>25175</v>
      </c>
      <c r="D45" s="706">
        <v>25968</v>
      </c>
      <c r="E45" s="706">
        <v>27366</v>
      </c>
      <c r="F45" s="706">
        <v>29220</v>
      </c>
      <c r="G45" s="706">
        <v>33912</v>
      </c>
      <c r="H45" s="706">
        <v>37327</v>
      </c>
      <c r="I45" s="706">
        <v>37999</v>
      </c>
      <c r="J45" s="706">
        <v>37725</v>
      </c>
      <c r="K45" s="706">
        <v>36829</v>
      </c>
      <c r="L45" s="706">
        <v>38654</v>
      </c>
      <c r="M45" s="706">
        <v>40754</v>
      </c>
      <c r="N45" s="118"/>
      <c r="O45" s="118"/>
    </row>
    <row r="46" spans="1:15" s="249" customFormat="1" ht="12.75" customHeight="1">
      <c r="A46" s="704">
        <v>83</v>
      </c>
      <c r="B46" s="705" t="s">
        <v>694</v>
      </c>
      <c r="C46" s="706">
        <v>102647</v>
      </c>
      <c r="D46" s="706">
        <v>106440</v>
      </c>
      <c r="E46" s="706">
        <v>108827</v>
      </c>
      <c r="F46" s="706">
        <v>111808</v>
      </c>
      <c r="G46" s="706">
        <v>117745</v>
      </c>
      <c r="H46" s="706">
        <v>121175</v>
      </c>
      <c r="I46" s="706">
        <v>121723</v>
      </c>
      <c r="J46" s="706">
        <v>121396</v>
      </c>
      <c r="K46" s="706">
        <v>120665</v>
      </c>
      <c r="L46" s="706">
        <v>126612</v>
      </c>
      <c r="M46" s="706">
        <v>133380</v>
      </c>
      <c r="N46" s="130"/>
      <c r="O46" s="118"/>
    </row>
    <row r="47" spans="1:15" s="274" customFormat="1" ht="12.75" customHeight="1">
      <c r="A47" s="700">
        <v>9</v>
      </c>
      <c r="B47" s="703" t="s">
        <v>695</v>
      </c>
      <c r="C47" s="7">
        <v>308516</v>
      </c>
      <c r="D47" s="7">
        <v>322924</v>
      </c>
      <c r="E47" s="7">
        <v>341417</v>
      </c>
      <c r="F47" s="7">
        <v>366149</v>
      </c>
      <c r="G47" s="7">
        <v>391370</v>
      </c>
      <c r="H47" s="7">
        <v>413348</v>
      </c>
      <c r="I47" s="7">
        <v>422064</v>
      </c>
      <c r="J47" s="7">
        <v>411879</v>
      </c>
      <c r="K47" s="7">
        <v>420318</v>
      </c>
      <c r="L47" s="7">
        <v>444590</v>
      </c>
      <c r="M47" s="7">
        <v>477160</v>
      </c>
      <c r="N47" s="118"/>
      <c r="O47" s="118"/>
    </row>
    <row r="48" spans="1:15" s="249" customFormat="1" ht="12.75" customHeight="1">
      <c r="A48" s="704">
        <v>91</v>
      </c>
      <c r="B48" s="705" t="s">
        <v>696</v>
      </c>
      <c r="C48" s="706">
        <v>119321</v>
      </c>
      <c r="D48" s="706">
        <v>123993</v>
      </c>
      <c r="E48" s="706">
        <v>125174</v>
      </c>
      <c r="F48" s="706">
        <v>130002</v>
      </c>
      <c r="G48" s="706">
        <v>134282</v>
      </c>
      <c r="H48" s="706">
        <v>135743</v>
      </c>
      <c r="I48" s="706">
        <v>138855</v>
      </c>
      <c r="J48" s="706">
        <v>134415</v>
      </c>
      <c r="K48" s="706">
        <v>133230</v>
      </c>
      <c r="L48" s="706">
        <v>140521</v>
      </c>
      <c r="M48" s="706">
        <v>151717</v>
      </c>
      <c r="N48" s="118"/>
      <c r="O48" s="118"/>
    </row>
    <row r="49" spans="1:15" s="249" customFormat="1" ht="12.75" customHeight="1">
      <c r="A49" s="704">
        <v>92</v>
      </c>
      <c r="B49" s="705" t="s">
        <v>697</v>
      </c>
      <c r="C49" s="706">
        <v>22063</v>
      </c>
      <c r="D49" s="706">
        <v>24043</v>
      </c>
      <c r="E49" s="706">
        <v>25268</v>
      </c>
      <c r="F49" s="706">
        <v>28435</v>
      </c>
      <c r="G49" s="706">
        <v>28434</v>
      </c>
      <c r="H49" s="706">
        <v>29855</v>
      </c>
      <c r="I49" s="706">
        <v>31428</v>
      </c>
      <c r="J49" s="706">
        <v>33347</v>
      </c>
      <c r="K49" s="706">
        <v>31818</v>
      </c>
      <c r="L49" s="706">
        <v>37089</v>
      </c>
      <c r="M49" s="706">
        <v>41365</v>
      </c>
      <c r="N49" s="468"/>
      <c r="O49" s="118"/>
    </row>
    <row r="50" spans="1:15" s="249" customFormat="1" ht="12.75" customHeight="1">
      <c r="A50" s="704">
        <v>93</v>
      </c>
      <c r="B50" s="705" t="s">
        <v>698</v>
      </c>
      <c r="C50" s="706">
        <v>76058</v>
      </c>
      <c r="D50" s="706">
        <v>80191</v>
      </c>
      <c r="E50" s="706">
        <v>83184</v>
      </c>
      <c r="F50" s="706">
        <v>89988</v>
      </c>
      <c r="G50" s="706">
        <v>96411</v>
      </c>
      <c r="H50" s="706">
        <v>98575</v>
      </c>
      <c r="I50" s="706">
        <v>99099</v>
      </c>
      <c r="J50" s="706">
        <v>99281</v>
      </c>
      <c r="K50" s="706">
        <v>98648</v>
      </c>
      <c r="L50" s="706">
        <v>103533</v>
      </c>
      <c r="M50" s="706">
        <v>109965</v>
      </c>
      <c r="N50" s="118"/>
      <c r="O50" s="468"/>
    </row>
    <row r="51" spans="1:15" s="249" customFormat="1" ht="12.75" customHeight="1">
      <c r="A51" s="704">
        <v>94</v>
      </c>
      <c r="B51" s="705" t="s">
        <v>699</v>
      </c>
      <c r="C51" s="706">
        <v>31531</v>
      </c>
      <c r="D51" s="706">
        <v>32711</v>
      </c>
      <c r="E51" s="706">
        <v>35463</v>
      </c>
      <c r="F51" s="706">
        <v>37507</v>
      </c>
      <c r="G51" s="706">
        <v>39968</v>
      </c>
      <c r="H51" s="706">
        <v>43788</v>
      </c>
      <c r="I51" s="706">
        <v>45734</v>
      </c>
      <c r="J51" s="706">
        <v>38348</v>
      </c>
      <c r="K51" s="706">
        <v>39756</v>
      </c>
      <c r="L51" s="706">
        <v>48668</v>
      </c>
      <c r="M51" s="706">
        <v>58102</v>
      </c>
      <c r="N51" s="118"/>
      <c r="O51" s="118"/>
    </row>
    <row r="52" spans="1:15" s="249" customFormat="1" ht="12.75" customHeight="1">
      <c r="A52" s="704">
        <v>95</v>
      </c>
      <c r="B52" s="705" t="s">
        <v>700</v>
      </c>
      <c r="C52" s="706">
        <v>2538</v>
      </c>
      <c r="D52" s="706">
        <v>2668</v>
      </c>
      <c r="E52" s="706">
        <v>2669</v>
      </c>
      <c r="F52" s="706">
        <v>2817</v>
      </c>
      <c r="G52" s="706">
        <v>2793</v>
      </c>
      <c r="H52" s="706">
        <v>2886</v>
      </c>
      <c r="I52" s="706">
        <v>2899</v>
      </c>
      <c r="J52" s="706">
        <v>2689</v>
      </c>
      <c r="K52" s="706">
        <v>2613</v>
      </c>
      <c r="L52" s="706">
        <v>2616</v>
      </c>
      <c r="M52" s="706">
        <v>2716</v>
      </c>
      <c r="N52" s="468"/>
      <c r="O52" s="118"/>
    </row>
    <row r="53" spans="1:15" s="249" customFormat="1" ht="12.75" customHeight="1">
      <c r="A53" s="704">
        <v>96</v>
      </c>
      <c r="B53" s="705" t="s">
        <v>701</v>
      </c>
      <c r="C53" s="706">
        <v>57005</v>
      </c>
      <c r="D53" s="706">
        <v>59318</v>
      </c>
      <c r="E53" s="706">
        <v>69659</v>
      </c>
      <c r="F53" s="706">
        <v>77400</v>
      </c>
      <c r="G53" s="706">
        <v>89482</v>
      </c>
      <c r="H53" s="706">
        <v>102501</v>
      </c>
      <c r="I53" s="706">
        <v>104049</v>
      </c>
      <c r="J53" s="706">
        <v>103799</v>
      </c>
      <c r="K53" s="706">
        <v>114253</v>
      </c>
      <c r="L53" s="706">
        <v>112163</v>
      </c>
      <c r="M53" s="706">
        <v>113295</v>
      </c>
      <c r="N53" s="118"/>
      <c r="O53" s="118"/>
    </row>
    <row r="54" spans="1:15" s="249" customFormat="1" ht="12.75" customHeight="1">
      <c r="A54" s="711" t="s">
        <v>702</v>
      </c>
      <c r="B54" s="712"/>
      <c r="C54" s="7">
        <v>1871</v>
      </c>
      <c r="D54" s="7">
        <v>1789</v>
      </c>
      <c r="E54" s="7">
        <v>1991</v>
      </c>
      <c r="F54" s="7">
        <v>2376</v>
      </c>
      <c r="G54" s="7">
        <v>2397</v>
      </c>
      <c r="H54" s="7">
        <v>1959</v>
      </c>
      <c r="I54" s="7">
        <v>2102</v>
      </c>
      <c r="J54" s="7">
        <v>2152</v>
      </c>
      <c r="K54" s="7">
        <v>2658</v>
      </c>
      <c r="L54" s="7">
        <v>2839</v>
      </c>
      <c r="M54" s="7">
        <v>2640</v>
      </c>
      <c r="N54" s="118"/>
      <c r="O54" s="118"/>
    </row>
    <row r="55" spans="1:15" s="249" customFormat="1" ht="12.75" customHeight="1">
      <c r="A55" s="713"/>
      <c r="B55" s="714" t="s">
        <v>703</v>
      </c>
      <c r="C55" s="715">
        <v>1871</v>
      </c>
      <c r="D55" s="715">
        <v>1789</v>
      </c>
      <c r="E55" s="715">
        <v>1991</v>
      </c>
      <c r="F55" s="715">
        <v>2376</v>
      </c>
      <c r="G55" s="715">
        <v>2397</v>
      </c>
      <c r="H55" s="715">
        <v>1959</v>
      </c>
      <c r="I55" s="715">
        <v>2102</v>
      </c>
      <c r="J55" s="715">
        <v>2152</v>
      </c>
      <c r="K55" s="715">
        <v>2658</v>
      </c>
      <c r="L55" s="715">
        <v>2839</v>
      </c>
      <c r="M55" s="715">
        <v>2640</v>
      </c>
      <c r="N55" s="118"/>
      <c r="O55" s="118"/>
    </row>
    <row r="56" spans="1:15" s="249" customFormat="1" ht="15" customHeight="1">
      <c r="A56" s="716" t="s">
        <v>138</v>
      </c>
      <c r="B56" s="717"/>
      <c r="C56" s="97"/>
      <c r="D56" s="97"/>
      <c r="E56" s="98"/>
      <c r="F56" s="98"/>
      <c r="G56" s="98"/>
      <c r="H56" s="98"/>
      <c r="I56" s="98"/>
      <c r="J56" s="98"/>
      <c r="K56" s="98"/>
      <c r="L56" s="98"/>
      <c r="M56" s="98"/>
      <c r="O56" s="468"/>
    </row>
    <row r="57" spans="1:15" ht="10.5" customHeight="1">
      <c r="B57" s="212"/>
      <c r="C57" s="212"/>
      <c r="D57" s="212"/>
      <c r="E57" s="212"/>
      <c r="F57" s="212"/>
      <c r="G57" s="212"/>
      <c r="H57" s="212"/>
      <c r="I57" s="212"/>
      <c r="J57" s="212"/>
      <c r="K57" s="212"/>
      <c r="L57" s="692"/>
      <c r="M57" s="692"/>
      <c r="N57" s="249"/>
      <c r="O57" s="118"/>
    </row>
    <row r="58" spans="1:15" ht="15" customHeight="1">
      <c r="B58" s="212"/>
      <c r="N58" s="274"/>
      <c r="O58" s="118"/>
    </row>
    <row r="59" spans="1:15">
      <c r="N59" s="249"/>
      <c r="O59" s="118"/>
    </row>
    <row r="60" spans="1:15">
      <c r="N60" s="249"/>
      <c r="O60" s="118"/>
    </row>
    <row r="61" spans="1:15">
      <c r="N61" s="249"/>
      <c r="O61" s="468"/>
    </row>
    <row r="62" spans="1:15">
      <c r="N62" s="274"/>
      <c r="O62" s="118"/>
    </row>
    <row r="63" spans="1:15">
      <c r="N63" s="249"/>
      <c r="O63" s="130"/>
    </row>
    <row r="64" spans="1:15">
      <c r="N64" s="249"/>
      <c r="O64" s="118"/>
    </row>
    <row r="65" spans="14:15">
      <c r="N65" s="249"/>
      <c r="O65" s="118"/>
    </row>
    <row r="66" spans="14:15">
      <c r="N66" s="249"/>
      <c r="O66" s="468"/>
    </row>
    <row r="67" spans="14:15">
      <c r="N67" s="249"/>
      <c r="O67" s="118"/>
    </row>
    <row r="68" spans="14:15">
      <c r="N68" s="249"/>
      <c r="O68" s="118"/>
    </row>
    <row r="69" spans="14:15">
      <c r="N69" s="249"/>
      <c r="O69" s="468"/>
    </row>
    <row r="70" spans="14:15">
      <c r="N70" s="249"/>
      <c r="O70" s="118"/>
    </row>
    <row r="71" spans="14:15">
      <c r="N71" s="249"/>
      <c r="O71" s="118"/>
    </row>
    <row r="72" spans="14:15">
      <c r="O72" s="118"/>
    </row>
    <row r="73" spans="14:15">
      <c r="O73" s="249"/>
    </row>
    <row r="74" spans="14:15">
      <c r="O74" s="249"/>
    </row>
    <row r="75" spans="14:15">
      <c r="O75" s="274"/>
    </row>
    <row r="76" spans="14:15">
      <c r="O76" s="249"/>
    </row>
    <row r="77" spans="14:15">
      <c r="O77" s="249"/>
    </row>
    <row r="78" spans="14:15">
      <c r="O78" s="249"/>
    </row>
    <row r="79" spans="14:15">
      <c r="O79" s="274"/>
    </row>
    <row r="80" spans="14:15">
      <c r="O80" s="249"/>
    </row>
    <row r="81" spans="15:15">
      <c r="O81" s="249"/>
    </row>
    <row r="82" spans="15:15">
      <c r="O82" s="249"/>
    </row>
    <row r="83" spans="15:15">
      <c r="O83" s="249"/>
    </row>
    <row r="84" spans="15:15">
      <c r="O84" s="249"/>
    </row>
    <row r="85" spans="15:15">
      <c r="O85" s="249"/>
    </row>
    <row r="86" spans="15:15">
      <c r="O86" s="249"/>
    </row>
    <row r="87" spans="15:15">
      <c r="O87" s="249"/>
    </row>
    <row r="88" spans="15:15">
      <c r="O88" s="249"/>
    </row>
  </sheetData>
  <mergeCells count="1">
    <mergeCell ref="A1:M1"/>
  </mergeCells>
  <conditionalFormatting sqref="A1 A57:B57 E56 A2:C4 B56 A58:C1048576 C7:G53 A5:L6 C54:L55 N19:N78 N1:XFD3 N96:N1048576 O36:O1048576 P4:XFD1048576">
    <cfRule type="cellIs" dxfId="757" priority="35" operator="equal">
      <formula>0</formula>
    </cfRule>
  </conditionalFormatting>
  <conditionalFormatting sqref="C56">
    <cfRule type="cellIs" dxfId="756" priority="34" operator="equal">
      <formula>0</formula>
    </cfRule>
  </conditionalFormatting>
  <conditionalFormatting sqref="A56">
    <cfRule type="cellIs" dxfId="755" priority="33" operator="equal">
      <formula>0</formula>
    </cfRule>
  </conditionalFormatting>
  <conditionalFormatting sqref="E2:E4 E58:E1048576 F4:G4">
    <cfRule type="cellIs" dxfId="754" priority="32" operator="equal">
      <formula>0</formula>
    </cfRule>
  </conditionalFormatting>
  <conditionalFormatting sqref="D2:D4 D58:D1048576">
    <cfRule type="cellIs" dxfId="753" priority="31" operator="equal">
      <formula>0</formula>
    </cfRule>
  </conditionalFormatting>
  <conditionalFormatting sqref="D56">
    <cfRule type="cellIs" dxfId="752" priority="30" operator="equal">
      <formula>0</formula>
    </cfRule>
  </conditionalFormatting>
  <conditionalFormatting sqref="G56">
    <cfRule type="cellIs" dxfId="751" priority="29" operator="equal">
      <formula>0</formula>
    </cfRule>
  </conditionalFormatting>
  <conditionalFormatting sqref="G2:G3 G58:G1048576">
    <cfRule type="cellIs" dxfId="750" priority="28" operator="equal">
      <formula>0</formula>
    </cfRule>
  </conditionalFormatting>
  <conditionalFormatting sqref="F56">
    <cfRule type="cellIs" dxfId="749" priority="27" operator="equal">
      <formula>0</formula>
    </cfRule>
  </conditionalFormatting>
  <conditionalFormatting sqref="F2:F3 F58:F1048576">
    <cfRule type="cellIs" dxfId="748" priority="26" operator="equal">
      <formula>0</formula>
    </cfRule>
  </conditionalFormatting>
  <conditionalFormatting sqref="H4">
    <cfRule type="cellIs" dxfId="747" priority="25" operator="equal">
      <formula>0</formula>
    </cfRule>
  </conditionalFormatting>
  <conditionalFormatting sqref="H7:H53">
    <cfRule type="cellIs" dxfId="746" priority="24" operator="equal">
      <formula>0</formula>
    </cfRule>
  </conditionalFormatting>
  <conditionalFormatting sqref="H56">
    <cfRule type="cellIs" dxfId="745" priority="23" operator="equal">
      <formula>0</formula>
    </cfRule>
  </conditionalFormatting>
  <conditionalFormatting sqref="H2:H3 H58:H1048576">
    <cfRule type="cellIs" dxfId="744" priority="22" operator="equal">
      <formula>0</formula>
    </cfRule>
  </conditionalFormatting>
  <conditionalFormatting sqref="I4">
    <cfRule type="cellIs" dxfId="743" priority="21" operator="equal">
      <formula>0</formula>
    </cfRule>
  </conditionalFormatting>
  <conditionalFormatting sqref="I7:I53">
    <cfRule type="cellIs" dxfId="742" priority="20" operator="equal">
      <formula>0</formula>
    </cfRule>
  </conditionalFormatting>
  <conditionalFormatting sqref="I56">
    <cfRule type="cellIs" dxfId="741" priority="19" operator="equal">
      <formula>0</formula>
    </cfRule>
  </conditionalFormatting>
  <conditionalFormatting sqref="I2:I3 I58:I1048576">
    <cfRule type="cellIs" dxfId="740" priority="18" operator="equal">
      <formula>0</formula>
    </cfRule>
  </conditionalFormatting>
  <conditionalFormatting sqref="J7:J53">
    <cfRule type="cellIs" dxfId="739" priority="16" operator="equal">
      <formula>0</formula>
    </cfRule>
  </conditionalFormatting>
  <conditionalFormatting sqref="J4">
    <cfRule type="cellIs" dxfId="738" priority="17" operator="equal">
      <formula>0</formula>
    </cfRule>
  </conditionalFormatting>
  <conditionalFormatting sqref="J56">
    <cfRule type="cellIs" dxfId="737" priority="15" operator="equal">
      <formula>0</formula>
    </cfRule>
  </conditionalFormatting>
  <conditionalFormatting sqref="J2:J3 J58:J1048576">
    <cfRule type="cellIs" dxfId="736" priority="14" operator="equal">
      <formula>0</formula>
    </cfRule>
  </conditionalFormatting>
  <conditionalFormatting sqref="K4">
    <cfRule type="cellIs" dxfId="735" priority="13" operator="equal">
      <formula>0</formula>
    </cfRule>
  </conditionalFormatting>
  <conditionalFormatting sqref="K7:K53">
    <cfRule type="cellIs" dxfId="734" priority="12" operator="equal">
      <formula>0</formula>
    </cfRule>
  </conditionalFormatting>
  <conditionalFormatting sqref="K56">
    <cfRule type="cellIs" dxfId="733" priority="11" operator="equal">
      <formula>0</formula>
    </cfRule>
  </conditionalFormatting>
  <conditionalFormatting sqref="K2:K3 K58:K1048576">
    <cfRule type="cellIs" dxfId="732" priority="10" operator="equal">
      <formula>0</formula>
    </cfRule>
  </conditionalFormatting>
  <conditionalFormatting sqref="L4">
    <cfRule type="cellIs" dxfId="731" priority="9" operator="equal">
      <formula>0</formula>
    </cfRule>
  </conditionalFormatting>
  <conditionalFormatting sqref="L7:L53">
    <cfRule type="cellIs" dxfId="730" priority="8" operator="equal">
      <formula>0</formula>
    </cfRule>
  </conditionalFormatting>
  <conditionalFormatting sqref="L56">
    <cfRule type="cellIs" dxfId="729" priority="7" operator="equal">
      <formula>0</formula>
    </cfRule>
  </conditionalFormatting>
  <conditionalFormatting sqref="L2:L3 L58:L1048576">
    <cfRule type="cellIs" dxfId="728" priority="6" operator="equal">
      <formula>0</formula>
    </cfRule>
  </conditionalFormatting>
  <conditionalFormatting sqref="M5:M6 M54:M55">
    <cfRule type="cellIs" dxfId="727" priority="5" operator="equal">
      <formula>0</formula>
    </cfRule>
  </conditionalFormatting>
  <conditionalFormatting sqref="M4">
    <cfRule type="cellIs" dxfId="726" priority="4" operator="equal">
      <formula>0</formula>
    </cfRule>
  </conditionalFormatting>
  <conditionalFormatting sqref="M7:M53">
    <cfRule type="cellIs" dxfId="725" priority="3" operator="equal">
      <formula>0</formula>
    </cfRule>
  </conditionalFormatting>
  <conditionalFormatting sqref="M56">
    <cfRule type="cellIs" dxfId="724" priority="2" operator="equal">
      <formula>0</formula>
    </cfRule>
  </conditionalFormatting>
  <conditionalFormatting sqref="M2:M3 M58:M1048576">
    <cfRule type="cellIs" dxfId="723"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74" orientation="portrait" r:id="rId1"/>
  <headerFooter>
    <oddHeader>&amp;C&amp;G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tabColor indexed="25"/>
    <pageSetUpPr fitToPage="1"/>
  </sheetPr>
  <dimension ref="A1:P330"/>
  <sheetViews>
    <sheetView showGridLines="0" workbookViewId="0">
      <selection sqref="A1:M1"/>
    </sheetView>
  </sheetViews>
  <sheetFormatPr defaultColWidth="9.140625" defaultRowHeight="17.25" customHeight="1"/>
  <cols>
    <col min="1" max="1" width="29.7109375" style="47" customWidth="1"/>
    <col min="2" max="2" width="7.5703125" style="47" customWidth="1"/>
    <col min="3" max="3" width="7.5703125" style="119" customWidth="1"/>
    <col min="4" max="4" width="7.5703125" style="199" customWidth="1"/>
    <col min="5" max="13" width="7.5703125" style="47" customWidth="1"/>
    <col min="14" max="16384" width="9.140625" style="47"/>
  </cols>
  <sheetData>
    <row r="1" spans="1:16" s="39" customFormat="1" ht="28.5" customHeight="1">
      <c r="A1" s="778" t="s">
        <v>705</v>
      </c>
      <c r="B1" s="778"/>
      <c r="C1" s="778"/>
      <c r="D1" s="778"/>
      <c r="E1" s="778"/>
      <c r="F1" s="778"/>
      <c r="G1" s="778"/>
      <c r="H1" s="778"/>
      <c r="I1" s="778"/>
      <c r="J1" s="778"/>
      <c r="K1" s="778"/>
      <c r="L1" s="778"/>
    </row>
    <row r="2" spans="1:16" s="41" customFormat="1" ht="15" customHeight="1">
      <c r="A2" s="158"/>
      <c r="B2" s="158"/>
      <c r="C2" s="158"/>
      <c r="D2" s="158"/>
      <c r="E2" s="158"/>
      <c r="F2" s="158"/>
      <c r="G2" s="158"/>
      <c r="H2" s="158"/>
      <c r="I2" s="158"/>
      <c r="J2" s="158"/>
      <c r="K2" s="158"/>
      <c r="L2" s="158"/>
    </row>
    <row r="3" spans="1:16" s="41" customFormat="1" ht="15" customHeight="1">
      <c r="A3" s="158" t="s">
        <v>14</v>
      </c>
      <c r="B3" s="158"/>
      <c r="C3" s="158"/>
      <c r="D3" s="158"/>
      <c r="E3" s="158"/>
      <c r="F3" s="158"/>
      <c r="G3" s="158"/>
      <c r="H3" s="158"/>
      <c r="I3" s="158"/>
      <c r="J3" s="158"/>
      <c r="K3" s="158"/>
      <c r="L3" s="158"/>
    </row>
    <row r="4" spans="1:16" s="44" customFormat="1" ht="28.5" customHeight="1" thickBot="1">
      <c r="A4" s="160"/>
      <c r="B4" s="160">
        <v>2013</v>
      </c>
      <c r="C4" s="160">
        <v>2014</v>
      </c>
      <c r="D4" s="160">
        <v>2015</v>
      </c>
      <c r="E4" s="160">
        <v>2016</v>
      </c>
      <c r="F4" s="160">
        <v>2017</v>
      </c>
      <c r="G4" s="160">
        <v>2018</v>
      </c>
      <c r="H4" s="160">
        <v>2019</v>
      </c>
      <c r="I4" s="160">
        <v>2020</v>
      </c>
      <c r="J4" s="160">
        <v>2021</v>
      </c>
      <c r="K4" s="160">
        <v>2022</v>
      </c>
      <c r="L4" s="160">
        <v>2023</v>
      </c>
    </row>
    <row r="5" spans="1:16" s="44" customFormat="1" ht="19.5" customHeight="1" thickTop="1">
      <c r="A5" s="17" t="s">
        <v>12</v>
      </c>
      <c r="B5" s="439">
        <v>2384121</v>
      </c>
      <c r="C5" s="439">
        <v>2458163</v>
      </c>
      <c r="D5" s="439">
        <v>2537653</v>
      </c>
      <c r="E5" s="439">
        <v>2641919</v>
      </c>
      <c r="F5" s="439">
        <v>2767521</v>
      </c>
      <c r="G5" s="439">
        <v>2877918</v>
      </c>
      <c r="H5" s="439">
        <v>2930482</v>
      </c>
      <c r="I5" s="439">
        <v>2902825</v>
      </c>
      <c r="J5" s="439">
        <v>2922343</v>
      </c>
      <c r="K5" s="439">
        <v>3148147</v>
      </c>
      <c r="L5" s="439">
        <v>3296134</v>
      </c>
    </row>
    <row r="6" spans="1:16" s="41" customFormat="1" ht="18" customHeight="1">
      <c r="A6" s="149" t="s">
        <v>203</v>
      </c>
      <c r="B6" s="368">
        <v>1752648</v>
      </c>
      <c r="C6" s="368">
        <v>1802130</v>
      </c>
      <c r="D6" s="368">
        <v>1855203</v>
      </c>
      <c r="E6" s="368">
        <v>1911498</v>
      </c>
      <c r="F6" s="368">
        <v>1975887</v>
      </c>
      <c r="G6" s="368">
        <v>2073822</v>
      </c>
      <c r="H6" s="368">
        <v>2078465</v>
      </c>
      <c r="I6" s="368">
        <v>2014412</v>
      </c>
      <c r="J6" s="368">
        <v>2031422</v>
      </c>
      <c r="K6" s="368">
        <v>2174986</v>
      </c>
      <c r="L6" s="368">
        <v>2283826</v>
      </c>
      <c r="N6" s="649">
        <f>+L6/$L$5*100</f>
        <v>69.288020450624884</v>
      </c>
      <c r="O6" s="649">
        <f>+B6/$B$5*100</f>
        <v>73.513382919742739</v>
      </c>
      <c r="P6" s="649">
        <f>+N6-O6</f>
        <v>-4.2253624691178544</v>
      </c>
    </row>
    <row r="7" spans="1:16" s="41" customFormat="1" ht="16.5" customHeight="1">
      <c r="A7" s="149" t="s">
        <v>204</v>
      </c>
      <c r="B7" s="368">
        <v>97694</v>
      </c>
      <c r="C7" s="368">
        <v>97038</v>
      </c>
      <c r="D7" s="368">
        <v>99532</v>
      </c>
      <c r="E7" s="368">
        <v>101183</v>
      </c>
      <c r="F7" s="368">
        <v>106693</v>
      </c>
      <c r="G7" s="368">
        <v>109690</v>
      </c>
      <c r="H7" s="368">
        <v>104297</v>
      </c>
      <c r="I7" s="368">
        <v>118636</v>
      </c>
      <c r="J7" s="368">
        <v>118983</v>
      </c>
      <c r="K7" s="368">
        <v>122759</v>
      </c>
      <c r="L7" s="368">
        <v>125278</v>
      </c>
      <c r="N7" s="649">
        <f t="shared" ref="N7:N10" si="0">+L7/$L$5*100</f>
        <v>3.8007556731613463</v>
      </c>
      <c r="O7" s="649">
        <f t="shared" ref="O7:O10" si="1">+B7/$B$5*100</f>
        <v>4.0976947059314526</v>
      </c>
      <c r="P7" s="649">
        <f t="shared" ref="P7:P10" si="2">+N7-O7</f>
        <v>-0.29693903277010625</v>
      </c>
    </row>
    <row r="8" spans="1:16" s="41" customFormat="1" ht="16.5" customHeight="1">
      <c r="A8" s="149" t="s">
        <v>144</v>
      </c>
      <c r="B8" s="368">
        <v>194848</v>
      </c>
      <c r="C8" s="368">
        <v>205896</v>
      </c>
      <c r="D8" s="368">
        <v>212238</v>
      </c>
      <c r="E8" s="368">
        <v>219677</v>
      </c>
      <c r="F8" s="368">
        <v>226793</v>
      </c>
      <c r="G8" s="368">
        <v>211503</v>
      </c>
      <c r="H8" s="368">
        <v>219272</v>
      </c>
      <c r="I8" s="368">
        <v>221568</v>
      </c>
      <c r="J8" s="368">
        <v>214401</v>
      </c>
      <c r="K8" s="368">
        <v>232081</v>
      </c>
      <c r="L8" s="368">
        <v>241230</v>
      </c>
      <c r="N8" s="649">
        <f t="shared" si="0"/>
        <v>7.3185738201177504</v>
      </c>
      <c r="O8" s="649">
        <f t="shared" si="1"/>
        <v>8.1727395547457533</v>
      </c>
      <c r="P8" s="649">
        <f t="shared" si="2"/>
        <v>-0.85416573462800294</v>
      </c>
    </row>
    <row r="9" spans="1:16" s="41" customFormat="1" ht="16.5" customHeight="1">
      <c r="A9" s="149" t="s">
        <v>44</v>
      </c>
      <c r="B9" s="368">
        <v>80074</v>
      </c>
      <c r="C9" s="368">
        <v>80029</v>
      </c>
      <c r="D9" s="368">
        <v>78163</v>
      </c>
      <c r="E9" s="368">
        <v>79933</v>
      </c>
      <c r="F9" s="368">
        <v>85752</v>
      </c>
      <c r="G9" s="368">
        <v>86043</v>
      </c>
      <c r="H9" s="368">
        <v>91984</v>
      </c>
      <c r="I9" s="368">
        <v>90179</v>
      </c>
      <c r="J9" s="368">
        <v>89882</v>
      </c>
      <c r="K9" s="368">
        <v>92151</v>
      </c>
      <c r="L9" s="368">
        <v>93763</v>
      </c>
      <c r="N9" s="649">
        <f t="shared" si="0"/>
        <v>2.8446355639667562</v>
      </c>
      <c r="O9" s="649">
        <f t="shared" si="1"/>
        <v>3.358638257034773</v>
      </c>
      <c r="P9" s="649">
        <f t="shared" si="2"/>
        <v>-0.51400269306801682</v>
      </c>
    </row>
    <row r="10" spans="1:16" ht="15" customHeight="1">
      <c r="A10" s="191" t="s">
        <v>205</v>
      </c>
      <c r="B10" s="369">
        <v>258857</v>
      </c>
      <c r="C10" s="369">
        <v>273070</v>
      </c>
      <c r="D10" s="369">
        <v>292517</v>
      </c>
      <c r="E10" s="369">
        <v>329628</v>
      </c>
      <c r="F10" s="369">
        <v>372396</v>
      </c>
      <c r="G10" s="369">
        <v>396860</v>
      </c>
      <c r="H10" s="369">
        <v>436464</v>
      </c>
      <c r="I10" s="369">
        <v>458030</v>
      </c>
      <c r="J10" s="369">
        <v>467655</v>
      </c>
      <c r="K10" s="369">
        <v>526170</v>
      </c>
      <c r="L10" s="369">
        <v>552037</v>
      </c>
      <c r="N10" s="649">
        <f t="shared" si="0"/>
        <v>16.748014492129265</v>
      </c>
      <c r="O10" s="649">
        <f t="shared" si="1"/>
        <v>10.857544562545273</v>
      </c>
      <c r="P10" s="649">
        <f t="shared" si="2"/>
        <v>5.8904699295839915</v>
      </c>
    </row>
    <row r="11" spans="1:16" ht="15" customHeight="1">
      <c r="A11" s="21" t="s">
        <v>138</v>
      </c>
      <c r="B11" s="46"/>
      <c r="C11" s="192"/>
      <c r="D11" s="192"/>
      <c r="E11" s="146"/>
      <c r="F11" s="146"/>
      <c r="G11" s="146"/>
      <c r="H11" s="146"/>
      <c r="I11" s="146"/>
      <c r="J11" s="146"/>
      <c r="K11" s="146"/>
      <c r="L11" s="146"/>
    </row>
    <row r="12" spans="1:16" ht="15" customHeight="1">
      <c r="A12" s="38" t="s">
        <v>98</v>
      </c>
      <c r="B12" s="46"/>
      <c r="C12" s="192"/>
      <c r="D12" s="192"/>
      <c r="E12" s="146"/>
      <c r="F12" s="146"/>
      <c r="G12" s="146"/>
      <c r="H12" s="146"/>
      <c r="I12" s="146"/>
      <c r="J12" s="146"/>
      <c r="K12" s="146"/>
      <c r="L12" s="146"/>
    </row>
    <row r="13" spans="1:16" ht="22.5" customHeight="1">
      <c r="A13" s="798" t="s">
        <v>208</v>
      </c>
      <c r="B13" s="798"/>
      <c r="C13" s="798"/>
      <c r="D13" s="798"/>
      <c r="E13" s="798"/>
      <c r="F13" s="798"/>
      <c r="G13" s="798"/>
      <c r="H13" s="798"/>
      <c r="I13" s="798"/>
      <c r="J13" s="798"/>
      <c r="K13" s="798"/>
      <c r="L13" s="798"/>
    </row>
    <row r="14" spans="1:16" ht="17.25" customHeight="1">
      <c r="C14" s="146"/>
      <c r="D14" s="146"/>
    </row>
    <row r="15" spans="1:16" ht="17.25" customHeight="1">
      <c r="C15" s="211"/>
      <c r="D15" s="211"/>
    </row>
    <row r="16" spans="1:16" ht="17.25" customHeight="1">
      <c r="A16" s="78"/>
      <c r="B16" s="555"/>
      <c r="C16" s="555"/>
      <c r="D16" s="555"/>
      <c r="E16" s="555"/>
      <c r="F16" s="555"/>
      <c r="G16" s="555"/>
      <c r="H16" s="555"/>
      <c r="I16" s="555"/>
      <c r="J16" s="555"/>
      <c r="K16" s="555"/>
      <c r="L16" s="555"/>
    </row>
    <row r="17" spans="1:12" ht="17.25" customHeight="1">
      <c r="A17" s="149"/>
      <c r="B17" s="556"/>
      <c r="C17" s="556"/>
      <c r="D17" s="556"/>
      <c r="E17" s="556"/>
      <c r="F17" s="556"/>
      <c r="G17" s="556"/>
      <c r="H17" s="556"/>
      <c r="I17" s="556"/>
      <c r="J17" s="556"/>
      <c r="K17" s="556"/>
      <c r="L17" s="556"/>
    </row>
    <row r="18" spans="1:12" ht="17.25" customHeight="1">
      <c r="A18" s="149"/>
      <c r="B18" s="556"/>
      <c r="C18" s="556"/>
      <c r="D18" s="556"/>
      <c r="E18" s="556"/>
      <c r="F18" s="556"/>
      <c r="G18" s="556"/>
      <c r="H18" s="556"/>
      <c r="I18" s="556"/>
      <c r="J18" s="556"/>
      <c r="K18" s="556"/>
      <c r="L18" s="556"/>
    </row>
    <row r="19" spans="1:12" ht="17.25" customHeight="1">
      <c r="A19" s="149"/>
      <c r="B19" s="556"/>
      <c r="C19" s="556"/>
      <c r="D19" s="556"/>
      <c r="E19" s="556"/>
      <c r="F19" s="556"/>
      <c r="G19" s="556"/>
      <c r="H19" s="556"/>
      <c r="I19" s="556"/>
      <c r="J19" s="556"/>
      <c r="K19" s="556"/>
      <c r="L19" s="556"/>
    </row>
    <row r="20" spans="1:12" ht="17.25" customHeight="1">
      <c r="A20" s="149"/>
      <c r="B20" s="556"/>
      <c r="C20" s="556"/>
      <c r="D20" s="556"/>
      <c r="E20" s="556"/>
      <c r="F20" s="556"/>
      <c r="G20" s="556"/>
      <c r="H20" s="556"/>
      <c r="I20" s="556"/>
      <c r="J20" s="556"/>
      <c r="K20" s="556"/>
      <c r="L20" s="556"/>
    </row>
    <row r="21" spans="1:12" ht="17.25" customHeight="1">
      <c r="A21" s="149"/>
      <c r="B21" s="556"/>
      <c r="C21" s="556"/>
      <c r="D21" s="556"/>
      <c r="E21" s="556"/>
      <c r="F21" s="556"/>
      <c r="G21" s="556"/>
      <c r="H21" s="556"/>
      <c r="I21" s="556"/>
      <c r="J21" s="556"/>
      <c r="K21" s="556"/>
      <c r="L21" s="556"/>
    </row>
    <row r="25" spans="1:12" ht="17.25" customHeight="1">
      <c r="C25" s="211"/>
      <c r="D25" s="211"/>
    </row>
    <row r="26" spans="1:12" ht="17.25" customHeight="1">
      <c r="C26" s="211"/>
      <c r="D26" s="211"/>
    </row>
    <row r="27" spans="1:12" ht="17.25" customHeight="1">
      <c r="C27" s="211"/>
      <c r="D27" s="211"/>
    </row>
    <row r="28" spans="1:12" ht="17.25" customHeight="1">
      <c r="C28" s="211"/>
      <c r="D28" s="211"/>
    </row>
    <row r="29" spans="1:12" ht="17.25" customHeight="1">
      <c r="C29" s="211"/>
      <c r="D29" s="211"/>
    </row>
    <row r="30" spans="1:12" ht="17.25" customHeight="1">
      <c r="C30" s="211"/>
      <c r="D30" s="211"/>
    </row>
    <row r="31" spans="1:12" ht="17.25" customHeight="1">
      <c r="C31" s="211"/>
      <c r="D31" s="211"/>
    </row>
    <row r="32" spans="1:12" ht="17.25" customHeight="1">
      <c r="C32" s="211"/>
      <c r="D32" s="211"/>
    </row>
    <row r="33" spans="3:4" ht="17.25" customHeight="1">
      <c r="C33" s="211"/>
      <c r="D33" s="211"/>
    </row>
    <row r="34" spans="3:4" ht="17.25" customHeight="1">
      <c r="C34" s="211"/>
      <c r="D34" s="211"/>
    </row>
    <row r="35" spans="3:4" ht="17.25" customHeight="1">
      <c r="C35" s="211"/>
      <c r="D35" s="211"/>
    </row>
    <row r="36" spans="3:4" ht="17.25" customHeight="1">
      <c r="C36" s="211"/>
      <c r="D36" s="211"/>
    </row>
    <row r="37" spans="3:4" ht="17.25" customHeight="1">
      <c r="C37" s="211"/>
      <c r="D37" s="211"/>
    </row>
    <row r="38" spans="3:4" ht="17.25" customHeight="1">
      <c r="C38" s="211"/>
      <c r="D38" s="211"/>
    </row>
    <row r="39" spans="3:4" ht="17.25" customHeight="1">
      <c r="C39" s="211"/>
      <c r="D39" s="211"/>
    </row>
    <row r="40" spans="3:4" ht="17.25" customHeight="1">
      <c r="C40" s="211"/>
      <c r="D40" s="211"/>
    </row>
    <row r="41" spans="3:4" ht="17.25" customHeight="1">
      <c r="C41" s="211"/>
      <c r="D41" s="211"/>
    </row>
    <row r="42" spans="3:4" ht="17.25" customHeight="1">
      <c r="C42" s="211"/>
      <c r="D42" s="211"/>
    </row>
    <row r="43" spans="3:4" ht="17.25" customHeight="1">
      <c r="C43" s="211"/>
      <c r="D43" s="211"/>
    </row>
    <row r="44" spans="3:4" ht="17.25" customHeight="1">
      <c r="C44" s="211"/>
      <c r="D44" s="211"/>
    </row>
    <row r="45" spans="3:4" ht="17.25" customHeight="1">
      <c r="C45" s="211"/>
      <c r="D45" s="211"/>
    </row>
    <row r="46" spans="3:4" ht="17.25" customHeight="1">
      <c r="C46" s="211"/>
      <c r="D46" s="211"/>
    </row>
    <row r="47" spans="3:4" ht="17.25" customHeight="1">
      <c r="C47" s="211"/>
      <c r="D47" s="211"/>
    </row>
    <row r="48" spans="3:4" ht="17.25" customHeight="1">
      <c r="C48" s="211"/>
      <c r="D48" s="211"/>
    </row>
    <row r="49" spans="3:4" ht="17.25" customHeight="1">
      <c r="C49" s="211"/>
      <c r="D49" s="211"/>
    </row>
    <row r="50" spans="3:4" ht="17.25" customHeight="1">
      <c r="C50" s="211"/>
      <c r="D50" s="211"/>
    </row>
    <row r="51" spans="3:4" ht="17.25" customHeight="1">
      <c r="C51" s="211"/>
      <c r="D51" s="211"/>
    </row>
    <row r="52" spans="3:4" ht="17.25" customHeight="1">
      <c r="C52" s="211"/>
      <c r="D52" s="211"/>
    </row>
    <row r="53" spans="3:4" ht="17.25" customHeight="1">
      <c r="C53" s="211"/>
      <c r="D53" s="211"/>
    </row>
    <row r="54" spans="3:4" ht="17.25" customHeight="1">
      <c r="C54" s="211"/>
      <c r="D54" s="211"/>
    </row>
    <row r="55" spans="3:4" ht="17.25" customHeight="1">
      <c r="C55" s="211"/>
      <c r="D55" s="211"/>
    </row>
    <row r="56" spans="3:4" ht="17.25" customHeight="1">
      <c r="C56" s="211"/>
      <c r="D56" s="211"/>
    </row>
    <row r="57" spans="3:4" ht="17.25" customHeight="1">
      <c r="C57" s="211"/>
      <c r="D57" s="211"/>
    </row>
    <row r="58" spans="3:4" ht="17.25" customHeight="1">
      <c r="C58" s="211"/>
      <c r="D58" s="211"/>
    </row>
    <row r="59" spans="3:4" ht="17.25" customHeight="1">
      <c r="C59" s="211"/>
      <c r="D59" s="211"/>
    </row>
    <row r="60" spans="3:4" ht="17.25" customHeight="1">
      <c r="C60" s="211"/>
      <c r="D60" s="211"/>
    </row>
    <row r="61" spans="3:4" ht="17.25" customHeight="1">
      <c r="C61" s="211"/>
      <c r="D61" s="211"/>
    </row>
    <row r="62" spans="3:4" ht="17.25" customHeight="1">
      <c r="C62" s="211"/>
      <c r="D62" s="211"/>
    </row>
    <row r="63" spans="3:4" ht="17.25" customHeight="1">
      <c r="C63" s="211"/>
      <c r="D63" s="211"/>
    </row>
    <row r="64" spans="3:4" ht="17.25" customHeight="1">
      <c r="C64" s="211"/>
      <c r="D64" s="211"/>
    </row>
    <row r="65" spans="3:4" ht="17.25" customHeight="1">
      <c r="C65" s="211"/>
      <c r="D65" s="211"/>
    </row>
    <row r="66" spans="3:4" ht="17.25" customHeight="1">
      <c r="C66" s="211"/>
      <c r="D66" s="211"/>
    </row>
    <row r="67" spans="3:4" ht="17.25" customHeight="1">
      <c r="C67" s="211"/>
      <c r="D67" s="211"/>
    </row>
    <row r="68" spans="3:4" ht="17.25" customHeight="1">
      <c r="C68" s="211"/>
      <c r="D68" s="211"/>
    </row>
    <row r="69" spans="3:4" ht="17.25" customHeight="1">
      <c r="C69" s="211"/>
      <c r="D69" s="211"/>
    </row>
    <row r="70" spans="3:4" ht="17.25" customHeight="1">
      <c r="C70" s="211"/>
      <c r="D70" s="211"/>
    </row>
    <row r="71" spans="3:4" ht="17.25" customHeight="1">
      <c r="C71" s="211"/>
      <c r="D71" s="211"/>
    </row>
    <row r="72" spans="3:4" ht="17.25" customHeight="1">
      <c r="C72" s="211"/>
      <c r="D72" s="211"/>
    </row>
    <row r="73" spans="3:4" ht="17.25" customHeight="1">
      <c r="C73" s="211"/>
      <c r="D73" s="211"/>
    </row>
    <row r="74" spans="3:4" ht="17.25" customHeight="1">
      <c r="C74" s="211"/>
      <c r="D74" s="211"/>
    </row>
    <row r="75" spans="3:4" ht="17.25" customHeight="1">
      <c r="C75" s="211"/>
      <c r="D75" s="211"/>
    </row>
    <row r="76" spans="3:4" ht="17.25" customHeight="1">
      <c r="C76" s="211"/>
      <c r="D76" s="211"/>
    </row>
    <row r="77" spans="3:4" ht="17.25" customHeight="1">
      <c r="C77" s="211"/>
      <c r="D77" s="211"/>
    </row>
    <row r="78" spans="3:4" ht="17.25" customHeight="1">
      <c r="C78" s="211"/>
      <c r="D78" s="211"/>
    </row>
    <row r="79" spans="3:4" ht="17.25" customHeight="1">
      <c r="C79" s="211"/>
      <c r="D79" s="211"/>
    </row>
    <row r="80" spans="3:4" ht="17.25" customHeight="1">
      <c r="C80" s="211"/>
      <c r="D80" s="211"/>
    </row>
    <row r="81" spans="3:4" ht="17.25" customHeight="1">
      <c r="C81" s="211"/>
      <c r="D81" s="211"/>
    </row>
    <row r="82" spans="3:4" ht="17.25" customHeight="1">
      <c r="C82" s="211"/>
      <c r="D82" s="211"/>
    </row>
    <row r="83" spans="3:4" ht="17.25" customHeight="1">
      <c r="C83" s="211"/>
      <c r="D83" s="211"/>
    </row>
    <row r="84" spans="3:4" ht="17.25" customHeight="1">
      <c r="C84" s="211"/>
      <c r="D84" s="211"/>
    </row>
    <row r="85" spans="3:4" ht="17.25" customHeight="1">
      <c r="C85" s="211"/>
      <c r="D85" s="211"/>
    </row>
    <row r="86" spans="3:4" ht="17.25" customHeight="1">
      <c r="C86" s="211"/>
      <c r="D86" s="211"/>
    </row>
    <row r="87" spans="3:4" ht="17.25" customHeight="1">
      <c r="C87" s="211"/>
      <c r="D87" s="211"/>
    </row>
    <row r="88" spans="3:4" ht="17.25" customHeight="1">
      <c r="C88" s="211"/>
      <c r="D88" s="211"/>
    </row>
    <row r="89" spans="3:4" ht="17.25" customHeight="1">
      <c r="C89" s="211"/>
      <c r="D89" s="211"/>
    </row>
    <row r="90" spans="3:4" ht="17.25" customHeight="1">
      <c r="C90" s="211"/>
      <c r="D90" s="211"/>
    </row>
    <row r="91" spans="3:4" ht="17.25" customHeight="1">
      <c r="C91" s="211"/>
      <c r="D91" s="211"/>
    </row>
    <row r="92" spans="3:4" ht="17.25" customHeight="1">
      <c r="C92" s="211"/>
      <c r="D92" s="211"/>
    </row>
    <row r="93" spans="3:4" ht="17.25" customHeight="1">
      <c r="C93" s="211"/>
      <c r="D93" s="211"/>
    </row>
    <row r="94" spans="3:4" ht="17.25" customHeight="1">
      <c r="C94" s="211"/>
      <c r="D94" s="211"/>
    </row>
    <row r="95" spans="3:4" ht="17.25" customHeight="1">
      <c r="C95" s="211"/>
      <c r="D95" s="211"/>
    </row>
    <row r="96" spans="3:4" ht="17.25" customHeight="1">
      <c r="C96" s="211"/>
      <c r="D96" s="211"/>
    </row>
    <row r="97" spans="3:4" ht="17.25" customHeight="1">
      <c r="C97" s="211"/>
      <c r="D97" s="211"/>
    </row>
    <row r="98" spans="3:4" ht="17.25" customHeight="1">
      <c r="C98" s="211"/>
      <c r="D98" s="211"/>
    </row>
    <row r="99" spans="3:4" ht="17.25" customHeight="1">
      <c r="C99" s="211"/>
      <c r="D99" s="211"/>
    </row>
    <row r="100" spans="3:4" ht="17.25" customHeight="1">
      <c r="C100" s="211"/>
      <c r="D100" s="211"/>
    </row>
    <row r="101" spans="3:4" ht="17.25" customHeight="1">
      <c r="C101" s="211"/>
      <c r="D101" s="211"/>
    </row>
    <row r="102" spans="3:4" ht="17.25" customHeight="1">
      <c r="C102" s="211"/>
      <c r="D102" s="211"/>
    </row>
    <row r="103" spans="3:4" ht="17.25" customHeight="1">
      <c r="C103" s="211"/>
      <c r="D103" s="211"/>
    </row>
    <row r="104" spans="3:4" ht="17.25" customHeight="1">
      <c r="C104" s="211"/>
      <c r="D104" s="211"/>
    </row>
    <row r="105" spans="3:4" ht="17.25" customHeight="1">
      <c r="C105" s="211"/>
      <c r="D105" s="211"/>
    </row>
    <row r="106" spans="3:4" ht="17.25" customHeight="1">
      <c r="C106" s="211"/>
      <c r="D106" s="211"/>
    </row>
    <row r="107" spans="3:4" ht="17.25" customHeight="1">
      <c r="C107" s="211"/>
      <c r="D107" s="211"/>
    </row>
    <row r="108" spans="3:4" ht="17.25" customHeight="1">
      <c r="C108" s="211"/>
      <c r="D108" s="211"/>
    </row>
    <row r="109" spans="3:4" ht="17.25" customHeight="1">
      <c r="C109" s="211"/>
      <c r="D109" s="211"/>
    </row>
    <row r="110" spans="3:4" ht="17.25" customHeight="1">
      <c r="C110" s="211"/>
      <c r="D110" s="211"/>
    </row>
    <row r="111" spans="3:4" ht="17.25" customHeight="1">
      <c r="C111" s="211"/>
      <c r="D111" s="211"/>
    </row>
    <row r="112" spans="3:4" ht="17.25" customHeight="1">
      <c r="C112" s="211"/>
      <c r="D112" s="211"/>
    </row>
    <row r="113" spans="3:4" ht="17.25" customHeight="1">
      <c r="C113" s="211"/>
      <c r="D113" s="211"/>
    </row>
    <row r="114" spans="3:4" ht="17.25" customHeight="1">
      <c r="C114" s="211"/>
      <c r="D114" s="211"/>
    </row>
    <row r="115" spans="3:4" ht="17.25" customHeight="1">
      <c r="C115" s="211"/>
      <c r="D115" s="211"/>
    </row>
    <row r="116" spans="3:4" ht="17.25" customHeight="1">
      <c r="C116" s="211"/>
      <c r="D116" s="211"/>
    </row>
    <row r="117" spans="3:4" ht="17.25" customHeight="1">
      <c r="C117" s="211"/>
      <c r="D117" s="211"/>
    </row>
    <row r="118" spans="3:4" ht="17.25" customHeight="1">
      <c r="C118" s="211"/>
      <c r="D118" s="211"/>
    </row>
    <row r="119" spans="3:4" ht="17.25" customHeight="1">
      <c r="C119" s="211"/>
      <c r="D119" s="211"/>
    </row>
    <row r="120" spans="3:4" ht="17.25" customHeight="1">
      <c r="C120" s="211"/>
      <c r="D120" s="211"/>
    </row>
    <row r="121" spans="3:4" ht="17.25" customHeight="1">
      <c r="C121" s="211"/>
      <c r="D121" s="211"/>
    </row>
    <row r="122" spans="3:4" ht="17.25" customHeight="1">
      <c r="C122" s="211"/>
      <c r="D122" s="211"/>
    </row>
    <row r="123" spans="3:4" ht="17.25" customHeight="1">
      <c r="C123" s="211"/>
      <c r="D123" s="211"/>
    </row>
    <row r="124" spans="3:4" ht="17.25" customHeight="1">
      <c r="C124" s="211"/>
      <c r="D124" s="211"/>
    </row>
    <row r="125" spans="3:4" ht="17.25" customHeight="1">
      <c r="C125" s="211"/>
      <c r="D125" s="211"/>
    </row>
    <row r="126" spans="3:4" ht="17.25" customHeight="1">
      <c r="C126" s="211"/>
      <c r="D126" s="211"/>
    </row>
    <row r="127" spans="3:4" ht="17.25" customHeight="1">
      <c r="C127" s="211"/>
      <c r="D127" s="211"/>
    </row>
    <row r="128" spans="3:4" ht="17.25" customHeight="1">
      <c r="C128" s="211"/>
      <c r="D128" s="211"/>
    </row>
    <row r="129" spans="3:4" ht="17.25" customHeight="1">
      <c r="C129" s="211"/>
      <c r="D129" s="211"/>
    </row>
    <row r="130" spans="3:4" ht="17.25" customHeight="1">
      <c r="C130" s="211"/>
      <c r="D130" s="211"/>
    </row>
    <row r="131" spans="3:4" ht="17.25" customHeight="1">
      <c r="C131" s="211"/>
      <c r="D131" s="211"/>
    </row>
    <row r="132" spans="3:4" ht="17.25" customHeight="1">
      <c r="C132" s="211"/>
      <c r="D132" s="211"/>
    </row>
    <row r="133" spans="3:4" ht="17.25" customHeight="1">
      <c r="C133" s="211"/>
      <c r="D133" s="211"/>
    </row>
    <row r="134" spans="3:4" ht="17.25" customHeight="1">
      <c r="C134" s="211"/>
      <c r="D134" s="211"/>
    </row>
    <row r="135" spans="3:4" ht="17.25" customHeight="1">
      <c r="C135" s="211"/>
      <c r="D135" s="211"/>
    </row>
    <row r="136" spans="3:4" ht="17.25" customHeight="1">
      <c r="C136" s="211"/>
      <c r="D136" s="211"/>
    </row>
    <row r="137" spans="3:4" ht="17.25" customHeight="1">
      <c r="C137" s="211"/>
      <c r="D137" s="211"/>
    </row>
    <row r="138" spans="3:4" ht="17.25" customHeight="1">
      <c r="C138" s="211"/>
      <c r="D138" s="211"/>
    </row>
    <row r="139" spans="3:4" ht="17.25" customHeight="1">
      <c r="C139" s="211"/>
      <c r="D139" s="211"/>
    </row>
    <row r="140" spans="3:4" ht="17.25" customHeight="1">
      <c r="C140" s="211"/>
      <c r="D140" s="211"/>
    </row>
    <row r="141" spans="3:4" ht="17.25" customHeight="1">
      <c r="C141" s="211"/>
      <c r="D141" s="211"/>
    </row>
    <row r="142" spans="3:4" ht="17.25" customHeight="1">
      <c r="C142" s="211"/>
      <c r="D142" s="211"/>
    </row>
    <row r="143" spans="3:4" ht="17.25" customHeight="1">
      <c r="C143" s="211"/>
      <c r="D143" s="211"/>
    </row>
    <row r="144" spans="3:4" ht="17.25" customHeight="1">
      <c r="C144" s="211"/>
      <c r="D144" s="211"/>
    </row>
    <row r="145" spans="3:4" ht="17.25" customHeight="1">
      <c r="C145" s="211"/>
      <c r="D145" s="211"/>
    </row>
    <row r="146" spans="3:4" ht="17.25" customHeight="1">
      <c r="C146" s="211"/>
      <c r="D146" s="211"/>
    </row>
    <row r="147" spans="3:4" ht="17.25" customHeight="1">
      <c r="C147" s="211"/>
      <c r="D147" s="211"/>
    </row>
    <row r="148" spans="3:4" ht="17.25" customHeight="1">
      <c r="C148" s="211"/>
      <c r="D148" s="211"/>
    </row>
    <row r="149" spans="3:4" ht="17.25" customHeight="1">
      <c r="C149" s="211"/>
      <c r="D149" s="211"/>
    </row>
    <row r="150" spans="3:4" ht="17.25" customHeight="1">
      <c r="C150" s="211"/>
      <c r="D150" s="211"/>
    </row>
    <row r="151" spans="3:4" ht="17.25" customHeight="1">
      <c r="C151" s="211"/>
      <c r="D151" s="211"/>
    </row>
    <row r="152" spans="3:4" ht="17.25" customHeight="1">
      <c r="C152" s="211"/>
      <c r="D152" s="211"/>
    </row>
    <row r="153" spans="3:4" ht="17.25" customHeight="1">
      <c r="C153" s="211"/>
      <c r="D153" s="211"/>
    </row>
    <row r="154" spans="3:4" ht="17.25" customHeight="1">
      <c r="C154" s="211"/>
      <c r="D154" s="211"/>
    </row>
    <row r="155" spans="3:4" ht="17.25" customHeight="1">
      <c r="C155" s="211"/>
      <c r="D155" s="211"/>
    </row>
    <row r="156" spans="3:4" ht="17.25" customHeight="1">
      <c r="C156" s="211"/>
      <c r="D156" s="211"/>
    </row>
    <row r="157" spans="3:4" ht="17.25" customHeight="1">
      <c r="C157" s="211"/>
      <c r="D157" s="211"/>
    </row>
    <row r="158" spans="3:4" ht="17.25" customHeight="1">
      <c r="C158" s="211"/>
      <c r="D158" s="211"/>
    </row>
    <row r="159" spans="3:4" ht="17.25" customHeight="1">
      <c r="C159" s="211"/>
      <c r="D159" s="211"/>
    </row>
    <row r="160" spans="3:4" ht="17.25" customHeight="1">
      <c r="C160" s="211"/>
      <c r="D160" s="211"/>
    </row>
    <row r="161" spans="3:4" ht="17.25" customHeight="1">
      <c r="C161" s="211"/>
      <c r="D161" s="211"/>
    </row>
    <row r="162" spans="3:4" ht="17.25" customHeight="1">
      <c r="C162" s="211"/>
      <c r="D162" s="211"/>
    </row>
    <row r="163" spans="3:4" ht="17.25" customHeight="1">
      <c r="C163" s="211"/>
      <c r="D163" s="211"/>
    </row>
    <row r="164" spans="3:4" ht="17.25" customHeight="1">
      <c r="C164" s="211"/>
      <c r="D164" s="211"/>
    </row>
    <row r="165" spans="3:4" ht="17.25" customHeight="1">
      <c r="C165" s="211"/>
      <c r="D165" s="211"/>
    </row>
    <row r="166" spans="3:4" ht="17.25" customHeight="1">
      <c r="C166" s="211"/>
      <c r="D166" s="211"/>
    </row>
    <row r="167" spans="3:4" ht="17.25" customHeight="1">
      <c r="C167" s="211"/>
      <c r="D167" s="211"/>
    </row>
    <row r="168" spans="3:4" ht="17.25" customHeight="1">
      <c r="C168" s="211"/>
      <c r="D168" s="211"/>
    </row>
    <row r="169" spans="3:4" ht="17.25" customHeight="1">
      <c r="C169" s="211"/>
      <c r="D169" s="211"/>
    </row>
    <row r="170" spans="3:4" ht="17.25" customHeight="1">
      <c r="C170" s="211"/>
      <c r="D170" s="211"/>
    </row>
    <row r="171" spans="3:4" ht="17.25" customHeight="1">
      <c r="C171" s="211"/>
      <c r="D171" s="211"/>
    </row>
    <row r="172" spans="3:4" ht="17.25" customHeight="1">
      <c r="C172" s="211"/>
      <c r="D172" s="211"/>
    </row>
    <row r="173" spans="3:4" ht="17.25" customHeight="1">
      <c r="C173" s="211"/>
      <c r="D173" s="211"/>
    </row>
    <row r="174" spans="3:4" ht="17.25" customHeight="1">
      <c r="C174" s="211"/>
      <c r="D174" s="211"/>
    </row>
    <row r="175" spans="3:4" ht="17.25" customHeight="1">
      <c r="C175" s="211"/>
      <c r="D175" s="211"/>
    </row>
    <row r="176" spans="3:4" ht="17.25" customHeight="1">
      <c r="C176" s="211"/>
      <c r="D176" s="211"/>
    </row>
    <row r="177" spans="3:4" ht="17.25" customHeight="1">
      <c r="C177" s="211"/>
      <c r="D177" s="211"/>
    </row>
    <row r="178" spans="3:4" ht="17.25" customHeight="1">
      <c r="C178" s="211"/>
      <c r="D178" s="211"/>
    </row>
    <row r="179" spans="3:4" ht="17.25" customHeight="1">
      <c r="C179" s="211"/>
      <c r="D179" s="211"/>
    </row>
    <row r="180" spans="3:4" ht="17.25" customHeight="1">
      <c r="C180" s="211"/>
      <c r="D180" s="211"/>
    </row>
    <row r="181" spans="3:4" ht="17.25" customHeight="1">
      <c r="C181" s="211"/>
      <c r="D181" s="211"/>
    </row>
    <row r="182" spans="3:4" ht="17.25" customHeight="1">
      <c r="C182" s="211"/>
      <c r="D182" s="211"/>
    </row>
    <row r="183" spans="3:4" ht="17.25" customHeight="1">
      <c r="C183" s="211"/>
      <c r="D183" s="211"/>
    </row>
    <row r="184" spans="3:4" ht="17.25" customHeight="1">
      <c r="C184" s="211"/>
      <c r="D184" s="211"/>
    </row>
    <row r="185" spans="3:4" ht="17.25" customHeight="1">
      <c r="C185" s="211"/>
      <c r="D185" s="211"/>
    </row>
    <row r="186" spans="3:4" ht="17.25" customHeight="1">
      <c r="C186" s="211"/>
      <c r="D186" s="211"/>
    </row>
    <row r="187" spans="3:4" ht="17.25" customHeight="1">
      <c r="C187" s="211"/>
      <c r="D187" s="211"/>
    </row>
    <row r="188" spans="3:4" ht="17.25" customHeight="1">
      <c r="C188" s="211"/>
      <c r="D188" s="211"/>
    </row>
    <row r="189" spans="3:4" ht="17.25" customHeight="1">
      <c r="C189" s="211"/>
      <c r="D189" s="211"/>
    </row>
    <row r="190" spans="3:4" ht="17.25" customHeight="1">
      <c r="C190" s="211"/>
      <c r="D190" s="211"/>
    </row>
    <row r="191" spans="3:4" ht="17.25" customHeight="1">
      <c r="C191" s="211"/>
      <c r="D191" s="211"/>
    </row>
    <row r="192" spans="3:4" ht="17.25" customHeight="1">
      <c r="C192" s="211"/>
      <c r="D192" s="211"/>
    </row>
    <row r="193" spans="3:4" ht="17.25" customHeight="1">
      <c r="C193" s="211"/>
      <c r="D193" s="211"/>
    </row>
    <row r="194" spans="3:4" ht="17.25" customHeight="1">
      <c r="C194" s="211"/>
      <c r="D194" s="211"/>
    </row>
    <row r="195" spans="3:4" ht="17.25" customHeight="1">
      <c r="C195" s="211"/>
      <c r="D195" s="211"/>
    </row>
    <row r="196" spans="3:4" ht="17.25" customHeight="1">
      <c r="C196" s="211"/>
      <c r="D196" s="211"/>
    </row>
    <row r="197" spans="3:4" ht="17.25" customHeight="1">
      <c r="C197" s="211"/>
      <c r="D197" s="211"/>
    </row>
    <row r="198" spans="3:4" ht="17.25" customHeight="1">
      <c r="C198" s="211"/>
      <c r="D198" s="211"/>
    </row>
    <row r="199" spans="3:4" ht="17.25" customHeight="1">
      <c r="C199" s="211"/>
      <c r="D199" s="211"/>
    </row>
    <row r="200" spans="3:4" ht="17.25" customHeight="1">
      <c r="C200" s="211"/>
      <c r="D200" s="211"/>
    </row>
    <row r="201" spans="3:4" ht="17.25" customHeight="1">
      <c r="C201" s="211"/>
      <c r="D201" s="211"/>
    </row>
    <row r="202" spans="3:4" ht="17.25" customHeight="1">
      <c r="C202" s="211"/>
      <c r="D202" s="211"/>
    </row>
    <row r="203" spans="3:4" ht="17.25" customHeight="1">
      <c r="C203" s="211"/>
      <c r="D203" s="211"/>
    </row>
    <row r="204" spans="3:4" ht="17.25" customHeight="1">
      <c r="C204" s="211"/>
      <c r="D204" s="211"/>
    </row>
    <row r="205" spans="3:4" ht="17.25" customHeight="1">
      <c r="C205" s="211"/>
      <c r="D205" s="211"/>
    </row>
    <row r="206" spans="3:4" ht="17.25" customHeight="1">
      <c r="C206" s="211"/>
      <c r="D206" s="211"/>
    </row>
    <row r="207" spans="3:4" ht="17.25" customHeight="1">
      <c r="C207" s="211"/>
      <c r="D207" s="211"/>
    </row>
    <row r="208" spans="3:4" ht="17.25" customHeight="1">
      <c r="C208" s="211"/>
      <c r="D208" s="211"/>
    </row>
    <row r="209" spans="3:4" ht="17.25" customHeight="1">
      <c r="C209" s="211"/>
      <c r="D209" s="211"/>
    </row>
    <row r="210" spans="3:4" ht="17.25" customHeight="1">
      <c r="C210" s="211"/>
      <c r="D210" s="211"/>
    </row>
    <row r="211" spans="3:4" ht="17.25" customHeight="1">
      <c r="C211" s="211"/>
      <c r="D211" s="211"/>
    </row>
    <row r="212" spans="3:4" ht="17.25" customHeight="1">
      <c r="C212" s="211"/>
      <c r="D212" s="211"/>
    </row>
    <row r="213" spans="3:4" ht="17.25" customHeight="1">
      <c r="C213" s="211"/>
      <c r="D213" s="211"/>
    </row>
    <row r="214" spans="3:4" ht="17.25" customHeight="1">
      <c r="C214" s="211"/>
      <c r="D214" s="211"/>
    </row>
    <row r="215" spans="3:4" ht="17.25" customHeight="1">
      <c r="C215" s="211"/>
      <c r="D215" s="211"/>
    </row>
    <row r="216" spans="3:4" ht="17.25" customHeight="1">
      <c r="C216" s="211"/>
      <c r="D216" s="211"/>
    </row>
    <row r="217" spans="3:4" ht="17.25" customHeight="1">
      <c r="C217" s="211"/>
      <c r="D217" s="211"/>
    </row>
    <row r="218" spans="3:4" ht="17.25" customHeight="1">
      <c r="C218" s="211"/>
      <c r="D218" s="211"/>
    </row>
    <row r="219" spans="3:4" ht="17.25" customHeight="1">
      <c r="C219" s="211"/>
      <c r="D219" s="211"/>
    </row>
    <row r="220" spans="3:4" ht="17.25" customHeight="1">
      <c r="C220" s="211"/>
      <c r="D220" s="211"/>
    </row>
    <row r="221" spans="3:4" ht="17.25" customHeight="1">
      <c r="C221" s="211"/>
      <c r="D221" s="211"/>
    </row>
    <row r="222" spans="3:4" ht="17.25" customHeight="1">
      <c r="C222" s="211"/>
      <c r="D222" s="211"/>
    </row>
    <row r="223" spans="3:4" ht="17.25" customHeight="1">
      <c r="C223" s="211"/>
      <c r="D223" s="211"/>
    </row>
    <row r="224" spans="3:4" ht="17.25" customHeight="1">
      <c r="C224" s="211"/>
      <c r="D224" s="211"/>
    </row>
    <row r="225" spans="3:4" ht="17.25" customHeight="1">
      <c r="C225" s="211"/>
      <c r="D225" s="211"/>
    </row>
    <row r="226" spans="3:4" ht="17.25" customHeight="1">
      <c r="C226" s="211"/>
      <c r="D226" s="211"/>
    </row>
    <row r="227" spans="3:4" ht="17.25" customHeight="1">
      <c r="C227" s="211"/>
      <c r="D227" s="211"/>
    </row>
    <row r="228" spans="3:4" ht="17.25" customHeight="1">
      <c r="C228" s="211"/>
      <c r="D228" s="211"/>
    </row>
    <row r="229" spans="3:4" ht="17.25" customHeight="1">
      <c r="C229" s="211"/>
      <c r="D229" s="211"/>
    </row>
    <row r="230" spans="3:4" ht="17.25" customHeight="1">
      <c r="C230" s="211"/>
      <c r="D230" s="211"/>
    </row>
    <row r="231" spans="3:4" ht="17.25" customHeight="1">
      <c r="C231" s="211"/>
      <c r="D231" s="211"/>
    </row>
    <row r="232" spans="3:4" ht="17.25" customHeight="1">
      <c r="C232" s="211"/>
      <c r="D232" s="211"/>
    </row>
    <row r="233" spans="3:4" ht="17.25" customHeight="1">
      <c r="C233" s="211"/>
      <c r="D233" s="211"/>
    </row>
    <row r="234" spans="3:4" ht="17.25" customHeight="1">
      <c r="C234" s="211"/>
      <c r="D234" s="211"/>
    </row>
    <row r="235" spans="3:4" ht="17.25" customHeight="1">
      <c r="C235" s="211"/>
      <c r="D235" s="211"/>
    </row>
    <row r="236" spans="3:4" ht="17.25" customHeight="1">
      <c r="C236" s="211"/>
      <c r="D236" s="211"/>
    </row>
    <row r="237" spans="3:4" ht="17.25" customHeight="1">
      <c r="C237" s="211"/>
      <c r="D237" s="211"/>
    </row>
    <row r="238" spans="3:4" ht="17.25" customHeight="1">
      <c r="C238" s="211"/>
      <c r="D238" s="211"/>
    </row>
    <row r="239" spans="3:4" ht="17.25" customHeight="1">
      <c r="C239" s="211"/>
      <c r="D239" s="211"/>
    </row>
    <row r="240" spans="3:4" ht="17.25" customHeight="1">
      <c r="C240" s="211"/>
      <c r="D240" s="211"/>
    </row>
    <row r="241" spans="3:4" ht="17.25" customHeight="1">
      <c r="C241" s="211"/>
      <c r="D241" s="211"/>
    </row>
    <row r="242" spans="3:4" ht="17.25" customHeight="1">
      <c r="C242" s="211"/>
      <c r="D242" s="211"/>
    </row>
    <row r="243" spans="3:4" ht="17.25" customHeight="1">
      <c r="C243" s="211"/>
      <c r="D243" s="211"/>
    </row>
    <row r="244" spans="3:4" ht="17.25" customHeight="1">
      <c r="C244" s="211"/>
      <c r="D244" s="211"/>
    </row>
    <row r="245" spans="3:4" ht="17.25" customHeight="1">
      <c r="C245" s="211"/>
      <c r="D245" s="211"/>
    </row>
    <row r="246" spans="3:4" ht="17.25" customHeight="1">
      <c r="C246" s="211"/>
      <c r="D246" s="211"/>
    </row>
    <row r="247" spans="3:4" ht="17.25" customHeight="1">
      <c r="C247" s="211"/>
      <c r="D247" s="211"/>
    </row>
    <row r="248" spans="3:4" ht="17.25" customHeight="1">
      <c r="C248" s="211"/>
      <c r="D248" s="211"/>
    </row>
    <row r="249" spans="3:4" ht="17.25" customHeight="1">
      <c r="C249" s="211"/>
      <c r="D249" s="211"/>
    </row>
    <row r="250" spans="3:4" ht="17.25" customHeight="1">
      <c r="C250" s="211"/>
      <c r="D250" s="211"/>
    </row>
    <row r="251" spans="3:4" ht="17.25" customHeight="1">
      <c r="C251" s="211"/>
      <c r="D251" s="211"/>
    </row>
    <row r="252" spans="3:4" ht="17.25" customHeight="1">
      <c r="C252" s="211"/>
      <c r="D252" s="211"/>
    </row>
    <row r="253" spans="3:4" ht="17.25" customHeight="1">
      <c r="C253" s="211"/>
      <c r="D253" s="211"/>
    </row>
    <row r="254" spans="3:4" ht="17.25" customHeight="1">
      <c r="C254" s="211"/>
      <c r="D254" s="211"/>
    </row>
    <row r="255" spans="3:4" ht="17.25" customHeight="1">
      <c r="C255" s="211"/>
      <c r="D255" s="211"/>
    </row>
    <row r="256" spans="3:4" ht="17.25" customHeight="1">
      <c r="C256" s="211"/>
      <c r="D256" s="211"/>
    </row>
    <row r="257" spans="3:4" ht="17.25" customHeight="1">
      <c r="C257" s="211"/>
      <c r="D257" s="211"/>
    </row>
    <row r="258" spans="3:4" ht="17.25" customHeight="1">
      <c r="C258" s="211"/>
      <c r="D258" s="211"/>
    </row>
    <row r="259" spans="3:4" ht="17.25" customHeight="1">
      <c r="C259" s="211"/>
      <c r="D259" s="211"/>
    </row>
    <row r="260" spans="3:4" ht="17.25" customHeight="1">
      <c r="C260" s="211"/>
      <c r="D260" s="211"/>
    </row>
    <row r="261" spans="3:4" ht="17.25" customHeight="1">
      <c r="C261" s="211"/>
      <c r="D261" s="211"/>
    </row>
    <row r="262" spans="3:4" ht="17.25" customHeight="1">
      <c r="C262" s="211"/>
      <c r="D262" s="211"/>
    </row>
    <row r="263" spans="3:4" ht="17.25" customHeight="1">
      <c r="C263" s="211"/>
      <c r="D263" s="211"/>
    </row>
    <row r="264" spans="3:4" ht="17.25" customHeight="1">
      <c r="C264" s="211"/>
      <c r="D264" s="211"/>
    </row>
    <row r="265" spans="3:4" ht="17.25" customHeight="1">
      <c r="C265" s="211"/>
      <c r="D265" s="211"/>
    </row>
    <row r="266" spans="3:4" ht="17.25" customHeight="1">
      <c r="C266" s="211"/>
      <c r="D266" s="211"/>
    </row>
    <row r="267" spans="3:4" ht="17.25" customHeight="1">
      <c r="C267" s="211"/>
      <c r="D267" s="211"/>
    </row>
    <row r="268" spans="3:4" ht="17.25" customHeight="1">
      <c r="C268" s="211"/>
      <c r="D268" s="211"/>
    </row>
    <row r="269" spans="3:4" ht="17.25" customHeight="1">
      <c r="C269" s="211"/>
      <c r="D269" s="211"/>
    </row>
    <row r="270" spans="3:4" ht="17.25" customHeight="1">
      <c r="C270" s="211"/>
      <c r="D270" s="211"/>
    </row>
    <row r="271" spans="3:4" ht="17.25" customHeight="1">
      <c r="C271" s="211"/>
      <c r="D271" s="211"/>
    </row>
    <row r="272" spans="3:4" ht="17.25" customHeight="1">
      <c r="C272" s="211"/>
      <c r="D272" s="211"/>
    </row>
    <row r="273" spans="3:4" ht="17.25" customHeight="1">
      <c r="C273" s="211"/>
      <c r="D273" s="211"/>
    </row>
    <row r="274" spans="3:4" ht="17.25" customHeight="1">
      <c r="C274" s="211"/>
      <c r="D274" s="211"/>
    </row>
    <row r="275" spans="3:4" ht="17.25" customHeight="1">
      <c r="C275" s="211"/>
      <c r="D275" s="211"/>
    </row>
    <row r="276" spans="3:4" ht="17.25" customHeight="1">
      <c r="C276" s="211"/>
      <c r="D276" s="211"/>
    </row>
    <row r="277" spans="3:4" ht="17.25" customHeight="1">
      <c r="C277" s="211"/>
      <c r="D277" s="211"/>
    </row>
    <row r="278" spans="3:4" ht="17.25" customHeight="1">
      <c r="C278" s="211"/>
      <c r="D278" s="211"/>
    </row>
    <row r="279" spans="3:4" ht="17.25" customHeight="1">
      <c r="C279" s="211"/>
      <c r="D279" s="211"/>
    </row>
    <row r="280" spans="3:4" ht="17.25" customHeight="1">
      <c r="C280" s="211"/>
      <c r="D280" s="211"/>
    </row>
    <row r="281" spans="3:4" ht="17.25" customHeight="1">
      <c r="C281" s="211"/>
      <c r="D281" s="211"/>
    </row>
    <row r="282" spans="3:4" ht="17.25" customHeight="1">
      <c r="C282" s="211"/>
      <c r="D282" s="211"/>
    </row>
    <row r="283" spans="3:4" ht="17.25" customHeight="1">
      <c r="C283" s="211"/>
      <c r="D283" s="211"/>
    </row>
    <row r="284" spans="3:4" ht="17.25" customHeight="1">
      <c r="C284" s="211"/>
      <c r="D284" s="211"/>
    </row>
    <row r="285" spans="3:4" ht="17.25" customHeight="1">
      <c r="C285" s="211"/>
      <c r="D285" s="211"/>
    </row>
    <row r="286" spans="3:4" ht="17.25" customHeight="1">
      <c r="C286" s="211"/>
      <c r="D286" s="211"/>
    </row>
    <row r="287" spans="3:4" ht="17.25" customHeight="1">
      <c r="C287" s="211"/>
      <c r="D287" s="211"/>
    </row>
    <row r="288" spans="3:4" ht="17.25" customHeight="1">
      <c r="C288" s="211"/>
      <c r="D288" s="211"/>
    </row>
    <row r="289" spans="3:4" ht="17.25" customHeight="1">
      <c r="C289" s="211"/>
      <c r="D289" s="211"/>
    </row>
    <row r="290" spans="3:4" ht="17.25" customHeight="1">
      <c r="C290" s="211"/>
      <c r="D290" s="211"/>
    </row>
    <row r="291" spans="3:4" ht="17.25" customHeight="1">
      <c r="C291" s="211"/>
      <c r="D291" s="211"/>
    </row>
    <row r="292" spans="3:4" ht="17.25" customHeight="1">
      <c r="C292" s="211"/>
      <c r="D292" s="211"/>
    </row>
    <row r="293" spans="3:4" ht="17.25" customHeight="1">
      <c r="C293" s="211"/>
      <c r="D293" s="211"/>
    </row>
    <row r="294" spans="3:4" ht="17.25" customHeight="1">
      <c r="C294" s="211"/>
      <c r="D294" s="211"/>
    </row>
    <row r="295" spans="3:4" ht="17.25" customHeight="1">
      <c r="C295" s="211"/>
      <c r="D295" s="211"/>
    </row>
    <row r="296" spans="3:4" ht="17.25" customHeight="1">
      <c r="C296" s="211"/>
      <c r="D296" s="211"/>
    </row>
    <row r="297" spans="3:4" ht="17.25" customHeight="1">
      <c r="C297" s="211"/>
      <c r="D297" s="211"/>
    </row>
    <row r="298" spans="3:4" ht="17.25" customHeight="1">
      <c r="C298" s="211"/>
      <c r="D298" s="211"/>
    </row>
    <row r="299" spans="3:4" ht="17.25" customHeight="1">
      <c r="C299" s="211"/>
      <c r="D299" s="211"/>
    </row>
    <row r="300" spans="3:4" ht="17.25" customHeight="1">
      <c r="C300" s="211"/>
      <c r="D300" s="211"/>
    </row>
    <row r="301" spans="3:4" ht="17.25" customHeight="1">
      <c r="C301" s="211"/>
      <c r="D301" s="211"/>
    </row>
    <row r="302" spans="3:4" ht="17.25" customHeight="1">
      <c r="C302" s="211"/>
      <c r="D302" s="211"/>
    </row>
    <row r="303" spans="3:4" ht="17.25" customHeight="1">
      <c r="C303" s="211"/>
      <c r="D303" s="211"/>
    </row>
    <row r="304" spans="3:4" ht="17.25" customHeight="1">
      <c r="C304" s="211"/>
      <c r="D304" s="211"/>
    </row>
    <row r="305" spans="3:4" ht="17.25" customHeight="1">
      <c r="C305" s="211"/>
      <c r="D305" s="211"/>
    </row>
    <row r="306" spans="3:4" ht="17.25" customHeight="1">
      <c r="C306" s="211"/>
      <c r="D306" s="211"/>
    </row>
    <row r="307" spans="3:4" ht="17.25" customHeight="1">
      <c r="C307" s="211"/>
      <c r="D307" s="211"/>
    </row>
    <row r="308" spans="3:4" ht="17.25" customHeight="1">
      <c r="C308" s="211"/>
      <c r="D308" s="211"/>
    </row>
    <row r="309" spans="3:4" ht="17.25" customHeight="1">
      <c r="C309" s="211"/>
      <c r="D309" s="211"/>
    </row>
    <row r="310" spans="3:4" ht="17.25" customHeight="1">
      <c r="C310" s="211"/>
      <c r="D310" s="211"/>
    </row>
    <row r="311" spans="3:4" ht="17.25" customHeight="1">
      <c r="C311" s="211"/>
      <c r="D311" s="211"/>
    </row>
    <row r="312" spans="3:4" ht="17.25" customHeight="1">
      <c r="C312" s="211"/>
      <c r="D312" s="211"/>
    </row>
    <row r="313" spans="3:4" ht="17.25" customHeight="1">
      <c r="C313" s="211"/>
      <c r="D313" s="211"/>
    </row>
    <row r="314" spans="3:4" ht="17.25" customHeight="1">
      <c r="C314" s="211"/>
      <c r="D314" s="211"/>
    </row>
    <row r="315" spans="3:4" ht="17.25" customHeight="1">
      <c r="C315" s="211"/>
      <c r="D315" s="211"/>
    </row>
    <row r="316" spans="3:4" ht="17.25" customHeight="1">
      <c r="C316" s="211"/>
      <c r="D316" s="211"/>
    </row>
    <row r="317" spans="3:4" ht="17.25" customHeight="1">
      <c r="C317" s="211"/>
      <c r="D317" s="211"/>
    </row>
    <row r="318" spans="3:4" ht="17.25" customHeight="1">
      <c r="C318" s="211"/>
      <c r="D318" s="211"/>
    </row>
    <row r="319" spans="3:4" ht="17.25" customHeight="1">
      <c r="C319" s="211"/>
      <c r="D319" s="211"/>
    </row>
    <row r="320" spans="3:4" ht="17.25" customHeight="1">
      <c r="C320" s="211"/>
      <c r="D320" s="211"/>
    </row>
    <row r="321" spans="3:4" ht="17.25" customHeight="1">
      <c r="C321" s="211"/>
      <c r="D321" s="211"/>
    </row>
    <row r="322" spans="3:4" ht="17.25" customHeight="1">
      <c r="C322" s="211"/>
      <c r="D322" s="211"/>
    </row>
    <row r="323" spans="3:4" ht="17.25" customHeight="1">
      <c r="C323" s="211"/>
      <c r="D323" s="211"/>
    </row>
    <row r="324" spans="3:4" ht="17.25" customHeight="1">
      <c r="C324" s="211"/>
      <c r="D324" s="211"/>
    </row>
    <row r="325" spans="3:4" ht="17.25" customHeight="1">
      <c r="C325" s="211"/>
      <c r="D325" s="211"/>
    </row>
    <row r="326" spans="3:4" ht="17.25" customHeight="1">
      <c r="C326" s="211"/>
      <c r="D326" s="211"/>
    </row>
    <row r="327" spans="3:4" ht="17.25" customHeight="1">
      <c r="C327" s="211"/>
      <c r="D327" s="211"/>
    </row>
    <row r="328" spans="3:4" ht="17.25" customHeight="1">
      <c r="C328" s="211"/>
      <c r="D328" s="211"/>
    </row>
    <row r="329" spans="3:4" ht="17.25" customHeight="1">
      <c r="C329" s="211"/>
      <c r="D329" s="211"/>
    </row>
    <row r="330" spans="3:4" ht="17.25" customHeight="1">
      <c r="C330" s="211"/>
      <c r="D330" s="211"/>
    </row>
  </sheetData>
  <mergeCells count="2">
    <mergeCell ref="A13:L13"/>
    <mergeCell ref="A1:L1"/>
  </mergeCells>
  <phoneticPr fontId="25" type="noConversion"/>
  <conditionalFormatting sqref="A1 A6:A8 A2:E3 A4:D4 A12:A16 A25:E1048576 B11:J12 B6:H10 B5:K5 B14:L15 K22:L1048576 B17:L21 M1:XFD1048576">
    <cfRule type="cellIs" dxfId="722" priority="69" operator="equal">
      <formula>0</formula>
    </cfRule>
  </conditionalFormatting>
  <conditionalFormatting sqref="A11">
    <cfRule type="cellIs" dxfId="721" priority="68" operator="equal">
      <formula>0</formula>
    </cfRule>
  </conditionalFormatting>
  <conditionalFormatting sqref="E4">
    <cfRule type="cellIs" dxfId="720" priority="67" operator="equal">
      <formula>0</formula>
    </cfRule>
  </conditionalFormatting>
  <conditionalFormatting sqref="F2:F3 F25:F1048576">
    <cfRule type="cellIs" dxfId="719" priority="65" operator="equal">
      <formula>0</formula>
    </cfRule>
  </conditionalFormatting>
  <conditionalFormatting sqref="F4:H4">
    <cfRule type="cellIs" dxfId="718" priority="64" operator="equal">
      <formula>0</formula>
    </cfRule>
  </conditionalFormatting>
  <conditionalFormatting sqref="H2:H3 H25:H1048576">
    <cfRule type="cellIs" dxfId="717" priority="62" operator="equal">
      <formula>0</formula>
    </cfRule>
  </conditionalFormatting>
  <conditionalFormatting sqref="G2:G3 G25:G1048576">
    <cfRule type="cellIs" dxfId="716" priority="59" operator="equal">
      <formula>0</formula>
    </cfRule>
  </conditionalFormatting>
  <conditionalFormatting sqref="I4">
    <cfRule type="cellIs" dxfId="715" priority="56" operator="equal">
      <formula>0</formula>
    </cfRule>
  </conditionalFormatting>
  <conditionalFormatting sqref="I6:I8">
    <cfRule type="cellIs" dxfId="714" priority="55" operator="equal">
      <formula>0</formula>
    </cfRule>
  </conditionalFormatting>
  <conditionalFormatting sqref="I2:I3 I25:I1048576">
    <cfRule type="cellIs" dxfId="713" priority="54" operator="equal">
      <formula>0</formula>
    </cfRule>
  </conditionalFormatting>
  <conditionalFormatting sqref="J4">
    <cfRule type="cellIs" dxfId="712" priority="53" operator="equal">
      <formula>0</formula>
    </cfRule>
  </conditionalFormatting>
  <conditionalFormatting sqref="J6:J8">
    <cfRule type="cellIs" dxfId="711" priority="52" operator="equal">
      <formula>0</formula>
    </cfRule>
  </conditionalFormatting>
  <conditionalFormatting sqref="J2:J3 J25:J1048576">
    <cfRule type="cellIs" dxfId="710" priority="51" operator="equal">
      <formula>0</formula>
    </cfRule>
  </conditionalFormatting>
  <conditionalFormatting sqref="A10">
    <cfRule type="cellIs" dxfId="709" priority="50" operator="equal">
      <formula>0</formula>
    </cfRule>
  </conditionalFormatting>
  <conditionalFormatting sqref="I10">
    <cfRule type="cellIs" dxfId="708" priority="48" operator="equal">
      <formula>0</formula>
    </cfRule>
  </conditionalFormatting>
  <conditionalFormatting sqref="J10">
    <cfRule type="cellIs" dxfId="707" priority="47" operator="equal">
      <formula>0</formula>
    </cfRule>
  </conditionalFormatting>
  <conditionalFormatting sqref="A9">
    <cfRule type="cellIs" dxfId="706" priority="46" operator="equal">
      <formula>0</formula>
    </cfRule>
  </conditionalFormatting>
  <conditionalFormatting sqref="I9:I10">
    <cfRule type="cellIs" dxfId="705" priority="44" operator="equal">
      <formula>0</formula>
    </cfRule>
  </conditionalFormatting>
  <conditionalFormatting sqref="J9:J10">
    <cfRule type="cellIs" dxfId="704" priority="43" operator="equal">
      <formula>0</formula>
    </cfRule>
  </conditionalFormatting>
  <conditionalFormatting sqref="K4">
    <cfRule type="cellIs" dxfId="703" priority="42" operator="equal">
      <formula>0</formula>
    </cfRule>
  </conditionalFormatting>
  <conditionalFormatting sqref="K6:K8">
    <cfRule type="cellIs" dxfId="702" priority="41" operator="equal">
      <formula>0</formula>
    </cfRule>
  </conditionalFormatting>
  <conditionalFormatting sqref="K2:K3 K11:K12">
    <cfRule type="cellIs" dxfId="701" priority="40" operator="equal">
      <formula>0</formula>
    </cfRule>
  </conditionalFormatting>
  <conditionalFormatting sqref="K10">
    <cfRule type="cellIs" dxfId="700" priority="39" operator="equal">
      <formula>0</formula>
    </cfRule>
  </conditionalFormatting>
  <conditionalFormatting sqref="K9:K10">
    <cfRule type="cellIs" dxfId="699" priority="38" operator="equal">
      <formula>0</formula>
    </cfRule>
  </conditionalFormatting>
  <conditionalFormatting sqref="A5">
    <cfRule type="cellIs" dxfId="698" priority="32" operator="equal">
      <formula>0</formula>
    </cfRule>
  </conditionalFormatting>
  <conditionalFormatting sqref="L5">
    <cfRule type="cellIs" dxfId="697" priority="16" operator="equal">
      <formula>0</formula>
    </cfRule>
  </conditionalFormatting>
  <conditionalFormatting sqref="L4">
    <cfRule type="cellIs" dxfId="696" priority="15" operator="equal">
      <formula>0</formula>
    </cfRule>
  </conditionalFormatting>
  <conditionalFormatting sqref="L6:L8">
    <cfRule type="cellIs" dxfId="695" priority="14" operator="equal">
      <formula>0</formula>
    </cfRule>
  </conditionalFormatting>
  <conditionalFormatting sqref="L2:L3 L11:L12">
    <cfRule type="cellIs" dxfId="694" priority="13" operator="equal">
      <formula>0</formula>
    </cfRule>
  </conditionalFormatting>
  <conditionalFormatting sqref="L10">
    <cfRule type="cellIs" dxfId="693" priority="12" operator="equal">
      <formula>0</formula>
    </cfRule>
  </conditionalFormatting>
  <conditionalFormatting sqref="L9:L10">
    <cfRule type="cellIs" dxfId="692" priority="11" operator="equal">
      <formula>0</formula>
    </cfRule>
  </conditionalFormatting>
  <conditionalFormatting sqref="A17:A19">
    <cfRule type="cellIs" dxfId="691" priority="10" operator="equal">
      <formula>0</formula>
    </cfRule>
  </conditionalFormatting>
  <conditionalFormatting sqref="A21">
    <cfRule type="cellIs" dxfId="690" priority="9" operator="equal">
      <formula>0</formula>
    </cfRule>
  </conditionalFormatting>
  <conditionalFormatting sqref="A20">
    <cfRule type="cellIs" dxfId="689" priority="8" operator="equal">
      <formula>0</formula>
    </cfRule>
  </conditionalFormatting>
  <conditionalFormatting sqref="B16:D16">
    <cfRule type="cellIs" dxfId="688" priority="7" operator="equal">
      <formula>0</formula>
    </cfRule>
  </conditionalFormatting>
  <conditionalFormatting sqref="E16">
    <cfRule type="cellIs" dxfId="687" priority="6" operator="equal">
      <formula>0</formula>
    </cfRule>
  </conditionalFormatting>
  <conditionalFormatting sqref="F16:H16">
    <cfRule type="cellIs" dxfId="686" priority="5" operator="equal">
      <formula>0</formula>
    </cfRule>
  </conditionalFormatting>
  <conditionalFormatting sqref="I16">
    <cfRule type="cellIs" dxfId="685" priority="4" operator="equal">
      <formula>0</formula>
    </cfRule>
  </conditionalFormatting>
  <conditionalFormatting sqref="J16">
    <cfRule type="cellIs" dxfId="684" priority="3" operator="equal">
      <formula>0</formula>
    </cfRule>
  </conditionalFormatting>
  <conditionalFormatting sqref="K16">
    <cfRule type="cellIs" dxfId="683" priority="2" operator="equal">
      <formula>0</formula>
    </cfRule>
  </conditionalFormatting>
  <conditionalFormatting sqref="L16">
    <cfRule type="cellIs" dxfId="682"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9" orientation="portrait" r:id="rId1"/>
  <headerFooter>
    <oddHeader>&amp;C&amp;G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36">
    <tabColor rgb="FFE1EAEF"/>
  </sheetPr>
  <dimension ref="A1"/>
  <sheetViews>
    <sheetView showGridLines="0" topLeftCell="A7" workbookViewId="0">
      <selection sqref="A1:M1"/>
    </sheetView>
  </sheetViews>
  <sheetFormatPr defaultColWidth="8.7109375" defaultRowHeight="15"/>
  <cols>
    <col min="1" max="16384" width="8.7109375" style="447"/>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101">
    <tabColor rgb="FFE1EAEF"/>
    <pageSetUpPr fitToPage="1"/>
  </sheetPr>
  <dimension ref="A1:AB27"/>
  <sheetViews>
    <sheetView showGridLines="0" zoomScaleNormal="100" workbookViewId="0">
      <selection sqref="A1:M1"/>
    </sheetView>
  </sheetViews>
  <sheetFormatPr defaultColWidth="9.140625" defaultRowHeight="11.25"/>
  <cols>
    <col min="1" max="1" width="16.7109375" style="8" customWidth="1"/>
    <col min="2" max="12" width="7.5703125" style="8" customWidth="1"/>
    <col min="13" max="13" width="8.5703125" style="8" customWidth="1"/>
    <col min="14" max="16384" width="9.140625" style="8"/>
  </cols>
  <sheetData>
    <row r="1" spans="1:14" s="236" customFormat="1" ht="28.5" customHeight="1">
      <c r="A1" s="799" t="s">
        <v>709</v>
      </c>
      <c r="B1" s="799"/>
      <c r="C1" s="799"/>
      <c r="D1" s="799"/>
      <c r="E1" s="799"/>
      <c r="F1" s="799"/>
      <c r="G1" s="799"/>
      <c r="H1" s="799"/>
      <c r="I1" s="799"/>
      <c r="J1" s="799"/>
      <c r="K1" s="799"/>
      <c r="L1" s="799"/>
    </row>
    <row r="2" spans="1:14" s="239" customFormat="1" ht="15" customHeight="1">
      <c r="A2" s="237"/>
      <c r="B2" s="277"/>
      <c r="C2" s="277"/>
      <c r="D2" s="277"/>
      <c r="E2" s="277"/>
      <c r="F2" s="277"/>
      <c r="G2" s="277"/>
      <c r="H2" s="277"/>
      <c r="I2" s="277"/>
      <c r="J2" s="277"/>
      <c r="K2" s="277"/>
      <c r="L2" s="277"/>
    </row>
    <row r="3" spans="1:14" s="239" customFormat="1" ht="14.25" customHeight="1">
      <c r="A3" s="306" t="s">
        <v>14</v>
      </c>
      <c r="B3" s="328"/>
      <c r="C3" s="277"/>
      <c r="D3" s="277"/>
      <c r="E3" s="277"/>
      <c r="F3" s="277"/>
      <c r="G3" s="277"/>
      <c r="H3" s="277"/>
      <c r="I3" s="277"/>
      <c r="J3" s="277"/>
      <c r="K3" s="277"/>
      <c r="L3" s="277"/>
    </row>
    <row r="4" spans="1:14" s="242" customFormat="1" ht="28.5" customHeight="1" thickBot="1">
      <c r="A4" s="240"/>
      <c r="B4" s="241">
        <v>2013</v>
      </c>
      <c r="C4" s="241">
        <v>2014</v>
      </c>
      <c r="D4" s="241">
        <v>2015</v>
      </c>
      <c r="E4" s="241">
        <v>2016</v>
      </c>
      <c r="F4" s="241">
        <v>2017</v>
      </c>
      <c r="G4" s="241">
        <v>2018</v>
      </c>
      <c r="H4" s="241">
        <v>2019</v>
      </c>
      <c r="I4" s="241">
        <v>2020</v>
      </c>
      <c r="J4" s="241">
        <v>2021</v>
      </c>
      <c r="K4" s="241">
        <v>2022</v>
      </c>
      <c r="L4" s="241">
        <v>2023</v>
      </c>
    </row>
    <row r="5" spans="1:14" s="337" customFormat="1" ht="16.5" customHeight="1" thickTop="1">
      <c r="A5" s="208" t="s">
        <v>12</v>
      </c>
      <c r="B5" s="370">
        <v>1890511</v>
      </c>
      <c r="C5" s="370">
        <v>1928307</v>
      </c>
      <c r="D5" s="370">
        <v>1991131</v>
      </c>
      <c r="E5" s="370">
        <v>2054911</v>
      </c>
      <c r="F5" s="370">
        <v>2131943</v>
      </c>
      <c r="G5" s="370">
        <v>2205449</v>
      </c>
      <c r="H5" s="370">
        <v>2232400</v>
      </c>
      <c r="I5" s="370">
        <v>2164118</v>
      </c>
      <c r="J5" s="370">
        <v>2200594</v>
      </c>
      <c r="K5" s="370">
        <v>2376115</v>
      </c>
      <c r="L5" s="370">
        <v>2467600</v>
      </c>
      <c r="M5" s="339"/>
      <c r="N5" s="242"/>
    </row>
    <row r="6" spans="1:14" ht="20.25" customHeight="1">
      <c r="A6" s="326" t="s">
        <v>118</v>
      </c>
      <c r="B6" s="372">
        <v>9784</v>
      </c>
      <c r="C6" s="372">
        <v>14553</v>
      </c>
      <c r="D6" s="372">
        <v>11605</v>
      </c>
      <c r="E6" s="372">
        <v>11074</v>
      </c>
      <c r="F6" s="372">
        <v>11491</v>
      </c>
      <c r="G6" s="372">
        <v>10293</v>
      </c>
      <c r="H6" s="372">
        <v>11154</v>
      </c>
      <c r="I6" s="372">
        <v>10068</v>
      </c>
      <c r="J6" s="372">
        <v>11022</v>
      </c>
      <c r="K6" s="372">
        <v>11373</v>
      </c>
      <c r="L6" s="372">
        <v>11105</v>
      </c>
      <c r="M6" s="234"/>
      <c r="N6" s="242"/>
    </row>
    <row r="7" spans="1:14" ht="15" customHeight="1">
      <c r="A7" s="326" t="s">
        <v>119</v>
      </c>
      <c r="B7" s="372">
        <v>267756</v>
      </c>
      <c r="C7" s="372">
        <v>392781</v>
      </c>
      <c r="D7" s="372">
        <v>366054</v>
      </c>
      <c r="E7" s="372">
        <v>454324</v>
      </c>
      <c r="F7" s="372">
        <v>487970</v>
      </c>
      <c r="G7" s="372">
        <v>492192</v>
      </c>
      <c r="H7" s="372">
        <v>468236</v>
      </c>
      <c r="I7" s="372">
        <v>516788</v>
      </c>
      <c r="J7" s="372">
        <v>516811</v>
      </c>
      <c r="K7" s="372">
        <v>554729</v>
      </c>
      <c r="L7" s="372">
        <v>508930</v>
      </c>
      <c r="M7" s="297"/>
      <c r="N7" s="242"/>
    </row>
    <row r="8" spans="1:14" ht="15" customHeight="1">
      <c r="A8" s="194" t="s">
        <v>707</v>
      </c>
      <c r="B8" s="372">
        <v>1140344</v>
      </c>
      <c r="C8" s="372">
        <v>1044671</v>
      </c>
      <c r="D8" s="372">
        <v>1117809</v>
      </c>
      <c r="E8" s="372">
        <v>1076320</v>
      </c>
      <c r="F8" s="372">
        <v>1087248</v>
      </c>
      <c r="G8" s="372">
        <v>1109213</v>
      </c>
      <c r="H8" s="372">
        <v>1113985</v>
      </c>
      <c r="I8" s="372">
        <v>973331</v>
      </c>
      <c r="J8" s="372">
        <v>953371</v>
      </c>
      <c r="K8" s="372">
        <v>960637</v>
      </c>
      <c r="L8" s="372">
        <v>958282</v>
      </c>
      <c r="M8" s="234"/>
      <c r="N8" s="297"/>
    </row>
    <row r="9" spans="1:14" ht="15" customHeight="1">
      <c r="A9" s="326" t="s">
        <v>176</v>
      </c>
      <c r="B9" s="372">
        <v>257462</v>
      </c>
      <c r="C9" s="372">
        <v>260623</v>
      </c>
      <c r="D9" s="372">
        <v>272248</v>
      </c>
      <c r="E9" s="372">
        <v>282191</v>
      </c>
      <c r="F9" s="372">
        <v>301579</v>
      </c>
      <c r="G9" s="372">
        <v>327799</v>
      </c>
      <c r="H9" s="372">
        <v>350368</v>
      </c>
      <c r="I9" s="372">
        <v>366310</v>
      </c>
      <c r="J9" s="372">
        <v>395484</v>
      </c>
      <c r="K9" s="372">
        <v>462230</v>
      </c>
      <c r="L9" s="372">
        <v>539572</v>
      </c>
      <c r="M9" s="297"/>
      <c r="N9" s="297"/>
    </row>
    <row r="10" spans="1:14" ht="15" customHeight="1">
      <c r="A10" s="326" t="s">
        <v>177</v>
      </c>
      <c r="B10" s="372">
        <v>146669</v>
      </c>
      <c r="C10" s="372">
        <v>147728</v>
      </c>
      <c r="D10" s="372">
        <v>152155</v>
      </c>
      <c r="E10" s="372">
        <v>155880</v>
      </c>
      <c r="F10" s="372">
        <v>164581</v>
      </c>
      <c r="G10" s="372">
        <v>179358</v>
      </c>
      <c r="H10" s="372">
        <v>193721</v>
      </c>
      <c r="I10" s="372">
        <v>200290</v>
      </c>
      <c r="J10" s="372">
        <v>215755</v>
      </c>
      <c r="K10" s="372">
        <v>253765</v>
      </c>
      <c r="L10" s="372">
        <v>293708</v>
      </c>
      <c r="M10" s="234"/>
      <c r="N10" s="297"/>
    </row>
    <row r="11" spans="1:14" ht="15" customHeight="1">
      <c r="A11" s="326" t="s">
        <v>178</v>
      </c>
      <c r="B11" s="372">
        <v>44890</v>
      </c>
      <c r="C11" s="372">
        <v>45110</v>
      </c>
      <c r="D11" s="372">
        <v>47598</v>
      </c>
      <c r="E11" s="372">
        <v>50132</v>
      </c>
      <c r="F11" s="372">
        <v>53023</v>
      </c>
      <c r="G11" s="372">
        <v>58760</v>
      </c>
      <c r="H11" s="372">
        <v>64464</v>
      </c>
      <c r="I11" s="372">
        <v>66879</v>
      </c>
      <c r="J11" s="372">
        <v>74024</v>
      </c>
      <c r="K11" s="372">
        <v>89286</v>
      </c>
      <c r="L11" s="372">
        <v>102585</v>
      </c>
      <c r="M11" s="234"/>
      <c r="N11" s="297"/>
    </row>
    <row r="12" spans="1:14" ht="15" customHeight="1">
      <c r="A12" s="326" t="s">
        <v>179</v>
      </c>
      <c r="B12" s="372">
        <v>12849</v>
      </c>
      <c r="C12" s="372">
        <v>12151</v>
      </c>
      <c r="D12" s="372">
        <v>12533</v>
      </c>
      <c r="E12" s="372">
        <v>13548</v>
      </c>
      <c r="F12" s="372">
        <v>14082</v>
      </c>
      <c r="G12" s="372">
        <v>15054</v>
      </c>
      <c r="H12" s="372">
        <v>16385</v>
      </c>
      <c r="I12" s="372">
        <v>16730</v>
      </c>
      <c r="J12" s="372">
        <v>18882</v>
      </c>
      <c r="K12" s="372">
        <v>24268</v>
      </c>
      <c r="L12" s="372">
        <v>29098</v>
      </c>
      <c r="M12" s="234"/>
      <c r="N12" s="297"/>
    </row>
    <row r="13" spans="1:14" s="166" customFormat="1" ht="15" customHeight="1">
      <c r="A13" s="326" t="s">
        <v>180</v>
      </c>
      <c r="B13" s="372">
        <v>10757</v>
      </c>
      <c r="C13" s="372">
        <v>10690</v>
      </c>
      <c r="D13" s="372">
        <v>11129</v>
      </c>
      <c r="E13" s="372">
        <v>11442</v>
      </c>
      <c r="F13" s="372">
        <v>11969</v>
      </c>
      <c r="G13" s="372">
        <v>12780</v>
      </c>
      <c r="H13" s="372">
        <v>14087</v>
      </c>
      <c r="I13" s="372">
        <v>13722</v>
      </c>
      <c r="J13" s="372">
        <v>15245</v>
      </c>
      <c r="K13" s="372">
        <v>19827</v>
      </c>
      <c r="L13" s="372">
        <v>24320</v>
      </c>
      <c r="M13" s="234"/>
      <c r="N13" s="297"/>
    </row>
    <row r="14" spans="1:14" s="244" customFormat="1" ht="11.25" customHeight="1">
      <c r="A14" s="243"/>
      <c r="B14" s="153"/>
      <c r="C14" s="153"/>
      <c r="D14" s="153"/>
      <c r="E14" s="153"/>
      <c r="F14" s="153"/>
      <c r="G14" s="153"/>
      <c r="H14" s="153"/>
      <c r="I14" s="153"/>
      <c r="J14" s="153"/>
      <c r="K14" s="153"/>
      <c r="L14" s="153"/>
    </row>
    <row r="15" spans="1:14" s="242" customFormat="1">
      <c r="A15" s="245" t="s">
        <v>120</v>
      </c>
      <c r="B15" s="246"/>
      <c r="C15" s="246"/>
      <c r="D15" s="246"/>
      <c r="E15" s="246"/>
      <c r="F15" s="246"/>
      <c r="G15" s="246"/>
      <c r="H15" s="246"/>
      <c r="I15" s="246"/>
      <c r="J15" s="246"/>
      <c r="K15" s="246"/>
      <c r="L15" s="246"/>
    </row>
    <row r="16" spans="1:14" s="329" customFormat="1" ht="20.25" customHeight="1">
      <c r="A16" s="208" t="s">
        <v>12</v>
      </c>
      <c r="B16" s="338">
        <v>100</v>
      </c>
      <c r="C16" s="338">
        <v>100</v>
      </c>
      <c r="D16" s="338">
        <v>100</v>
      </c>
      <c r="E16" s="338">
        <v>100</v>
      </c>
      <c r="F16" s="338">
        <v>100</v>
      </c>
      <c r="G16" s="338">
        <v>100</v>
      </c>
      <c r="H16" s="338">
        <v>100</v>
      </c>
      <c r="I16" s="338">
        <v>100</v>
      </c>
      <c r="J16" s="338">
        <v>100</v>
      </c>
      <c r="K16" s="338">
        <v>100</v>
      </c>
      <c r="L16" s="338">
        <v>100</v>
      </c>
    </row>
    <row r="17" spans="1:28" s="329" customFormat="1" ht="20.25" customHeight="1">
      <c r="A17" s="326" t="s">
        <v>118</v>
      </c>
      <c r="B17" s="151">
        <v>0.51753203234469414</v>
      </c>
      <c r="C17" s="151">
        <v>0.75470347823245987</v>
      </c>
      <c r="D17" s="151">
        <v>0.58283457994476506</v>
      </c>
      <c r="E17" s="151">
        <v>0.53890411798856497</v>
      </c>
      <c r="F17" s="151">
        <v>0.53899189612480258</v>
      </c>
      <c r="G17" s="151">
        <v>0.46670768628066212</v>
      </c>
      <c r="H17" s="151">
        <v>0.49964164128292421</v>
      </c>
      <c r="I17" s="151">
        <v>0.46522416984656106</v>
      </c>
      <c r="J17" s="151">
        <v>0.50086476651304146</v>
      </c>
      <c r="K17" s="151">
        <v>0.47863844973833336</v>
      </c>
      <c r="L17" s="151">
        <v>0.45003242016534284</v>
      </c>
      <c r="R17" s="151"/>
      <c r="S17" s="151"/>
      <c r="T17" s="151"/>
      <c r="U17" s="151"/>
      <c r="V17" s="151"/>
      <c r="W17" s="151"/>
      <c r="X17" s="151"/>
      <c r="Y17" s="151"/>
      <c r="Z17" s="151"/>
      <c r="AA17" s="151"/>
      <c r="AB17" s="151"/>
    </row>
    <row r="18" spans="1:28" s="330" customFormat="1" ht="15" customHeight="1">
      <c r="A18" s="326" t="s">
        <v>119</v>
      </c>
      <c r="B18" s="151">
        <v>14.163154829567242</v>
      </c>
      <c r="C18" s="151">
        <v>20.369215067932647</v>
      </c>
      <c r="D18" s="151">
        <v>18.384224845075487</v>
      </c>
      <c r="E18" s="151">
        <v>22.109181370872022</v>
      </c>
      <c r="F18" s="151">
        <v>22.888510621531626</v>
      </c>
      <c r="G18" s="151">
        <v>22.317088266380225</v>
      </c>
      <c r="H18" s="151">
        <v>20.974556531087618</v>
      </c>
      <c r="I18" s="151">
        <v>23.87984389021301</v>
      </c>
      <c r="J18" s="151">
        <v>23.485068122516012</v>
      </c>
      <c r="K18" s="151">
        <v>23.346050170130656</v>
      </c>
      <c r="L18" s="151">
        <v>20.62449343491652</v>
      </c>
      <c r="M18" s="652">
        <f>+L18-B18</f>
        <v>6.4613386053492778</v>
      </c>
      <c r="R18" s="151"/>
      <c r="S18" s="151"/>
      <c r="T18" s="151"/>
      <c r="U18" s="151"/>
      <c r="V18" s="151"/>
      <c r="W18" s="151"/>
      <c r="X18" s="151"/>
      <c r="Y18" s="151"/>
      <c r="Z18" s="151"/>
      <c r="AA18" s="151"/>
      <c r="AB18" s="151"/>
    </row>
    <row r="19" spans="1:28" s="330" customFormat="1" ht="15" customHeight="1">
      <c r="A19" s="194" t="s">
        <v>707</v>
      </c>
      <c r="B19" s="151">
        <v>60.319352809901659</v>
      </c>
      <c r="C19" s="151">
        <v>54.17555399632942</v>
      </c>
      <c r="D19" s="151">
        <v>56.13940017005411</v>
      </c>
      <c r="E19" s="151">
        <v>52.377937535980877</v>
      </c>
      <c r="F19" s="151">
        <v>50.997986343912572</v>
      </c>
      <c r="G19" s="151">
        <v>50.294203130519001</v>
      </c>
      <c r="H19" s="151">
        <v>49.900779430209639</v>
      </c>
      <c r="I19" s="151">
        <v>44.975874698144921</v>
      </c>
      <c r="J19" s="151">
        <v>43.323348150544803</v>
      </c>
      <c r="K19" s="151">
        <v>40.428893382685601</v>
      </c>
      <c r="L19" s="151">
        <v>38.83457610633814</v>
      </c>
      <c r="M19" s="652">
        <f>+L18+L19</f>
        <v>59.459069541254664</v>
      </c>
      <c r="N19" s="652">
        <f>+B18+B19</f>
        <v>74.482507639468906</v>
      </c>
      <c r="O19" s="652">
        <f>+M19-N19</f>
        <v>-15.023438098214243</v>
      </c>
      <c r="R19" s="151"/>
      <c r="S19" s="151"/>
      <c r="T19" s="151"/>
      <c r="U19" s="151"/>
      <c r="V19" s="151"/>
      <c r="W19" s="151"/>
      <c r="X19" s="151"/>
      <c r="Y19" s="151"/>
      <c r="Z19" s="151"/>
      <c r="AA19" s="151"/>
      <c r="AB19" s="151"/>
    </row>
    <row r="20" spans="1:28" s="330" customFormat="1" ht="15" customHeight="1">
      <c r="A20" s="326" t="s">
        <v>176</v>
      </c>
      <c r="B20" s="151">
        <v>13.618645963974821</v>
      </c>
      <c r="C20" s="151">
        <v>13.515638329373903</v>
      </c>
      <c r="D20" s="151">
        <v>13.673033065127308</v>
      </c>
      <c r="E20" s="151">
        <v>13.732516882726308</v>
      </c>
      <c r="F20" s="151">
        <v>14.145734665514039</v>
      </c>
      <c r="G20" s="151">
        <v>14.863141246975106</v>
      </c>
      <c r="H20" s="151">
        <v>15.694678373051424</v>
      </c>
      <c r="I20" s="151">
        <v>16.926526187573877</v>
      </c>
      <c r="J20" s="151">
        <v>17.971693097409155</v>
      </c>
      <c r="K20" s="151">
        <v>19.453183031966045</v>
      </c>
      <c r="L20" s="151">
        <v>21.866266817960771</v>
      </c>
      <c r="M20" s="652">
        <f>+L19-B19</f>
        <v>-21.484776703563519</v>
      </c>
      <c r="R20" s="151"/>
      <c r="S20" s="151"/>
      <c r="T20" s="151"/>
      <c r="U20" s="151"/>
      <c r="V20" s="151"/>
      <c r="W20" s="151"/>
      <c r="X20" s="151"/>
      <c r="Y20" s="151"/>
      <c r="Z20" s="151"/>
      <c r="AA20" s="151"/>
      <c r="AB20" s="151"/>
    </row>
    <row r="21" spans="1:28" s="330" customFormat="1" ht="15" customHeight="1">
      <c r="A21" s="326" t="s">
        <v>177</v>
      </c>
      <c r="B21" s="151">
        <v>7.7581669717869932</v>
      </c>
      <c r="C21" s="151">
        <v>7.6610207814419589</v>
      </c>
      <c r="D21" s="151">
        <v>7.6416368385605979</v>
      </c>
      <c r="E21" s="151">
        <v>7.5857299902526192</v>
      </c>
      <c r="F21" s="151">
        <v>7.7197654909160338</v>
      </c>
      <c r="G21" s="151">
        <v>8.1324936554869325</v>
      </c>
      <c r="H21" s="151">
        <v>8.677701128829959</v>
      </c>
      <c r="I21" s="151">
        <v>9.2550406216296892</v>
      </c>
      <c r="J21" s="151">
        <v>9.8043982670133598</v>
      </c>
      <c r="K21" s="151">
        <v>10.679828206968098</v>
      </c>
      <c r="L21" s="151">
        <v>11.902577403144756</v>
      </c>
      <c r="R21" s="151"/>
      <c r="S21" s="151"/>
      <c r="T21" s="151"/>
      <c r="U21" s="151"/>
      <c r="V21" s="151"/>
      <c r="W21" s="151"/>
      <c r="X21" s="151"/>
      <c r="Y21" s="151"/>
      <c r="Z21" s="151"/>
      <c r="AA21" s="151"/>
      <c r="AB21" s="151"/>
    </row>
    <row r="22" spans="1:28" s="330" customFormat="1" ht="15" customHeight="1">
      <c r="A22" s="326" t="s">
        <v>178</v>
      </c>
      <c r="B22" s="151">
        <v>2.3744902833149344</v>
      </c>
      <c r="C22" s="151">
        <v>2.3393577889827712</v>
      </c>
      <c r="D22" s="151">
        <v>2.3905006752443709</v>
      </c>
      <c r="E22" s="151">
        <v>2.4396190394620496</v>
      </c>
      <c r="F22" s="151">
        <v>2.4870739977569758</v>
      </c>
      <c r="G22" s="151">
        <v>2.6643100792627714</v>
      </c>
      <c r="H22" s="151">
        <v>2.887654542196739</v>
      </c>
      <c r="I22" s="151">
        <v>3.0903582891505916</v>
      </c>
      <c r="J22" s="151">
        <v>3.3638190415860443</v>
      </c>
      <c r="K22" s="151">
        <v>3.7576464102116272</v>
      </c>
      <c r="L22" s="151">
        <v>4.1572783271194682</v>
      </c>
      <c r="R22" s="151"/>
      <c r="S22" s="151"/>
      <c r="T22" s="151"/>
      <c r="U22" s="151"/>
      <c r="V22" s="151"/>
      <c r="W22" s="151"/>
      <c r="X22" s="151"/>
      <c r="Y22" s="151"/>
      <c r="Z22" s="151"/>
      <c r="AA22" s="151"/>
      <c r="AB22" s="151"/>
    </row>
    <row r="23" spans="1:28" s="330" customFormat="1" ht="15" customHeight="1">
      <c r="A23" s="326" t="s">
        <v>179</v>
      </c>
      <c r="B23" s="151">
        <v>0.67965751058840707</v>
      </c>
      <c r="C23" s="151">
        <v>0.63013825080757369</v>
      </c>
      <c r="D23" s="151">
        <v>0.62944125725529865</v>
      </c>
      <c r="E23" s="151">
        <v>0.65929862655852256</v>
      </c>
      <c r="F23" s="151">
        <v>0.66052422602292837</v>
      </c>
      <c r="G23" s="151">
        <v>0.68258209552794014</v>
      </c>
      <c r="H23" s="151">
        <v>0.73396344741085828</v>
      </c>
      <c r="I23" s="151">
        <v>0.77306320635011583</v>
      </c>
      <c r="J23" s="151">
        <v>0.85804105618755666</v>
      </c>
      <c r="K23" s="151">
        <v>1.0213310382704541</v>
      </c>
      <c r="L23" s="151">
        <v>1.179202463932566</v>
      </c>
      <c r="R23" s="151"/>
      <c r="S23" s="151"/>
      <c r="T23" s="151"/>
      <c r="U23" s="151"/>
      <c r="V23" s="151"/>
      <c r="W23" s="151"/>
      <c r="X23" s="151"/>
      <c r="Y23" s="151"/>
      <c r="Z23" s="151"/>
      <c r="AA23" s="151"/>
      <c r="AB23" s="151"/>
    </row>
    <row r="24" spans="1:28" s="330" customFormat="1" ht="15" customHeight="1">
      <c r="A24" s="37" t="s">
        <v>180</v>
      </c>
      <c r="B24" s="151">
        <v>0.56899959852124637</v>
      </c>
      <c r="C24" s="151">
        <v>0.55437230689926442</v>
      </c>
      <c r="D24" s="151">
        <v>0.55892856873806895</v>
      </c>
      <c r="E24" s="151">
        <v>0.55681243615903553</v>
      </c>
      <c r="F24" s="151">
        <v>0.56141275822102188</v>
      </c>
      <c r="G24" s="151">
        <v>0.57947383956736243</v>
      </c>
      <c r="H24" s="151">
        <v>0.63102490593083682</v>
      </c>
      <c r="I24" s="151">
        <v>0.63406893709123069</v>
      </c>
      <c r="J24" s="151">
        <v>0.69276749823002337</v>
      </c>
      <c r="K24" s="151">
        <v>0.8344293100291863</v>
      </c>
      <c r="L24" s="151">
        <v>0.98557302642243472</v>
      </c>
      <c r="R24" s="151"/>
      <c r="S24" s="151"/>
      <c r="T24" s="151"/>
      <c r="U24" s="151"/>
      <c r="V24" s="151"/>
      <c r="W24" s="151"/>
      <c r="X24" s="151"/>
      <c r="Y24" s="151"/>
      <c r="Z24" s="151"/>
      <c r="AA24" s="151"/>
      <c r="AB24" s="151"/>
    </row>
    <row r="25" spans="1:28" ht="35.25" customHeight="1">
      <c r="A25" s="800" t="s">
        <v>708</v>
      </c>
      <c r="B25" s="800"/>
      <c r="C25" s="800"/>
      <c r="D25" s="800"/>
      <c r="E25" s="800"/>
      <c r="F25" s="800"/>
      <c r="G25" s="800"/>
      <c r="H25" s="800"/>
      <c r="I25" s="800"/>
      <c r="J25" s="800"/>
      <c r="K25" s="800"/>
      <c r="L25" s="800"/>
      <c r="R25" s="690"/>
      <c r="S25" s="690"/>
      <c r="T25" s="690"/>
      <c r="U25" s="690"/>
      <c r="V25" s="690"/>
      <c r="W25" s="690"/>
      <c r="X25" s="690"/>
      <c r="Y25" s="690"/>
      <c r="Z25" s="690"/>
      <c r="AA25" s="690"/>
      <c r="AB25" s="690"/>
    </row>
    <row r="26" spans="1:28" ht="15" customHeight="1">
      <c r="A26" s="222" t="s">
        <v>138</v>
      </c>
      <c r="B26" s="156"/>
      <c r="C26" s="156"/>
      <c r="D26" s="156"/>
      <c r="E26" s="310"/>
      <c r="F26" s="310"/>
      <c r="G26" s="310"/>
      <c r="H26" s="310"/>
      <c r="I26" s="310"/>
      <c r="J26" s="310"/>
      <c r="K26" s="310"/>
      <c r="L26" s="310"/>
    </row>
    <row r="27" spans="1:28" ht="11.25" customHeight="1">
      <c r="A27" s="801" t="s">
        <v>128</v>
      </c>
      <c r="B27" s="801"/>
      <c r="C27" s="801"/>
      <c r="D27" s="801"/>
      <c r="E27" s="801"/>
      <c r="F27" s="801"/>
      <c r="G27" s="801"/>
      <c r="H27" s="801"/>
      <c r="I27" s="801"/>
      <c r="J27" s="801"/>
      <c r="K27" s="801"/>
      <c r="L27" s="801"/>
    </row>
  </sheetData>
  <mergeCells count="3">
    <mergeCell ref="A1:L1"/>
    <mergeCell ref="A25:L25"/>
    <mergeCell ref="A27:L27"/>
  </mergeCells>
  <conditionalFormatting sqref="A27 E10:J12 N5:N7 B26:E26 A28:E1048576 B2:E4 B8:D8 B16:J24 B10:D15 B5:L7 B9:L9 M26:N1048576 M1:XFD4 O17:Q24 AC17:XFD24 O25:XFD1048576 A1:A24 O5:XFD16">
    <cfRule type="cellIs" dxfId="681" priority="105" operator="equal">
      <formula>0</formula>
    </cfRule>
    <cfRule type="cellIs" priority="106" operator="equal">
      <formula>0</formula>
    </cfRule>
  </conditionalFormatting>
  <conditionalFormatting sqref="E13:H13">
    <cfRule type="cellIs" dxfId="680" priority="103" operator="equal">
      <formula>0</formula>
    </cfRule>
    <cfRule type="cellIs" priority="104" operator="equal">
      <formula>0</formula>
    </cfRule>
  </conditionalFormatting>
  <conditionalFormatting sqref="A26">
    <cfRule type="cellIs" dxfId="679" priority="102" operator="equal">
      <formula>0</formula>
    </cfRule>
  </conditionalFormatting>
  <conditionalFormatting sqref="E14:E15">
    <cfRule type="cellIs" dxfId="678" priority="100" operator="equal">
      <formula>0</formula>
    </cfRule>
    <cfRule type="cellIs" priority="101" operator="equal">
      <formula>0</formula>
    </cfRule>
  </conditionalFormatting>
  <conditionalFormatting sqref="F2:F4 F26 F28:F1048576 G4:H4">
    <cfRule type="cellIs" dxfId="677" priority="98" operator="equal">
      <formula>0</formula>
    </cfRule>
    <cfRule type="cellIs" priority="99" operator="equal">
      <formula>0</formula>
    </cfRule>
  </conditionalFormatting>
  <conditionalFormatting sqref="F14:F15">
    <cfRule type="cellIs" dxfId="676" priority="96" operator="equal">
      <formula>0</formula>
    </cfRule>
    <cfRule type="cellIs" priority="97" operator="equal">
      <formula>0</formula>
    </cfRule>
  </conditionalFormatting>
  <conditionalFormatting sqref="E8:F8">
    <cfRule type="cellIs" dxfId="675" priority="94" operator="equal">
      <formula>0</formula>
    </cfRule>
    <cfRule type="cellIs" priority="95" operator="equal">
      <formula>0</formula>
    </cfRule>
  </conditionalFormatting>
  <conditionalFormatting sqref="H2:H3 H26 H28:H1048576">
    <cfRule type="cellIs" dxfId="674" priority="92" operator="equal">
      <formula>0</formula>
    </cfRule>
    <cfRule type="cellIs" priority="93" operator="equal">
      <formula>0</formula>
    </cfRule>
  </conditionalFormatting>
  <conditionalFormatting sqref="H14:H15">
    <cfRule type="cellIs" dxfId="673" priority="90" operator="equal">
      <formula>0</formula>
    </cfRule>
    <cfRule type="cellIs" priority="91" operator="equal">
      <formula>0</formula>
    </cfRule>
  </conditionalFormatting>
  <conditionalFormatting sqref="H8">
    <cfRule type="cellIs" dxfId="672" priority="88" operator="equal">
      <formula>0</formula>
    </cfRule>
    <cfRule type="cellIs" priority="89" operator="equal">
      <formula>0</formula>
    </cfRule>
  </conditionalFormatting>
  <conditionalFormatting sqref="G2:G3 G26 G28:G1048576">
    <cfRule type="cellIs" dxfId="671" priority="81" operator="equal">
      <formula>0</formula>
    </cfRule>
    <cfRule type="cellIs" priority="82" operator="equal">
      <formula>0</formula>
    </cfRule>
  </conditionalFormatting>
  <conditionalFormatting sqref="G14:G15">
    <cfRule type="cellIs" dxfId="670" priority="79" operator="equal">
      <formula>0</formula>
    </cfRule>
    <cfRule type="cellIs" priority="80" operator="equal">
      <formula>0</formula>
    </cfRule>
  </conditionalFormatting>
  <conditionalFormatting sqref="G8">
    <cfRule type="cellIs" dxfId="669" priority="77" operator="equal">
      <formula>0</formula>
    </cfRule>
    <cfRule type="cellIs" priority="78" operator="equal">
      <formula>0</formula>
    </cfRule>
  </conditionalFormatting>
  <conditionalFormatting sqref="I13">
    <cfRule type="cellIs" dxfId="668" priority="73" operator="equal">
      <formula>0</formula>
    </cfRule>
    <cfRule type="cellIs" priority="74" operator="equal">
      <formula>0</formula>
    </cfRule>
  </conditionalFormatting>
  <conditionalFormatting sqref="I4">
    <cfRule type="cellIs" dxfId="667" priority="71" operator="equal">
      <formula>0</formula>
    </cfRule>
    <cfRule type="cellIs" priority="72" operator="equal">
      <formula>0</formula>
    </cfRule>
  </conditionalFormatting>
  <conditionalFormatting sqref="I2:I3 I26 I28:I1048576">
    <cfRule type="cellIs" dxfId="666" priority="67" operator="equal">
      <formula>0</formula>
    </cfRule>
    <cfRule type="cellIs" priority="68" operator="equal">
      <formula>0</formula>
    </cfRule>
  </conditionalFormatting>
  <conditionalFormatting sqref="I14:I15">
    <cfRule type="cellIs" dxfId="665" priority="65" operator="equal">
      <formula>0</formula>
    </cfRule>
    <cfRule type="cellIs" priority="66" operator="equal">
      <formula>0</formula>
    </cfRule>
  </conditionalFormatting>
  <conditionalFormatting sqref="I8">
    <cfRule type="cellIs" dxfId="664" priority="63" operator="equal">
      <formula>0</formula>
    </cfRule>
    <cfRule type="cellIs" priority="64" operator="equal">
      <formula>0</formula>
    </cfRule>
  </conditionalFormatting>
  <conditionalFormatting sqref="J13">
    <cfRule type="cellIs" dxfId="663" priority="57" operator="equal">
      <formula>0</formula>
    </cfRule>
    <cfRule type="cellIs" priority="58" operator="equal">
      <formula>0</formula>
    </cfRule>
  </conditionalFormatting>
  <conditionalFormatting sqref="J4">
    <cfRule type="cellIs" dxfId="662" priority="55" operator="equal">
      <formula>0</formula>
    </cfRule>
    <cfRule type="cellIs" priority="56" operator="equal">
      <formula>0</formula>
    </cfRule>
  </conditionalFormatting>
  <conditionalFormatting sqref="J2:J3 J26 J28:J1048576">
    <cfRule type="cellIs" dxfId="661" priority="51" operator="equal">
      <formula>0</formula>
    </cfRule>
    <cfRule type="cellIs" priority="52" operator="equal">
      <formula>0</formula>
    </cfRule>
  </conditionalFormatting>
  <conditionalFormatting sqref="J14:J15">
    <cfRule type="cellIs" dxfId="660" priority="49" operator="equal">
      <formula>0</formula>
    </cfRule>
    <cfRule type="cellIs" priority="50" operator="equal">
      <formula>0</formula>
    </cfRule>
  </conditionalFormatting>
  <conditionalFormatting sqref="J8">
    <cfRule type="cellIs" dxfId="659" priority="47" operator="equal">
      <formula>0</formula>
    </cfRule>
    <cfRule type="cellIs" priority="48" operator="equal">
      <formula>0</formula>
    </cfRule>
  </conditionalFormatting>
  <conditionalFormatting sqref="K10:K12 K16:K24">
    <cfRule type="cellIs" dxfId="658" priority="43" operator="equal">
      <formula>0</formula>
    </cfRule>
    <cfRule type="cellIs" priority="44" operator="equal">
      <formula>0</formula>
    </cfRule>
  </conditionalFormatting>
  <conditionalFormatting sqref="K13">
    <cfRule type="cellIs" dxfId="657" priority="39" operator="equal">
      <formula>0</formula>
    </cfRule>
    <cfRule type="cellIs" priority="40" operator="equal">
      <formula>0</formula>
    </cfRule>
  </conditionalFormatting>
  <conditionalFormatting sqref="K4">
    <cfRule type="cellIs" dxfId="656" priority="37" operator="equal">
      <formula>0</formula>
    </cfRule>
    <cfRule type="cellIs" priority="38" operator="equal">
      <formula>0</formula>
    </cfRule>
  </conditionalFormatting>
  <conditionalFormatting sqref="K2:K3 K26 K28:K1048576">
    <cfRule type="cellIs" dxfId="655" priority="33" operator="equal">
      <formula>0</formula>
    </cfRule>
    <cfRule type="cellIs" priority="34" operator="equal">
      <formula>0</formula>
    </cfRule>
  </conditionalFormatting>
  <conditionalFormatting sqref="K14:K15">
    <cfRule type="cellIs" dxfId="654" priority="31" operator="equal">
      <formula>0</formula>
    </cfRule>
    <cfRule type="cellIs" priority="32" operator="equal">
      <formula>0</formula>
    </cfRule>
  </conditionalFormatting>
  <conditionalFormatting sqref="K8">
    <cfRule type="cellIs" dxfId="653" priority="29" operator="equal">
      <formula>0</formula>
    </cfRule>
    <cfRule type="cellIs" priority="30" operator="equal">
      <formula>0</formula>
    </cfRule>
  </conditionalFormatting>
  <conditionalFormatting sqref="L10:L12 L16:L24">
    <cfRule type="cellIs" dxfId="652" priority="25" operator="equal">
      <formula>0</formula>
    </cfRule>
    <cfRule type="cellIs" priority="26" operator="equal">
      <formula>0</formula>
    </cfRule>
  </conditionalFormatting>
  <conditionalFormatting sqref="L13">
    <cfRule type="cellIs" dxfId="651" priority="21" operator="equal">
      <formula>0</formula>
    </cfRule>
    <cfRule type="cellIs" priority="22" operator="equal">
      <formula>0</formula>
    </cfRule>
  </conditionalFormatting>
  <conditionalFormatting sqref="L4">
    <cfRule type="cellIs" dxfId="650" priority="19" operator="equal">
      <formula>0</formula>
    </cfRule>
    <cfRule type="cellIs" priority="20" operator="equal">
      <formula>0</formula>
    </cfRule>
  </conditionalFormatting>
  <conditionalFormatting sqref="L2:L3 L26 L28:L1048576">
    <cfRule type="cellIs" dxfId="649" priority="17" operator="equal">
      <formula>0</formula>
    </cfRule>
    <cfRule type="cellIs" priority="18" operator="equal">
      <formula>0</formula>
    </cfRule>
  </conditionalFormatting>
  <conditionalFormatting sqref="L14:L15">
    <cfRule type="cellIs" dxfId="648" priority="15" operator="equal">
      <formula>0</formula>
    </cfRule>
    <cfRule type="cellIs" priority="16" operator="equal">
      <formula>0</formula>
    </cfRule>
  </conditionalFormatting>
  <conditionalFormatting sqref="L8">
    <cfRule type="cellIs" dxfId="647" priority="13" operator="equal">
      <formula>0</formula>
    </cfRule>
    <cfRule type="cellIs" priority="14" operator="equal">
      <formula>0</formula>
    </cfRule>
  </conditionalFormatting>
  <conditionalFormatting sqref="R17:AB24">
    <cfRule type="cellIs" dxfId="646" priority="7" operator="equal">
      <formula>0</formula>
    </cfRule>
    <cfRule type="cellIs" priority="8" operator="equal">
      <formula>0</formula>
    </cfRule>
  </conditionalFormatting>
  <conditionalFormatting sqref="A25">
    <cfRule type="cellIs" dxfId="645" priority="1" operator="equal">
      <formula>0</formula>
    </cfRule>
    <cfRule type="cellIs" priority="2"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14">
    <tabColor indexed="26"/>
    <pageSetUpPr fitToPage="1"/>
  </sheetPr>
  <dimension ref="A1:O110"/>
  <sheetViews>
    <sheetView showGridLines="0" workbookViewId="0">
      <selection sqref="A1:M1"/>
    </sheetView>
  </sheetViews>
  <sheetFormatPr defaultColWidth="9.140625" defaultRowHeight="11.25"/>
  <cols>
    <col min="1" max="1" width="2.28515625" style="132" customWidth="1"/>
    <col min="2" max="2" width="28.7109375" style="132" customWidth="1"/>
    <col min="3" max="13" width="6.42578125" style="132" customWidth="1"/>
    <col min="14" max="16384" width="9.140625" style="132"/>
  </cols>
  <sheetData>
    <row r="1" spans="1:15" s="247" customFormat="1" ht="28.5" customHeight="1">
      <c r="A1" s="799" t="s">
        <v>711</v>
      </c>
      <c r="B1" s="799"/>
      <c r="C1" s="799"/>
      <c r="D1" s="799"/>
      <c r="E1" s="799"/>
      <c r="F1" s="799"/>
      <c r="G1" s="799"/>
      <c r="H1" s="799"/>
      <c r="I1" s="799"/>
      <c r="J1" s="799"/>
      <c r="K1" s="799"/>
      <c r="L1" s="799"/>
      <c r="M1" s="799"/>
    </row>
    <row r="2" spans="1:15" s="249" customFormat="1" ht="15" customHeight="1">
      <c r="A2" s="289"/>
      <c r="B2" s="289"/>
      <c r="C2" s="289"/>
      <c r="D2" s="289"/>
      <c r="E2" s="289"/>
      <c r="F2" s="290"/>
      <c r="G2" s="290"/>
      <c r="H2" s="290"/>
      <c r="I2" s="290"/>
      <c r="J2" s="290"/>
      <c r="K2" s="290"/>
      <c r="L2" s="290"/>
      <c r="M2" s="290"/>
    </row>
    <row r="3" spans="1:15" s="118" customFormat="1" ht="15" customHeight="1">
      <c r="A3" s="30" t="s">
        <v>42</v>
      </c>
      <c r="B3" s="21"/>
      <c r="C3" s="31"/>
      <c r="E3" s="428"/>
      <c r="F3" s="428"/>
      <c r="G3" s="428"/>
      <c r="H3" s="428"/>
      <c r="I3" s="428"/>
      <c r="J3" s="428"/>
      <c r="K3" s="802" t="s">
        <v>68</v>
      </c>
      <c r="L3" s="802"/>
      <c r="M3" s="31"/>
    </row>
    <row r="4" spans="1:15" s="118" customFormat="1" ht="28.5" customHeight="1" thickBot="1">
      <c r="A4" s="107" t="s">
        <v>1</v>
      </c>
      <c r="B4" s="32"/>
      <c r="C4" s="6">
        <v>2013</v>
      </c>
      <c r="D4" s="6">
        <v>2014</v>
      </c>
      <c r="E4" s="6">
        <v>2015</v>
      </c>
      <c r="F4" s="6">
        <v>2016</v>
      </c>
      <c r="G4" s="6">
        <v>2017</v>
      </c>
      <c r="H4" s="6">
        <v>2018</v>
      </c>
      <c r="I4" s="6">
        <v>2019</v>
      </c>
      <c r="J4" s="6">
        <v>2020</v>
      </c>
      <c r="K4" s="6">
        <v>2021</v>
      </c>
      <c r="L4" s="6">
        <v>2022</v>
      </c>
      <c r="M4" s="6">
        <v>2023</v>
      </c>
    </row>
    <row r="5" spans="1:15" s="118" customFormat="1" ht="16.5" customHeight="1" thickTop="1">
      <c r="A5" s="232" t="s">
        <v>43</v>
      </c>
      <c r="B5" s="208"/>
      <c r="C5" s="374">
        <v>912.18</v>
      </c>
      <c r="D5" s="374">
        <v>909.49</v>
      </c>
      <c r="E5" s="374">
        <v>913.93</v>
      </c>
      <c r="F5" s="374">
        <v>924.94</v>
      </c>
      <c r="G5" s="374">
        <v>943</v>
      </c>
      <c r="H5" s="374">
        <v>970.42</v>
      </c>
      <c r="I5" s="374">
        <v>1005.09</v>
      </c>
      <c r="J5" s="374">
        <v>1041.99</v>
      </c>
      <c r="K5" s="374">
        <v>1082.77</v>
      </c>
      <c r="L5" s="374">
        <v>1143.45</v>
      </c>
      <c r="M5" s="374">
        <v>1219.8699999999999</v>
      </c>
      <c r="N5" s="250">
        <f>+M5-41</f>
        <v>1178.8699999999999</v>
      </c>
      <c r="O5" s="118">
        <f>+(M5/C5-1)*100</f>
        <v>33.731281106799081</v>
      </c>
    </row>
    <row r="6" spans="1:15" s="118" customFormat="1" ht="16.5" customHeight="1">
      <c r="A6" s="208" t="s">
        <v>73</v>
      </c>
      <c r="B6" s="326" t="s">
        <v>172</v>
      </c>
      <c r="C6" s="518">
        <v>684.7</v>
      </c>
      <c r="D6" s="518">
        <v>687.92</v>
      </c>
      <c r="E6" s="518">
        <v>701.34</v>
      </c>
      <c r="F6" s="518">
        <v>726.49</v>
      </c>
      <c r="G6" s="518">
        <v>738.39</v>
      </c>
      <c r="H6" s="518">
        <v>773.22</v>
      </c>
      <c r="I6" s="518">
        <v>823.08</v>
      </c>
      <c r="J6" s="518">
        <v>823.12</v>
      </c>
      <c r="K6" s="518">
        <v>872.68</v>
      </c>
      <c r="L6" s="518">
        <v>916.19</v>
      </c>
      <c r="M6" s="518">
        <v>969.65</v>
      </c>
      <c r="N6" s="250"/>
    </row>
    <row r="7" spans="1:15" s="118" customFormat="1" ht="12.75" customHeight="1">
      <c r="A7" s="208" t="s">
        <v>74</v>
      </c>
      <c r="B7" s="326" t="s">
        <v>102</v>
      </c>
      <c r="C7" s="374">
        <v>918.56</v>
      </c>
      <c r="D7" s="374">
        <v>934.74</v>
      </c>
      <c r="E7" s="374">
        <v>937.81</v>
      </c>
      <c r="F7" s="374">
        <v>958.1</v>
      </c>
      <c r="G7" s="374">
        <v>986.18</v>
      </c>
      <c r="H7" s="374">
        <v>1036.73</v>
      </c>
      <c r="I7" s="374">
        <v>1083.24</v>
      </c>
      <c r="J7" s="374">
        <v>1099.73</v>
      </c>
      <c r="K7" s="374">
        <v>1159.45</v>
      </c>
      <c r="L7" s="374">
        <v>1221.07</v>
      </c>
      <c r="M7" s="374">
        <v>1316.39</v>
      </c>
      <c r="N7" s="250"/>
    </row>
    <row r="8" spans="1:15" s="118" customFormat="1" ht="12.75" customHeight="1">
      <c r="A8" s="208" t="s">
        <v>75</v>
      </c>
      <c r="B8" s="326" t="s">
        <v>101</v>
      </c>
      <c r="C8" s="374">
        <v>839.41</v>
      </c>
      <c r="D8" s="374">
        <v>844.01</v>
      </c>
      <c r="E8" s="374">
        <v>856.12</v>
      </c>
      <c r="F8" s="374">
        <v>870.08</v>
      </c>
      <c r="G8" s="374">
        <v>895.89</v>
      </c>
      <c r="H8" s="374">
        <v>929.15</v>
      </c>
      <c r="I8" s="374">
        <v>964.71</v>
      </c>
      <c r="J8" s="374">
        <v>1003.21</v>
      </c>
      <c r="K8" s="374">
        <v>1031.03</v>
      </c>
      <c r="L8" s="374">
        <v>1095.17</v>
      </c>
      <c r="M8" s="374">
        <v>1172.58</v>
      </c>
      <c r="N8" s="250"/>
    </row>
    <row r="9" spans="1:15" s="118" customFormat="1" ht="12.75" customHeight="1">
      <c r="A9" s="106"/>
      <c r="B9" s="105" t="s">
        <v>88</v>
      </c>
      <c r="C9" s="376">
        <v>745.48</v>
      </c>
      <c r="D9" s="376">
        <v>747.8</v>
      </c>
      <c r="E9" s="376">
        <v>760.19</v>
      </c>
      <c r="F9" s="376">
        <v>770.62</v>
      </c>
      <c r="G9" s="376">
        <v>796.38</v>
      </c>
      <c r="H9" s="376">
        <v>822.9</v>
      </c>
      <c r="I9" s="376">
        <v>849.91</v>
      </c>
      <c r="J9" s="376">
        <v>888.37</v>
      </c>
      <c r="K9" s="376">
        <v>926.13</v>
      </c>
      <c r="L9" s="376">
        <v>966.13</v>
      </c>
      <c r="M9" s="376">
        <v>1031.74</v>
      </c>
      <c r="N9" s="250"/>
    </row>
    <row r="10" spans="1:15" s="118" customFormat="1" ht="12.75" customHeight="1">
      <c r="A10" s="106"/>
      <c r="B10" s="105" t="s">
        <v>89</v>
      </c>
      <c r="C10" s="376">
        <v>1105.97</v>
      </c>
      <c r="D10" s="376">
        <v>1112.46</v>
      </c>
      <c r="E10" s="376">
        <v>1115.24</v>
      </c>
      <c r="F10" s="376">
        <v>1122.6099999999999</v>
      </c>
      <c r="G10" s="376">
        <v>1131.43</v>
      </c>
      <c r="H10" s="376">
        <v>1135.99</v>
      </c>
      <c r="I10" s="376">
        <v>1167.49</v>
      </c>
      <c r="J10" s="376">
        <v>1197.1600000000001</v>
      </c>
      <c r="K10" s="376">
        <v>1222.73</v>
      </c>
      <c r="L10" s="376">
        <v>1271.04</v>
      </c>
      <c r="M10" s="376">
        <v>1345.03</v>
      </c>
      <c r="N10" s="250"/>
    </row>
    <row r="11" spans="1:15" s="118" customFormat="1" ht="12.75" customHeight="1">
      <c r="A11" s="106"/>
      <c r="B11" s="105" t="s">
        <v>90</v>
      </c>
      <c r="C11" s="376">
        <v>1759.96</v>
      </c>
      <c r="D11" s="376">
        <v>1885.93</v>
      </c>
      <c r="E11" s="376">
        <v>1764.33</v>
      </c>
      <c r="F11" s="376">
        <v>1660.55</v>
      </c>
      <c r="G11" s="376">
        <v>1624.74</v>
      </c>
      <c r="H11" s="376">
        <v>1717.62</v>
      </c>
      <c r="I11" s="376">
        <v>1691.8</v>
      </c>
      <c r="J11" s="376">
        <v>1765.38</v>
      </c>
      <c r="K11" s="376">
        <v>1800.04</v>
      </c>
      <c r="L11" s="376">
        <v>1855.15</v>
      </c>
      <c r="M11" s="376">
        <v>2022.87</v>
      </c>
      <c r="N11" s="250"/>
    </row>
    <row r="12" spans="1:15" s="118" customFormat="1" ht="12.75" customHeight="1">
      <c r="A12" s="106"/>
      <c r="B12" s="105" t="s">
        <v>0</v>
      </c>
      <c r="C12" s="376">
        <v>681.72</v>
      </c>
      <c r="D12" s="376">
        <v>696.68</v>
      </c>
      <c r="E12" s="376">
        <v>712.82</v>
      </c>
      <c r="F12" s="376">
        <v>732.98</v>
      </c>
      <c r="G12" s="376">
        <v>762.14</v>
      </c>
      <c r="H12" s="376">
        <v>794.24</v>
      </c>
      <c r="I12" s="376">
        <v>817.69</v>
      </c>
      <c r="J12" s="376">
        <v>854.64</v>
      </c>
      <c r="K12" s="376">
        <v>891.41</v>
      </c>
      <c r="L12" s="376">
        <v>952.77</v>
      </c>
      <c r="M12" s="376">
        <v>1020.11</v>
      </c>
      <c r="N12" s="250"/>
    </row>
    <row r="13" spans="1:15" s="118" customFormat="1" ht="12.75" customHeight="1">
      <c r="A13" s="106"/>
      <c r="B13" s="105" t="s">
        <v>91</v>
      </c>
      <c r="C13" s="376">
        <v>583.82000000000005</v>
      </c>
      <c r="D13" s="376">
        <v>599.73</v>
      </c>
      <c r="E13" s="376">
        <v>608.79999999999995</v>
      </c>
      <c r="F13" s="376">
        <v>635.15</v>
      </c>
      <c r="G13" s="376">
        <v>666.45</v>
      </c>
      <c r="H13" s="376">
        <v>698.05</v>
      </c>
      <c r="I13" s="376">
        <v>728.51</v>
      </c>
      <c r="J13" s="376">
        <v>764.32</v>
      </c>
      <c r="K13" s="376">
        <v>802.15</v>
      </c>
      <c r="L13" s="376">
        <v>853.14</v>
      </c>
      <c r="M13" s="376">
        <v>922.78</v>
      </c>
      <c r="N13" s="250"/>
    </row>
    <row r="14" spans="1:15" s="118" customFormat="1" ht="12.75" customHeight="1">
      <c r="A14" s="106"/>
      <c r="B14" s="105" t="s">
        <v>146</v>
      </c>
      <c r="C14" s="376">
        <v>613.5</v>
      </c>
      <c r="D14" s="376">
        <v>630.91</v>
      </c>
      <c r="E14" s="376">
        <v>649.51</v>
      </c>
      <c r="F14" s="376">
        <v>672.79</v>
      </c>
      <c r="G14" s="376">
        <v>698.04</v>
      </c>
      <c r="H14" s="376">
        <v>730.56</v>
      </c>
      <c r="I14" s="376">
        <v>766.71</v>
      </c>
      <c r="J14" s="376">
        <v>797.31</v>
      </c>
      <c r="K14" s="376">
        <v>835.99</v>
      </c>
      <c r="L14" s="376">
        <v>888.04</v>
      </c>
      <c r="M14" s="376">
        <v>962.87</v>
      </c>
      <c r="N14" s="250"/>
    </row>
    <row r="15" spans="1:15" s="118" customFormat="1" ht="12.75" customHeight="1">
      <c r="A15" s="106"/>
      <c r="B15" s="105" t="s">
        <v>147</v>
      </c>
      <c r="C15" s="376">
        <v>813.3</v>
      </c>
      <c r="D15" s="376">
        <v>825.69</v>
      </c>
      <c r="E15" s="376">
        <v>833.74</v>
      </c>
      <c r="F15" s="376">
        <v>857.45</v>
      </c>
      <c r="G15" s="376">
        <v>875.61</v>
      </c>
      <c r="H15" s="376">
        <v>900.19</v>
      </c>
      <c r="I15" s="376">
        <v>932.61</v>
      </c>
      <c r="J15" s="376">
        <v>964.05</v>
      </c>
      <c r="K15" s="376">
        <v>1002.66</v>
      </c>
      <c r="L15" s="376">
        <v>1055.1099999999999</v>
      </c>
      <c r="M15" s="376">
        <v>1134.57</v>
      </c>
      <c r="N15" s="250"/>
    </row>
    <row r="16" spans="1:15" s="118" customFormat="1" ht="12.75" customHeight="1">
      <c r="A16" s="106"/>
      <c r="B16" s="105" t="s">
        <v>148</v>
      </c>
      <c r="C16" s="376">
        <v>1110.8800000000001</v>
      </c>
      <c r="D16" s="376">
        <v>1117.3800000000001</v>
      </c>
      <c r="E16" s="376">
        <v>1130.68</v>
      </c>
      <c r="F16" s="376">
        <v>1110.49</v>
      </c>
      <c r="G16" s="376">
        <v>1117.58</v>
      </c>
      <c r="H16" s="376">
        <v>1125.7</v>
      </c>
      <c r="I16" s="376">
        <v>1161.6500000000001</v>
      </c>
      <c r="J16" s="376">
        <v>1197.77</v>
      </c>
      <c r="K16" s="376">
        <v>1228.26</v>
      </c>
      <c r="L16" s="376">
        <v>1265.78</v>
      </c>
      <c r="M16" s="376">
        <v>1344.17</v>
      </c>
      <c r="N16" s="250"/>
    </row>
    <row r="17" spans="1:14" s="118" customFormat="1" ht="12.75" customHeight="1">
      <c r="A17" s="106"/>
      <c r="B17" s="105" t="s">
        <v>149</v>
      </c>
      <c r="C17" s="376">
        <v>868.13</v>
      </c>
      <c r="D17" s="376">
        <v>875.21</v>
      </c>
      <c r="E17" s="376">
        <v>877.75</v>
      </c>
      <c r="F17" s="376">
        <v>889.46</v>
      </c>
      <c r="G17" s="376">
        <v>901.84</v>
      </c>
      <c r="H17" s="376">
        <v>927.76</v>
      </c>
      <c r="I17" s="376">
        <v>956.11</v>
      </c>
      <c r="J17" s="376">
        <v>983.09</v>
      </c>
      <c r="K17" s="376">
        <v>1019.64</v>
      </c>
      <c r="L17" s="376">
        <v>1057.7</v>
      </c>
      <c r="M17" s="376">
        <v>1117.01</v>
      </c>
      <c r="N17" s="250"/>
    </row>
    <row r="18" spans="1:14" s="118" customFormat="1" ht="12.75" customHeight="1">
      <c r="A18" s="106"/>
      <c r="B18" s="105" t="s">
        <v>150</v>
      </c>
      <c r="C18" s="376">
        <v>2561.37</v>
      </c>
      <c r="D18" s="376">
        <v>2533.4299999999998</v>
      </c>
      <c r="E18" s="376">
        <v>2513.3000000000002</v>
      </c>
      <c r="F18" s="376">
        <v>2545.6</v>
      </c>
      <c r="G18" s="376">
        <v>2544.4699999999998</v>
      </c>
      <c r="H18" s="376">
        <v>2515.46</v>
      </c>
      <c r="I18" s="376">
        <v>2600.0700000000002</v>
      </c>
      <c r="J18" s="376">
        <v>2574.19</v>
      </c>
      <c r="K18" s="376">
        <v>2791.95</v>
      </c>
      <c r="L18" s="376">
        <v>2786.06</v>
      </c>
      <c r="M18" s="376">
        <v>2858.45</v>
      </c>
      <c r="N18" s="250"/>
    </row>
    <row r="19" spans="1:14" s="118" customFormat="1" ht="12.75" customHeight="1">
      <c r="A19" s="106"/>
      <c r="B19" s="105" t="s">
        <v>151</v>
      </c>
      <c r="C19" s="376">
        <v>1313.01</v>
      </c>
      <c r="D19" s="376">
        <v>1300.8499999999999</v>
      </c>
      <c r="E19" s="376">
        <v>1306</v>
      </c>
      <c r="F19" s="376">
        <v>1318.49</v>
      </c>
      <c r="G19" s="376">
        <v>1323.61</v>
      </c>
      <c r="H19" s="376">
        <v>1352.62</v>
      </c>
      <c r="I19" s="376">
        <v>1414.33</v>
      </c>
      <c r="J19" s="376">
        <v>1437.44</v>
      </c>
      <c r="K19" s="376">
        <v>1451.02</v>
      </c>
      <c r="L19" s="376">
        <v>1520.71</v>
      </c>
      <c r="M19" s="376">
        <v>1556.82</v>
      </c>
      <c r="N19" s="250"/>
    </row>
    <row r="20" spans="1:14" s="118" customFormat="1" ht="12.75" customHeight="1">
      <c r="A20" s="106"/>
      <c r="B20" s="105" t="s">
        <v>160</v>
      </c>
      <c r="C20" s="376">
        <v>1546.17</v>
      </c>
      <c r="D20" s="376">
        <v>1544.24</v>
      </c>
      <c r="E20" s="376">
        <v>1572.81</v>
      </c>
      <c r="F20" s="376">
        <v>1549.65</v>
      </c>
      <c r="G20" s="376">
        <v>1591.88</v>
      </c>
      <c r="H20" s="376">
        <v>1623.52</v>
      </c>
      <c r="I20" s="376">
        <v>1723.91</v>
      </c>
      <c r="J20" s="376">
        <v>1677.7</v>
      </c>
      <c r="K20" s="376">
        <v>1735.63</v>
      </c>
      <c r="L20" s="376">
        <v>1813.09</v>
      </c>
      <c r="M20" s="376">
        <v>1917.83</v>
      </c>
      <c r="N20" s="250"/>
    </row>
    <row r="21" spans="1:14" s="118" customFormat="1" ht="12.75" customHeight="1">
      <c r="A21" s="106"/>
      <c r="B21" s="105" t="s">
        <v>152</v>
      </c>
      <c r="C21" s="376">
        <v>899.35</v>
      </c>
      <c r="D21" s="376">
        <v>910.81</v>
      </c>
      <c r="E21" s="376">
        <v>914.2</v>
      </c>
      <c r="F21" s="376">
        <v>938</v>
      </c>
      <c r="G21" s="376">
        <v>950.37</v>
      </c>
      <c r="H21" s="376">
        <v>986.7</v>
      </c>
      <c r="I21" s="376">
        <v>1019.55</v>
      </c>
      <c r="J21" s="376">
        <v>1036.42</v>
      </c>
      <c r="K21" s="376">
        <v>1069.6600000000001</v>
      </c>
      <c r="L21" s="376">
        <v>1122.1400000000001</v>
      </c>
      <c r="M21" s="376">
        <v>1198.07</v>
      </c>
      <c r="N21" s="250"/>
    </row>
    <row r="22" spans="1:14" s="118" customFormat="1" ht="12.75" customHeight="1">
      <c r="A22" s="106"/>
      <c r="B22" s="105" t="s">
        <v>159</v>
      </c>
      <c r="C22" s="376">
        <v>870.04</v>
      </c>
      <c r="D22" s="376">
        <v>869.23</v>
      </c>
      <c r="E22" s="376">
        <v>877.28</v>
      </c>
      <c r="F22" s="376">
        <v>883.03</v>
      </c>
      <c r="G22" s="376">
        <v>902.94</v>
      </c>
      <c r="H22" s="376">
        <v>929.28</v>
      </c>
      <c r="I22" s="376">
        <v>961.82</v>
      </c>
      <c r="J22" s="376">
        <v>981.74</v>
      </c>
      <c r="K22" s="376">
        <v>1022.36</v>
      </c>
      <c r="L22" s="376">
        <v>1077.8699999999999</v>
      </c>
      <c r="M22" s="376">
        <v>1151.8900000000001</v>
      </c>
      <c r="N22" s="250"/>
    </row>
    <row r="23" spans="1:14" s="118" customFormat="1" ht="12.75" customHeight="1">
      <c r="A23" s="106"/>
      <c r="B23" s="105" t="s">
        <v>92</v>
      </c>
      <c r="C23" s="376">
        <v>1020.63</v>
      </c>
      <c r="D23" s="376">
        <v>996.46</v>
      </c>
      <c r="E23" s="376">
        <v>998.43</v>
      </c>
      <c r="F23" s="376">
        <v>1016.83</v>
      </c>
      <c r="G23" s="376">
        <v>1027.25</v>
      </c>
      <c r="H23" s="376">
        <v>1078.21</v>
      </c>
      <c r="I23" s="376">
        <v>1099.47</v>
      </c>
      <c r="J23" s="376">
        <v>1137.97</v>
      </c>
      <c r="K23" s="376">
        <v>1170.1600000000001</v>
      </c>
      <c r="L23" s="376">
        <v>1214.02</v>
      </c>
      <c r="M23" s="376">
        <v>1306.96</v>
      </c>
      <c r="N23" s="250"/>
    </row>
    <row r="24" spans="1:14" s="118" customFormat="1" ht="12.75" customHeight="1">
      <c r="A24" s="106"/>
      <c r="B24" s="105" t="s">
        <v>157</v>
      </c>
      <c r="C24" s="376">
        <v>850.9</v>
      </c>
      <c r="D24" s="376">
        <v>855.25</v>
      </c>
      <c r="E24" s="376">
        <v>868.98</v>
      </c>
      <c r="F24" s="376">
        <v>878.59</v>
      </c>
      <c r="G24" s="376">
        <v>908.92</v>
      </c>
      <c r="H24" s="376">
        <v>938.82</v>
      </c>
      <c r="I24" s="376">
        <v>973</v>
      </c>
      <c r="J24" s="376">
        <v>992.93</v>
      </c>
      <c r="K24" s="376">
        <v>1023.45</v>
      </c>
      <c r="L24" s="376">
        <v>1082.54</v>
      </c>
      <c r="M24" s="376">
        <v>1151.1099999999999</v>
      </c>
      <c r="N24" s="250"/>
    </row>
    <row r="25" spans="1:14" s="118" customFormat="1" ht="12.75" customHeight="1">
      <c r="A25" s="106"/>
      <c r="B25" s="105" t="s">
        <v>158</v>
      </c>
      <c r="C25" s="376">
        <v>1065.55</v>
      </c>
      <c r="D25" s="376">
        <v>1080.3800000000001</v>
      </c>
      <c r="E25" s="376">
        <v>1123.73</v>
      </c>
      <c r="F25" s="376">
        <v>1131.29</v>
      </c>
      <c r="G25" s="376">
        <v>1145.3599999999999</v>
      </c>
      <c r="H25" s="376">
        <v>1182.54</v>
      </c>
      <c r="I25" s="376">
        <v>1225.2</v>
      </c>
      <c r="J25" s="376">
        <v>1256.75</v>
      </c>
      <c r="K25" s="376">
        <v>1289.67</v>
      </c>
      <c r="L25" s="376">
        <v>1419.9</v>
      </c>
      <c r="M25" s="376">
        <v>1537.8</v>
      </c>
      <c r="N25" s="250"/>
    </row>
    <row r="26" spans="1:14" s="118" customFormat="1" ht="12.75" customHeight="1">
      <c r="A26" s="106"/>
      <c r="B26" s="105" t="s">
        <v>153</v>
      </c>
      <c r="C26" s="376">
        <v>1085.57</v>
      </c>
      <c r="D26" s="376">
        <v>1109.3499999999999</v>
      </c>
      <c r="E26" s="376">
        <v>1162.27</v>
      </c>
      <c r="F26" s="376">
        <v>1170.6400000000001</v>
      </c>
      <c r="G26" s="376">
        <v>1200.67</v>
      </c>
      <c r="H26" s="376">
        <v>1233.32</v>
      </c>
      <c r="I26" s="376">
        <v>1198.56</v>
      </c>
      <c r="J26" s="376">
        <v>1354.55</v>
      </c>
      <c r="K26" s="376">
        <v>1275.7</v>
      </c>
      <c r="L26" s="376">
        <v>1459.52</v>
      </c>
      <c r="M26" s="376">
        <v>1597.27</v>
      </c>
      <c r="N26" s="250"/>
    </row>
    <row r="27" spans="1:14" s="118" customFormat="1" ht="12.75" customHeight="1">
      <c r="A27" s="106"/>
      <c r="B27" s="105" t="s">
        <v>161</v>
      </c>
      <c r="C27" s="376">
        <v>950.59</v>
      </c>
      <c r="D27" s="376">
        <v>954.11</v>
      </c>
      <c r="E27" s="376">
        <v>972.06</v>
      </c>
      <c r="F27" s="376">
        <v>980.19</v>
      </c>
      <c r="G27" s="376">
        <v>1003.41</v>
      </c>
      <c r="H27" s="376">
        <v>1029.4100000000001</v>
      </c>
      <c r="I27" s="376">
        <v>1068.52</v>
      </c>
      <c r="J27" s="376">
        <v>1092.08</v>
      </c>
      <c r="K27" s="376">
        <v>1136.22</v>
      </c>
      <c r="L27" s="376">
        <v>1190.8900000000001</v>
      </c>
      <c r="M27" s="376">
        <v>1281.75</v>
      </c>
      <c r="N27" s="250"/>
    </row>
    <row r="28" spans="1:14" s="118" customFormat="1" ht="12.75" customHeight="1">
      <c r="A28" s="106"/>
      <c r="B28" s="105" t="s">
        <v>154</v>
      </c>
      <c r="C28" s="376">
        <v>1047.3599999999999</v>
      </c>
      <c r="D28" s="376">
        <v>1063.57</v>
      </c>
      <c r="E28" s="376">
        <v>1073.57</v>
      </c>
      <c r="F28" s="376">
        <v>1049.9100000000001</v>
      </c>
      <c r="G28" s="376">
        <v>1054.67</v>
      </c>
      <c r="H28" s="376">
        <v>1044.32</v>
      </c>
      <c r="I28" s="376">
        <v>1086.77</v>
      </c>
      <c r="J28" s="376">
        <v>1134.3800000000001</v>
      </c>
      <c r="K28" s="376">
        <v>1142.07</v>
      </c>
      <c r="L28" s="376">
        <v>1254.9100000000001</v>
      </c>
      <c r="M28" s="376">
        <v>1274.82</v>
      </c>
      <c r="N28" s="250"/>
    </row>
    <row r="29" spans="1:14" s="118" customFormat="1" ht="12.75" customHeight="1">
      <c r="A29" s="106"/>
      <c r="B29" s="105" t="s">
        <v>162</v>
      </c>
      <c r="C29" s="376">
        <v>906.19</v>
      </c>
      <c r="D29" s="376">
        <v>901.95</v>
      </c>
      <c r="E29" s="376">
        <v>926.65</v>
      </c>
      <c r="F29" s="376">
        <v>912.66</v>
      </c>
      <c r="G29" s="376">
        <v>921.71</v>
      </c>
      <c r="H29" s="376">
        <v>954.8</v>
      </c>
      <c r="I29" s="376">
        <v>975.39</v>
      </c>
      <c r="J29" s="376">
        <v>1012.45</v>
      </c>
      <c r="K29" s="376">
        <v>1029.73</v>
      </c>
      <c r="L29" s="376">
        <v>1083.55</v>
      </c>
      <c r="M29" s="376">
        <v>1165.8699999999999</v>
      </c>
      <c r="N29" s="250"/>
    </row>
    <row r="30" spans="1:14" s="130" customFormat="1" ht="12.75" customHeight="1">
      <c r="A30" s="106"/>
      <c r="B30" s="105" t="s">
        <v>155</v>
      </c>
      <c r="C30" s="376">
        <v>648.86</v>
      </c>
      <c r="D30" s="376">
        <v>658.7</v>
      </c>
      <c r="E30" s="376">
        <v>664.91</v>
      </c>
      <c r="F30" s="376">
        <v>682.18</v>
      </c>
      <c r="G30" s="376">
        <v>708.06</v>
      </c>
      <c r="H30" s="376">
        <v>739.02</v>
      </c>
      <c r="I30" s="376">
        <v>765.8</v>
      </c>
      <c r="J30" s="376">
        <v>795.34</v>
      </c>
      <c r="K30" s="376">
        <v>827.91</v>
      </c>
      <c r="L30" s="376">
        <v>883.72</v>
      </c>
      <c r="M30" s="376">
        <v>953.9</v>
      </c>
      <c r="N30" s="250"/>
    </row>
    <row r="31" spans="1:14" s="118" customFormat="1" ht="12.75" customHeight="1">
      <c r="A31" s="106"/>
      <c r="B31" s="105" t="s">
        <v>156</v>
      </c>
      <c r="C31" s="376">
        <v>800.21</v>
      </c>
      <c r="D31" s="376">
        <v>805.15</v>
      </c>
      <c r="E31" s="376">
        <v>806.95</v>
      </c>
      <c r="F31" s="376">
        <v>836.75</v>
      </c>
      <c r="G31" s="376">
        <v>853.78</v>
      </c>
      <c r="H31" s="376">
        <v>885.17</v>
      </c>
      <c r="I31" s="376">
        <v>927.34</v>
      </c>
      <c r="J31" s="376">
        <v>948.2</v>
      </c>
      <c r="K31" s="376">
        <v>983.09</v>
      </c>
      <c r="L31" s="376">
        <v>1051.74</v>
      </c>
      <c r="M31" s="376">
        <v>1126.27</v>
      </c>
      <c r="N31" s="250"/>
    </row>
    <row r="32" spans="1:14" s="118" customFormat="1" ht="12.75" customHeight="1">
      <c r="A32" s="106"/>
      <c r="B32" s="105" t="s">
        <v>163</v>
      </c>
      <c r="C32" s="376">
        <v>1056.18</v>
      </c>
      <c r="D32" s="376">
        <v>1037.4100000000001</v>
      </c>
      <c r="E32" s="376">
        <v>1019.24</v>
      </c>
      <c r="F32" s="376">
        <v>1023.93</v>
      </c>
      <c r="G32" s="376">
        <v>1044.28</v>
      </c>
      <c r="H32" s="376">
        <v>1080.93</v>
      </c>
      <c r="I32" s="376">
        <v>1107.02</v>
      </c>
      <c r="J32" s="376">
        <v>1124.99</v>
      </c>
      <c r="K32" s="376">
        <v>1167.3800000000001</v>
      </c>
      <c r="L32" s="376">
        <v>1210.1099999999999</v>
      </c>
      <c r="M32" s="376">
        <v>1306.72</v>
      </c>
      <c r="N32" s="250"/>
    </row>
    <row r="33" spans="1:14" s="118" customFormat="1" ht="16.5" customHeight="1">
      <c r="A33" s="208" t="s">
        <v>76</v>
      </c>
      <c r="B33" s="326" t="s">
        <v>164</v>
      </c>
      <c r="C33" s="374">
        <v>2395.92</v>
      </c>
      <c r="D33" s="374">
        <v>2065.0700000000002</v>
      </c>
      <c r="E33" s="374">
        <v>2091.5</v>
      </c>
      <c r="F33" s="374">
        <v>2075.64</v>
      </c>
      <c r="G33" s="374">
        <v>2070.14</v>
      </c>
      <c r="H33" s="374">
        <v>2080.65</v>
      </c>
      <c r="I33" s="374">
        <v>2086.9</v>
      </c>
      <c r="J33" s="374">
        <v>2128.4699999999998</v>
      </c>
      <c r="K33" s="374">
        <v>2156.69</v>
      </c>
      <c r="L33" s="374">
        <v>2243.09</v>
      </c>
      <c r="M33" s="374">
        <v>2384.1999999999998</v>
      </c>
      <c r="N33" s="250"/>
    </row>
    <row r="34" spans="1:14" s="118" customFormat="1" ht="12.75" customHeight="1">
      <c r="A34" s="208" t="s">
        <v>77</v>
      </c>
      <c r="B34" s="326" t="s">
        <v>173</v>
      </c>
      <c r="C34" s="374">
        <v>880.63</v>
      </c>
      <c r="D34" s="374">
        <v>885.35</v>
      </c>
      <c r="E34" s="374">
        <v>893.71</v>
      </c>
      <c r="F34" s="374">
        <v>883.84</v>
      </c>
      <c r="G34" s="374">
        <v>891.49</v>
      </c>
      <c r="H34" s="374">
        <v>920.04</v>
      </c>
      <c r="I34" s="374">
        <v>936.67</v>
      </c>
      <c r="J34" s="374">
        <v>970.37</v>
      </c>
      <c r="K34" s="374">
        <v>989.79</v>
      </c>
      <c r="L34" s="374">
        <v>1034.78</v>
      </c>
      <c r="M34" s="374">
        <v>1116.05</v>
      </c>
      <c r="N34" s="250"/>
    </row>
    <row r="35" spans="1:14" s="118" customFormat="1" ht="12.75" customHeight="1">
      <c r="A35" s="208" t="s">
        <v>78</v>
      </c>
      <c r="B35" s="326" t="s">
        <v>79</v>
      </c>
      <c r="C35" s="374">
        <v>805.13</v>
      </c>
      <c r="D35" s="374">
        <v>800.21</v>
      </c>
      <c r="E35" s="374">
        <v>796.22</v>
      </c>
      <c r="F35" s="374">
        <v>798.87</v>
      </c>
      <c r="G35" s="374">
        <v>808.62</v>
      </c>
      <c r="H35" s="374">
        <v>824.76</v>
      </c>
      <c r="I35" s="374">
        <v>853.92</v>
      </c>
      <c r="J35" s="374">
        <v>880.77</v>
      </c>
      <c r="K35" s="374">
        <v>934.51</v>
      </c>
      <c r="L35" s="374">
        <v>973.22</v>
      </c>
      <c r="M35" s="374">
        <v>1035.72</v>
      </c>
      <c r="N35" s="250"/>
    </row>
    <row r="36" spans="1:14" s="118" customFormat="1" ht="12.75" customHeight="1">
      <c r="A36" s="208" t="s">
        <v>80</v>
      </c>
      <c r="B36" s="326" t="s">
        <v>174</v>
      </c>
      <c r="C36" s="374">
        <v>861.47</v>
      </c>
      <c r="D36" s="374">
        <v>862.67</v>
      </c>
      <c r="E36" s="374">
        <v>867.89</v>
      </c>
      <c r="F36" s="374">
        <v>881.9</v>
      </c>
      <c r="G36" s="374">
        <v>900.4</v>
      </c>
      <c r="H36" s="374">
        <v>924.91</v>
      </c>
      <c r="I36" s="374">
        <v>959.33</v>
      </c>
      <c r="J36" s="374">
        <v>989.91</v>
      </c>
      <c r="K36" s="374">
        <v>1031.8499999999999</v>
      </c>
      <c r="L36" s="374">
        <v>1075.5999999999999</v>
      </c>
      <c r="M36" s="374">
        <v>1146.8499999999999</v>
      </c>
      <c r="N36" s="250"/>
    </row>
    <row r="37" spans="1:14" s="118" customFormat="1" ht="12.75" customHeight="1">
      <c r="A37" s="208" t="s">
        <v>53</v>
      </c>
      <c r="B37" s="326" t="s">
        <v>93</v>
      </c>
      <c r="C37" s="374">
        <v>990.2</v>
      </c>
      <c r="D37" s="374">
        <v>977.22</v>
      </c>
      <c r="E37" s="374">
        <v>988.25</v>
      </c>
      <c r="F37" s="374">
        <v>994.98</v>
      </c>
      <c r="G37" s="374">
        <v>1002.64</v>
      </c>
      <c r="H37" s="374">
        <v>1033.97</v>
      </c>
      <c r="I37" s="374">
        <v>1071.3699999999999</v>
      </c>
      <c r="J37" s="374">
        <v>1033.25</v>
      </c>
      <c r="K37" s="374">
        <v>1056.1199999999999</v>
      </c>
      <c r="L37" s="374">
        <v>1184.24</v>
      </c>
      <c r="M37" s="374">
        <v>1269.02</v>
      </c>
      <c r="N37" s="250"/>
    </row>
    <row r="38" spans="1:14" s="118" customFormat="1" ht="12.75" customHeight="1">
      <c r="A38" s="208" t="s">
        <v>10</v>
      </c>
      <c r="B38" s="326" t="s">
        <v>165</v>
      </c>
      <c r="C38" s="374">
        <v>663.49</v>
      </c>
      <c r="D38" s="374">
        <v>669.99</v>
      </c>
      <c r="E38" s="374">
        <v>673.94</v>
      </c>
      <c r="F38" s="374">
        <v>690.54</v>
      </c>
      <c r="G38" s="374">
        <v>713.45</v>
      </c>
      <c r="H38" s="374">
        <v>739.37</v>
      </c>
      <c r="I38" s="374">
        <v>764.08</v>
      </c>
      <c r="J38" s="374">
        <v>780.14</v>
      </c>
      <c r="K38" s="374">
        <v>822.39</v>
      </c>
      <c r="L38" s="374">
        <v>872.72</v>
      </c>
      <c r="M38" s="374">
        <v>929.8</v>
      </c>
      <c r="N38" s="250"/>
    </row>
    <row r="39" spans="1:14" s="118" customFormat="1" ht="12.75" customHeight="1">
      <c r="A39" s="208" t="s">
        <v>81</v>
      </c>
      <c r="B39" s="326" t="s">
        <v>171</v>
      </c>
      <c r="C39" s="374">
        <v>1515.4</v>
      </c>
      <c r="D39" s="374">
        <v>1500.69</v>
      </c>
      <c r="E39" s="374">
        <v>1488.73</v>
      </c>
      <c r="F39" s="374">
        <v>1520.09</v>
      </c>
      <c r="G39" s="374">
        <v>1522.79</v>
      </c>
      <c r="H39" s="374">
        <v>1562.86</v>
      </c>
      <c r="I39" s="374">
        <v>1614.97</v>
      </c>
      <c r="J39" s="374">
        <v>1668.12</v>
      </c>
      <c r="K39" s="374">
        <v>1748.11</v>
      </c>
      <c r="L39" s="374">
        <v>1915.45</v>
      </c>
      <c r="M39" s="374">
        <v>2022.39</v>
      </c>
      <c r="N39" s="250"/>
    </row>
    <row r="40" spans="1:14" s="249" customFormat="1" ht="12.75" customHeight="1">
      <c r="A40" s="208" t="s">
        <v>82</v>
      </c>
      <c r="B40" s="326" t="s">
        <v>166</v>
      </c>
      <c r="C40" s="374">
        <v>1577.83</v>
      </c>
      <c r="D40" s="374">
        <v>1572.96</v>
      </c>
      <c r="E40" s="374">
        <v>1571.12</v>
      </c>
      <c r="F40" s="374">
        <v>1585.29</v>
      </c>
      <c r="G40" s="374">
        <v>1592.44</v>
      </c>
      <c r="H40" s="374">
        <v>1601.12</v>
      </c>
      <c r="I40" s="374">
        <v>1632.26</v>
      </c>
      <c r="J40" s="374">
        <v>1651.3</v>
      </c>
      <c r="K40" s="374">
        <v>1674.12</v>
      </c>
      <c r="L40" s="374">
        <v>1705.23</v>
      </c>
      <c r="M40" s="374">
        <v>1801.31</v>
      </c>
      <c r="N40" s="250"/>
    </row>
    <row r="41" spans="1:14" s="249" customFormat="1" ht="12.75" customHeight="1">
      <c r="A41" s="208" t="s">
        <v>83</v>
      </c>
      <c r="B41" s="326" t="s">
        <v>103</v>
      </c>
      <c r="C41" s="374">
        <v>958.98</v>
      </c>
      <c r="D41" s="374">
        <v>951.85</v>
      </c>
      <c r="E41" s="374">
        <v>945.14</v>
      </c>
      <c r="F41" s="374">
        <v>969.55</v>
      </c>
      <c r="G41" s="374">
        <v>978.99</v>
      </c>
      <c r="H41" s="374">
        <v>1001.04</v>
      </c>
      <c r="I41" s="374">
        <v>1045.96</v>
      </c>
      <c r="J41" s="374">
        <v>1091.6400000000001</v>
      </c>
      <c r="K41" s="374">
        <v>1129.19</v>
      </c>
      <c r="L41" s="374">
        <v>1185.33</v>
      </c>
      <c r="M41" s="374">
        <v>1267.8800000000001</v>
      </c>
      <c r="N41" s="250"/>
    </row>
    <row r="42" spans="1:14" s="249" customFormat="1" ht="12.75" customHeight="1">
      <c r="A42" s="208" t="s">
        <v>54</v>
      </c>
      <c r="B42" s="326" t="s">
        <v>175</v>
      </c>
      <c r="C42" s="374">
        <v>1193.04</v>
      </c>
      <c r="D42" s="374">
        <v>1170.25</v>
      </c>
      <c r="E42" s="374">
        <v>1171.06</v>
      </c>
      <c r="F42" s="374">
        <v>1183.3900000000001</v>
      </c>
      <c r="G42" s="374">
        <v>1225.58</v>
      </c>
      <c r="H42" s="374">
        <v>1249.78</v>
      </c>
      <c r="I42" s="374">
        <v>1288.0899999999999</v>
      </c>
      <c r="J42" s="374">
        <v>1335.14</v>
      </c>
      <c r="K42" s="374">
        <v>1403.13</v>
      </c>
      <c r="L42" s="374">
        <v>1491.97</v>
      </c>
      <c r="M42" s="374">
        <v>1607.85</v>
      </c>
      <c r="N42" s="250"/>
    </row>
    <row r="43" spans="1:14" s="249" customFormat="1" ht="12.75" customHeight="1">
      <c r="A43" s="208" t="s">
        <v>85</v>
      </c>
      <c r="B43" s="326" t="s">
        <v>169</v>
      </c>
      <c r="C43" s="374">
        <v>767.09</v>
      </c>
      <c r="D43" s="374">
        <v>772.15</v>
      </c>
      <c r="E43" s="374">
        <v>768.27</v>
      </c>
      <c r="F43" s="374">
        <v>772.59</v>
      </c>
      <c r="G43" s="374">
        <v>787.93</v>
      </c>
      <c r="H43" s="374">
        <v>807.44</v>
      </c>
      <c r="I43" s="374">
        <v>842.48</v>
      </c>
      <c r="J43" s="374">
        <v>864.18</v>
      </c>
      <c r="K43" s="374">
        <v>916.97</v>
      </c>
      <c r="L43" s="374">
        <v>970.39</v>
      </c>
      <c r="M43" s="374">
        <v>1056.28</v>
      </c>
      <c r="N43" s="250"/>
    </row>
    <row r="44" spans="1:14" s="249" customFormat="1" ht="12.75" customHeight="1">
      <c r="A44" s="208" t="s">
        <v>86</v>
      </c>
      <c r="B44" s="326" t="s">
        <v>170</v>
      </c>
      <c r="C44" s="374">
        <v>874.37</v>
      </c>
      <c r="D44" s="374">
        <v>880.99</v>
      </c>
      <c r="E44" s="374">
        <v>849.2</v>
      </c>
      <c r="F44" s="374">
        <v>848.71</v>
      </c>
      <c r="G44" s="374">
        <v>866.69</v>
      </c>
      <c r="H44" s="374">
        <v>895.16</v>
      </c>
      <c r="I44" s="374">
        <v>950.41</v>
      </c>
      <c r="J44" s="374">
        <v>990.79</v>
      </c>
      <c r="K44" s="374">
        <v>1027.51</v>
      </c>
      <c r="L44" s="374">
        <v>1035.5</v>
      </c>
      <c r="M44" s="374">
        <v>1098.71</v>
      </c>
      <c r="N44" s="250"/>
    </row>
    <row r="45" spans="1:14" s="249" customFormat="1" ht="12.75" customHeight="1">
      <c r="A45" s="208" t="s">
        <v>94</v>
      </c>
      <c r="B45" s="326" t="s">
        <v>84</v>
      </c>
      <c r="C45" s="374">
        <v>1137.03</v>
      </c>
      <c r="D45" s="374">
        <v>1119.54</v>
      </c>
      <c r="E45" s="374">
        <v>1118.44</v>
      </c>
      <c r="F45" s="374">
        <v>1121.57</v>
      </c>
      <c r="G45" s="374">
        <v>1136.27</v>
      </c>
      <c r="H45" s="374">
        <v>1161.1400000000001</v>
      </c>
      <c r="I45" s="374">
        <v>1219.79</v>
      </c>
      <c r="J45" s="374">
        <v>1259.28</v>
      </c>
      <c r="K45" s="374">
        <v>1296.72</v>
      </c>
      <c r="L45" s="374">
        <v>1348.73</v>
      </c>
      <c r="M45" s="374">
        <v>1435.78</v>
      </c>
      <c r="N45" s="250"/>
    </row>
    <row r="46" spans="1:14" s="249" customFormat="1" ht="12.75" customHeight="1">
      <c r="A46" s="208" t="s">
        <v>87</v>
      </c>
      <c r="B46" s="326" t="s">
        <v>141</v>
      </c>
      <c r="C46" s="374">
        <v>820.32</v>
      </c>
      <c r="D46" s="374">
        <v>821.86</v>
      </c>
      <c r="E46" s="374">
        <v>833.44</v>
      </c>
      <c r="F46" s="374">
        <v>851.36</v>
      </c>
      <c r="G46" s="374">
        <v>871</v>
      </c>
      <c r="H46" s="374">
        <v>891.94</v>
      </c>
      <c r="I46" s="374">
        <v>923.59</v>
      </c>
      <c r="J46" s="374">
        <v>942.71</v>
      </c>
      <c r="K46" s="374">
        <v>974.58</v>
      </c>
      <c r="L46" s="374">
        <v>1004.81</v>
      </c>
      <c r="M46" s="374">
        <v>1055.5</v>
      </c>
      <c r="N46" s="250"/>
    </row>
    <row r="47" spans="1:14" s="249" customFormat="1" ht="12.75" customHeight="1">
      <c r="A47" s="208" t="s">
        <v>95</v>
      </c>
      <c r="B47" s="326" t="s">
        <v>167</v>
      </c>
      <c r="C47" s="374">
        <v>1457.95</v>
      </c>
      <c r="D47" s="374">
        <v>1383.37</v>
      </c>
      <c r="E47" s="374">
        <v>1514.4</v>
      </c>
      <c r="F47" s="374">
        <v>1537.25</v>
      </c>
      <c r="G47" s="374">
        <v>1612.9</v>
      </c>
      <c r="H47" s="374">
        <v>1607.95</v>
      </c>
      <c r="I47" s="374">
        <v>1645.66</v>
      </c>
      <c r="J47" s="374">
        <v>1838.97</v>
      </c>
      <c r="K47" s="374">
        <v>1780.1</v>
      </c>
      <c r="L47" s="374">
        <v>1789.86</v>
      </c>
      <c r="M47" s="374">
        <v>1903.38</v>
      </c>
      <c r="N47" s="250"/>
    </row>
    <row r="48" spans="1:14" s="249" customFormat="1" ht="12.75" customHeight="1">
      <c r="A48" s="208" t="s">
        <v>96</v>
      </c>
      <c r="B48" s="326" t="s">
        <v>104</v>
      </c>
      <c r="C48" s="374">
        <v>843.59</v>
      </c>
      <c r="D48" s="374">
        <v>847.6</v>
      </c>
      <c r="E48" s="374">
        <v>847.05</v>
      </c>
      <c r="F48" s="374">
        <v>857.44</v>
      </c>
      <c r="G48" s="374">
        <v>877.34</v>
      </c>
      <c r="H48" s="374">
        <v>901.62</v>
      </c>
      <c r="I48" s="374">
        <v>932.37</v>
      </c>
      <c r="J48" s="374">
        <v>987.51</v>
      </c>
      <c r="K48" s="374">
        <v>1012.59</v>
      </c>
      <c r="L48" s="374">
        <v>1053.43</v>
      </c>
      <c r="M48" s="374">
        <v>1105.46</v>
      </c>
      <c r="N48" s="250"/>
    </row>
    <row r="49" spans="1:14" s="249" customFormat="1" ht="12.75" customHeight="1">
      <c r="A49" s="36" t="s">
        <v>97</v>
      </c>
      <c r="B49" s="37" t="s">
        <v>168</v>
      </c>
      <c r="C49" s="378">
        <v>1810.36</v>
      </c>
      <c r="D49" s="378">
        <v>1772.71</v>
      </c>
      <c r="E49" s="378">
        <v>1910.54</v>
      </c>
      <c r="F49" s="378">
        <v>2028.96</v>
      </c>
      <c r="G49" s="378">
        <v>1986.43</v>
      </c>
      <c r="H49" s="378">
        <v>2136.13</v>
      </c>
      <c r="I49" s="378">
        <v>2160.36</v>
      </c>
      <c r="J49" s="378">
        <v>1978.98</v>
      </c>
      <c r="K49" s="378">
        <v>1886.51</v>
      </c>
      <c r="L49" s="378">
        <v>3156.84</v>
      </c>
      <c r="M49" s="378">
        <v>3347.61</v>
      </c>
      <c r="N49" s="250"/>
    </row>
    <row r="50" spans="1:14" s="249" customFormat="1" ht="15" customHeight="1">
      <c r="A50" s="21" t="s">
        <v>138</v>
      </c>
      <c r="B50" s="143"/>
      <c r="C50" s="167"/>
      <c r="D50" s="98"/>
      <c r="E50" s="98"/>
      <c r="F50" s="203"/>
      <c r="G50" s="98"/>
      <c r="H50" s="98"/>
      <c r="I50" s="98"/>
      <c r="J50" s="98"/>
      <c r="K50" s="98"/>
      <c r="L50" s="98"/>
      <c r="M50" s="98"/>
      <c r="N50" s="250"/>
    </row>
    <row r="51" spans="1:14" s="249" customFormat="1" ht="11.25" customHeight="1">
      <c r="B51" s="780" t="s">
        <v>132</v>
      </c>
      <c r="C51" s="780"/>
      <c r="D51" s="780"/>
      <c r="E51" s="780"/>
      <c r="F51" s="780"/>
      <c r="G51" s="780"/>
      <c r="H51" s="780"/>
      <c r="I51" s="780"/>
      <c r="J51" s="780"/>
      <c r="K51" s="780"/>
      <c r="L51" s="780"/>
      <c r="M51" s="780"/>
    </row>
    <row r="52" spans="1:14" s="249" customFormat="1" ht="14.25">
      <c r="B52" s="251"/>
      <c r="C52" s="252"/>
      <c r="D52" s="252"/>
      <c r="E52" s="252"/>
      <c r="N52" s="250"/>
    </row>
    <row r="53" spans="1:14" s="249" customFormat="1" ht="14.25">
      <c r="C53" s="252"/>
      <c r="D53" s="252"/>
      <c r="E53" s="252"/>
      <c r="N53" s="250"/>
    </row>
    <row r="54" spans="1:14" s="249" customFormat="1" ht="14.25">
      <c r="C54" s="252"/>
      <c r="D54" s="252"/>
      <c r="E54" s="252"/>
      <c r="N54" s="250"/>
    </row>
    <row r="55" spans="1:14" s="249" customFormat="1" ht="14.25">
      <c r="C55" s="252"/>
      <c r="D55" s="252"/>
      <c r="E55" s="252"/>
      <c r="N55" s="250"/>
    </row>
    <row r="56" spans="1:14" s="249" customFormat="1" ht="14.25">
      <c r="C56" s="252"/>
      <c r="D56" s="252"/>
      <c r="E56" s="252"/>
      <c r="N56" s="250"/>
    </row>
    <row r="57" spans="1:14" s="249" customFormat="1" ht="14.25">
      <c r="C57" s="252"/>
      <c r="D57" s="252"/>
      <c r="E57" s="252"/>
      <c r="N57" s="250"/>
    </row>
    <row r="58" spans="1:14" s="249" customFormat="1" ht="14.25">
      <c r="C58" s="252"/>
      <c r="D58" s="252"/>
      <c r="E58" s="252"/>
      <c r="N58" s="250"/>
    </row>
    <row r="59" spans="1:14" s="249" customFormat="1" ht="14.25">
      <c r="C59" s="132"/>
      <c r="D59" s="132"/>
      <c r="E59" s="132"/>
      <c r="N59" s="250"/>
    </row>
    <row r="60" spans="1:14" ht="14.25">
      <c r="N60" s="250"/>
    </row>
    <row r="61" spans="1:14" ht="14.25">
      <c r="N61" s="250"/>
    </row>
    <row r="62" spans="1:14" ht="14.25">
      <c r="N62" s="250"/>
    </row>
    <row r="63" spans="1:14" ht="14.25">
      <c r="N63" s="250"/>
    </row>
    <row r="64" spans="1:14" ht="14.25">
      <c r="N64" s="250"/>
    </row>
    <row r="65" spans="14:14" ht="14.25">
      <c r="N65" s="250"/>
    </row>
    <row r="66" spans="14:14" ht="14.25">
      <c r="N66" s="250"/>
    </row>
    <row r="67" spans="14:14" ht="14.25">
      <c r="N67" s="250"/>
    </row>
    <row r="68" spans="14:14" ht="14.25">
      <c r="N68" s="250"/>
    </row>
    <row r="69" spans="14:14" ht="14.25">
      <c r="N69" s="250"/>
    </row>
    <row r="70" spans="14:14" ht="14.25">
      <c r="N70" s="250"/>
    </row>
    <row r="71" spans="14:14" ht="14.25">
      <c r="N71" s="250"/>
    </row>
    <row r="72" spans="14:14" ht="14.25">
      <c r="N72" s="250"/>
    </row>
    <row r="73" spans="14:14" ht="14.25">
      <c r="N73" s="250"/>
    </row>
    <row r="74" spans="14:14" ht="14.25">
      <c r="N74" s="250"/>
    </row>
    <row r="75" spans="14:14" ht="14.25">
      <c r="N75" s="250"/>
    </row>
    <row r="76" spans="14:14" ht="14.25">
      <c r="N76" s="250"/>
    </row>
    <row r="77" spans="14:14" ht="14.25">
      <c r="N77" s="250"/>
    </row>
    <row r="78" spans="14:14" ht="14.25">
      <c r="N78" s="250"/>
    </row>
    <row r="79" spans="14:14" ht="14.25">
      <c r="N79" s="250"/>
    </row>
    <row r="80" spans="14:14" ht="14.25">
      <c r="N80" s="250"/>
    </row>
    <row r="81" spans="14:14" ht="14.25">
      <c r="N81" s="250"/>
    </row>
    <row r="82" spans="14:14" ht="14.25">
      <c r="N82" s="250"/>
    </row>
    <row r="83" spans="14:14" ht="14.25">
      <c r="N83" s="250"/>
    </row>
    <row r="84" spans="14:14" ht="14.25">
      <c r="N84" s="250"/>
    </row>
    <row r="85" spans="14:14" ht="14.25">
      <c r="N85" s="250"/>
    </row>
    <row r="86" spans="14:14" ht="14.25">
      <c r="N86" s="250"/>
    </row>
    <row r="87" spans="14:14" ht="14.25">
      <c r="N87" s="250"/>
    </row>
    <row r="88" spans="14:14" ht="14.25">
      <c r="N88" s="250"/>
    </row>
    <row r="89" spans="14:14" ht="14.25">
      <c r="N89" s="250"/>
    </row>
    <row r="90" spans="14:14" ht="14.25">
      <c r="N90" s="250"/>
    </row>
    <row r="91" spans="14:14" ht="14.25">
      <c r="N91" s="250"/>
    </row>
    <row r="92" spans="14:14" ht="14.25">
      <c r="N92" s="250"/>
    </row>
    <row r="93" spans="14:14" ht="14.25">
      <c r="N93" s="250"/>
    </row>
    <row r="94" spans="14:14" ht="14.25">
      <c r="N94" s="250"/>
    </row>
    <row r="95" spans="14:14" ht="14.25">
      <c r="N95" s="250"/>
    </row>
    <row r="96" spans="14:14" ht="14.25">
      <c r="N96" s="250"/>
    </row>
    <row r="97" spans="14:14" ht="14.25">
      <c r="N97" s="250"/>
    </row>
    <row r="98" spans="14:14" ht="14.25">
      <c r="N98" s="250"/>
    </row>
    <row r="99" spans="14:14" ht="14.25">
      <c r="N99" s="250"/>
    </row>
    <row r="100" spans="14:14" ht="14.25">
      <c r="N100" s="250"/>
    </row>
    <row r="101" spans="14:14" ht="14.25">
      <c r="N101" s="250"/>
    </row>
    <row r="102" spans="14:14" ht="14.25">
      <c r="N102" s="250"/>
    </row>
    <row r="103" spans="14:14" ht="14.25">
      <c r="N103" s="250"/>
    </row>
    <row r="104" spans="14:14" ht="14.25">
      <c r="N104" s="250"/>
    </row>
    <row r="105" spans="14:14" ht="14.25">
      <c r="N105" s="250"/>
    </row>
    <row r="106" spans="14:14" ht="14.25">
      <c r="N106" s="250"/>
    </row>
    <row r="107" spans="14:14" ht="14.25">
      <c r="N107" s="250"/>
    </row>
    <row r="108" spans="14:14" ht="14.25">
      <c r="N108" s="250"/>
    </row>
    <row r="109" spans="14:14" ht="14.25">
      <c r="N109" s="250"/>
    </row>
    <row r="110" spans="14:14" ht="14.25">
      <c r="N110" s="250"/>
    </row>
  </sheetData>
  <mergeCells count="3">
    <mergeCell ref="K3:L3"/>
    <mergeCell ref="B51:M51"/>
    <mergeCell ref="A1:M1"/>
  </mergeCells>
  <conditionalFormatting sqref="K3 A1 A51:B51 G50 F5:F50 A5:B5 A2:F2 A3:C3 A52:F1048576 B50:D50 A4:F4 C5:E49 N5:N50 N52:N1048576 O5:XFD1048576 N1:XFD4">
    <cfRule type="cellIs" dxfId="644" priority="31" operator="equal">
      <formula>0</formula>
    </cfRule>
  </conditionalFormatting>
  <conditionalFormatting sqref="E50">
    <cfRule type="cellIs" dxfId="643" priority="30" operator="equal">
      <formula>0</formula>
    </cfRule>
  </conditionalFormatting>
  <conditionalFormatting sqref="A50">
    <cfRule type="cellIs" dxfId="642" priority="29" operator="equal">
      <formula>0</formula>
    </cfRule>
  </conditionalFormatting>
  <conditionalFormatting sqref="G2 G52:G1048576 G4:I4">
    <cfRule type="cellIs" dxfId="641" priority="28" operator="equal">
      <formula>0</formula>
    </cfRule>
  </conditionalFormatting>
  <conditionalFormatting sqref="G5:I49">
    <cfRule type="cellIs" dxfId="640" priority="26" operator="equal">
      <formula>0</formula>
    </cfRule>
  </conditionalFormatting>
  <conditionalFormatting sqref="I50">
    <cfRule type="cellIs" dxfId="639" priority="25" operator="equal">
      <formula>0</formula>
    </cfRule>
  </conditionalFormatting>
  <conditionalFormatting sqref="I2 I52:I1048576">
    <cfRule type="cellIs" dxfId="638" priority="24" operator="equal">
      <formula>0</formula>
    </cfRule>
  </conditionalFormatting>
  <conditionalFormatting sqref="H50">
    <cfRule type="cellIs" dxfId="637" priority="22" operator="equal">
      <formula>0</formula>
    </cfRule>
  </conditionalFormatting>
  <conditionalFormatting sqref="H2 H52:H1048576">
    <cfRule type="cellIs" dxfId="636" priority="21" operator="equal">
      <formula>0</formula>
    </cfRule>
  </conditionalFormatting>
  <conditionalFormatting sqref="J4">
    <cfRule type="cellIs" dxfId="635" priority="19" operator="equal">
      <formula>0</formula>
    </cfRule>
  </conditionalFormatting>
  <conditionalFormatting sqref="J5:J49">
    <cfRule type="cellIs" dxfId="634" priority="18" operator="equal">
      <formula>0</formula>
    </cfRule>
  </conditionalFormatting>
  <conditionalFormatting sqref="J50">
    <cfRule type="cellIs" dxfId="633" priority="17" operator="equal">
      <formula>0</formula>
    </cfRule>
  </conditionalFormatting>
  <conditionalFormatting sqref="J2 J52:J1048576">
    <cfRule type="cellIs" dxfId="632" priority="16" operator="equal">
      <formula>0</formula>
    </cfRule>
  </conditionalFormatting>
  <conditionalFormatting sqref="K4">
    <cfRule type="cellIs" dxfId="631" priority="15" operator="equal">
      <formula>0</formula>
    </cfRule>
  </conditionalFormatting>
  <conditionalFormatting sqref="K5:K49">
    <cfRule type="cellIs" dxfId="630" priority="14" operator="equal">
      <formula>0</formula>
    </cfRule>
  </conditionalFormatting>
  <conditionalFormatting sqref="K50">
    <cfRule type="cellIs" dxfId="629" priority="13" operator="equal">
      <formula>0</formula>
    </cfRule>
  </conditionalFormatting>
  <conditionalFormatting sqref="K2 K52:K1048576">
    <cfRule type="cellIs" dxfId="628" priority="12" operator="equal">
      <formula>0</formula>
    </cfRule>
  </conditionalFormatting>
  <conditionalFormatting sqref="L4">
    <cfRule type="cellIs" dxfId="627" priority="8" operator="equal">
      <formula>0</formula>
    </cfRule>
  </conditionalFormatting>
  <conditionalFormatting sqref="L5:L49">
    <cfRule type="cellIs" dxfId="626" priority="7" operator="equal">
      <formula>0</formula>
    </cfRule>
  </conditionalFormatting>
  <conditionalFormatting sqref="L50">
    <cfRule type="cellIs" dxfId="625" priority="6" operator="equal">
      <formula>0</formula>
    </cfRule>
  </conditionalFormatting>
  <conditionalFormatting sqref="L2 L52:L1048576">
    <cfRule type="cellIs" dxfId="624" priority="5" operator="equal">
      <formula>0</formula>
    </cfRule>
  </conditionalFormatting>
  <conditionalFormatting sqref="M4">
    <cfRule type="cellIs" dxfId="623" priority="4" operator="equal">
      <formula>0</formula>
    </cfRule>
  </conditionalFormatting>
  <conditionalFormatting sqref="M5:M49">
    <cfRule type="cellIs" dxfId="622" priority="3" operator="equal">
      <formula>0</formula>
    </cfRule>
  </conditionalFormatting>
  <conditionalFormatting sqref="M50">
    <cfRule type="cellIs" dxfId="621" priority="2" operator="equal">
      <formula>0</formula>
    </cfRule>
  </conditionalFormatting>
  <conditionalFormatting sqref="M2 M52:M1048576">
    <cfRule type="cellIs" dxfId="62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6" orientation="portrait"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517BE-4FFE-4F4B-A781-2A6DF9670D11}">
  <dimension ref="A1:J54"/>
  <sheetViews>
    <sheetView zoomScale="110" zoomScaleNormal="110" workbookViewId="0">
      <selection activeCell="K28" sqref="K28"/>
    </sheetView>
  </sheetViews>
  <sheetFormatPr defaultColWidth="9.140625" defaultRowHeight="12.75"/>
  <cols>
    <col min="1" max="12" width="9.140625" style="205"/>
    <col min="13" max="13" width="4.85546875" style="205" customWidth="1"/>
    <col min="14" max="16384" width="9.140625" style="205"/>
  </cols>
  <sheetData>
    <row r="1" spans="1:10" ht="7.5" customHeight="1" thickBot="1"/>
    <row r="2" spans="1:10" ht="13.5" thickTop="1">
      <c r="A2" s="748" t="s">
        <v>811</v>
      </c>
      <c r="B2" s="749"/>
      <c r="C2" s="749"/>
      <c r="D2" s="749"/>
      <c r="E2" s="749"/>
      <c r="I2" s="206"/>
      <c r="J2" s="207"/>
    </row>
    <row r="3" spans="1:10" ht="10.5" customHeight="1">
      <c r="A3" s="750"/>
      <c r="B3" s="751"/>
      <c r="C3" s="751"/>
      <c r="D3" s="751"/>
      <c r="E3" s="751"/>
    </row>
    <row r="4" spans="1:10" ht="9" customHeight="1">
      <c r="A4" s="750"/>
      <c r="B4" s="751"/>
      <c r="C4" s="751"/>
      <c r="D4" s="751"/>
      <c r="E4" s="751"/>
    </row>
    <row r="5" spans="1:10">
      <c r="A5" s="752" t="s">
        <v>812</v>
      </c>
      <c r="B5" s="753"/>
      <c r="C5" s="753"/>
      <c r="D5" s="753"/>
      <c r="E5" s="753"/>
      <c r="F5" s="753"/>
      <c r="G5" s="753"/>
      <c r="H5" s="753"/>
      <c r="I5" s="753"/>
      <c r="J5" s="753"/>
    </row>
    <row r="6" spans="1:10">
      <c r="A6" s="753"/>
      <c r="B6" s="753"/>
      <c r="C6" s="753"/>
      <c r="D6" s="753"/>
      <c r="E6" s="753"/>
      <c r="F6" s="753"/>
      <c r="G6" s="753"/>
      <c r="H6" s="753"/>
      <c r="I6" s="753"/>
      <c r="J6" s="753"/>
    </row>
    <row r="7" spans="1:10">
      <c r="A7" s="753"/>
      <c r="B7" s="753"/>
      <c r="C7" s="753"/>
      <c r="D7" s="753"/>
      <c r="E7" s="753"/>
      <c r="F7" s="753"/>
      <c r="G7" s="753"/>
      <c r="H7" s="753"/>
      <c r="I7" s="753"/>
      <c r="J7" s="753"/>
    </row>
    <row r="8" spans="1:10">
      <c r="A8" s="753"/>
      <c r="B8" s="753"/>
      <c r="C8" s="753"/>
      <c r="D8" s="753"/>
      <c r="E8" s="753"/>
      <c r="F8" s="753"/>
      <c r="G8" s="753"/>
      <c r="H8" s="753"/>
      <c r="I8" s="753"/>
      <c r="J8" s="753"/>
    </row>
    <row r="9" spans="1:10">
      <c r="A9" s="753"/>
      <c r="B9" s="753"/>
      <c r="C9" s="753"/>
      <c r="D9" s="753"/>
      <c r="E9" s="753"/>
      <c r="F9" s="753"/>
      <c r="G9" s="753"/>
      <c r="H9" s="753"/>
      <c r="I9" s="753"/>
      <c r="J9" s="753"/>
    </row>
    <row r="10" spans="1:10">
      <c r="A10" s="753"/>
      <c r="B10" s="753"/>
      <c r="C10" s="753"/>
      <c r="D10" s="753"/>
      <c r="E10" s="753"/>
      <c r="F10" s="753"/>
      <c r="G10" s="753"/>
      <c r="H10" s="753"/>
      <c r="I10" s="753"/>
      <c r="J10" s="753"/>
    </row>
    <row r="11" spans="1:10">
      <c r="A11" s="753"/>
      <c r="B11" s="753"/>
      <c r="C11" s="753"/>
      <c r="D11" s="753"/>
      <c r="E11" s="753"/>
      <c r="F11" s="753"/>
      <c r="G11" s="753"/>
      <c r="H11" s="753"/>
      <c r="I11" s="753"/>
      <c r="J11" s="753"/>
    </row>
    <row r="12" spans="1:10">
      <c r="A12" s="753"/>
      <c r="B12" s="753"/>
      <c r="C12" s="753"/>
      <c r="D12" s="753"/>
      <c r="E12" s="753"/>
      <c r="F12" s="753"/>
      <c r="G12" s="753"/>
      <c r="H12" s="753"/>
      <c r="I12" s="753"/>
      <c r="J12" s="753"/>
    </row>
    <row r="13" spans="1:10">
      <c r="A13" s="753"/>
      <c r="B13" s="753"/>
      <c r="C13" s="753"/>
      <c r="D13" s="753"/>
      <c r="E13" s="753"/>
      <c r="F13" s="753"/>
      <c r="G13" s="753"/>
      <c r="H13" s="753"/>
      <c r="I13" s="753"/>
      <c r="J13" s="753"/>
    </row>
    <row r="14" spans="1:10">
      <c r="A14" s="753"/>
      <c r="B14" s="753"/>
      <c r="C14" s="753"/>
      <c r="D14" s="753"/>
      <c r="E14" s="753"/>
      <c r="F14" s="753"/>
      <c r="G14" s="753"/>
      <c r="H14" s="753"/>
      <c r="I14" s="753"/>
      <c r="J14" s="753"/>
    </row>
    <row r="15" spans="1:10">
      <c r="A15" s="753"/>
      <c r="B15" s="753"/>
      <c r="C15" s="753"/>
      <c r="D15" s="753"/>
      <c r="E15" s="753"/>
      <c r="F15" s="753"/>
      <c r="G15" s="753"/>
      <c r="H15" s="753"/>
      <c r="I15" s="753"/>
      <c r="J15" s="753"/>
    </row>
    <row r="16" spans="1:10">
      <c r="A16" s="753"/>
      <c r="B16" s="753"/>
      <c r="C16" s="753"/>
      <c r="D16" s="753"/>
      <c r="E16" s="753"/>
      <c r="F16" s="753"/>
      <c r="G16" s="753"/>
      <c r="H16" s="753"/>
      <c r="I16" s="753"/>
      <c r="J16" s="753"/>
    </row>
    <row r="17" spans="1:10">
      <c r="A17" s="753"/>
      <c r="B17" s="753"/>
      <c r="C17" s="753"/>
      <c r="D17" s="753"/>
      <c r="E17" s="753"/>
      <c r="F17" s="753"/>
      <c r="G17" s="753"/>
      <c r="H17" s="753"/>
      <c r="I17" s="753"/>
      <c r="J17" s="753"/>
    </row>
    <row r="18" spans="1:10">
      <c r="A18" s="753"/>
      <c r="B18" s="753"/>
      <c r="C18" s="753"/>
      <c r="D18" s="753"/>
      <c r="E18" s="753"/>
      <c r="F18" s="753"/>
      <c r="G18" s="753"/>
      <c r="H18" s="753"/>
      <c r="I18" s="753"/>
      <c r="J18" s="753"/>
    </row>
    <row r="19" spans="1:10">
      <c r="A19" s="753"/>
      <c r="B19" s="753"/>
      <c r="C19" s="753"/>
      <c r="D19" s="753"/>
      <c r="E19" s="753"/>
      <c r="F19" s="753"/>
      <c r="G19" s="753"/>
      <c r="H19" s="753"/>
      <c r="I19" s="753"/>
      <c r="J19" s="753"/>
    </row>
    <row r="20" spans="1:10">
      <c r="A20" s="753"/>
      <c r="B20" s="753"/>
      <c r="C20" s="753"/>
      <c r="D20" s="753"/>
      <c r="E20" s="753"/>
      <c r="F20" s="753"/>
      <c r="G20" s="753"/>
      <c r="H20" s="753"/>
      <c r="I20" s="753"/>
      <c r="J20" s="753"/>
    </row>
    <row r="21" spans="1:10">
      <c r="A21" s="753"/>
      <c r="B21" s="753"/>
      <c r="C21" s="753"/>
      <c r="D21" s="753"/>
      <c r="E21" s="753"/>
      <c r="F21" s="753"/>
      <c r="G21" s="753"/>
      <c r="H21" s="753"/>
      <c r="I21" s="753"/>
      <c r="J21" s="753"/>
    </row>
    <row r="22" spans="1:10">
      <c r="A22" s="753"/>
      <c r="B22" s="753"/>
      <c r="C22" s="753"/>
      <c r="D22" s="753"/>
      <c r="E22" s="753"/>
      <c r="F22" s="753"/>
      <c r="G22" s="753"/>
      <c r="H22" s="753"/>
      <c r="I22" s="753"/>
      <c r="J22" s="753"/>
    </row>
    <row r="23" spans="1:10">
      <c r="A23" s="753"/>
      <c r="B23" s="753"/>
      <c r="C23" s="753"/>
      <c r="D23" s="753"/>
      <c r="E23" s="753"/>
      <c r="F23" s="753"/>
      <c r="G23" s="753"/>
      <c r="H23" s="753"/>
      <c r="I23" s="753"/>
      <c r="J23" s="753"/>
    </row>
    <row r="24" spans="1:10">
      <c r="A24" s="754" t="s">
        <v>813</v>
      </c>
      <c r="B24" s="755"/>
      <c r="C24" s="755"/>
      <c r="D24" s="755"/>
      <c r="E24" s="755"/>
      <c r="F24" s="755"/>
      <c r="G24" s="755"/>
      <c r="H24" s="755"/>
      <c r="I24" s="755"/>
      <c r="J24" s="755"/>
    </row>
    <row r="25" spans="1:10">
      <c r="A25" s="755"/>
      <c r="B25" s="755"/>
      <c r="C25" s="755"/>
      <c r="D25" s="755"/>
      <c r="E25" s="755"/>
      <c r="F25" s="755"/>
      <c r="G25" s="755"/>
      <c r="H25" s="755"/>
      <c r="I25" s="755"/>
      <c r="J25" s="755"/>
    </row>
    <row r="26" spans="1:10">
      <c r="A26" s="755"/>
      <c r="B26" s="755"/>
      <c r="C26" s="755"/>
      <c r="D26" s="755"/>
      <c r="E26" s="755"/>
      <c r="F26" s="755"/>
      <c r="G26" s="755"/>
      <c r="H26" s="755"/>
      <c r="I26" s="755"/>
      <c r="J26" s="755"/>
    </row>
    <row r="27" spans="1:10">
      <c r="A27" s="755"/>
      <c r="B27" s="755"/>
      <c r="C27" s="755"/>
      <c r="D27" s="755"/>
      <c r="E27" s="755"/>
      <c r="F27" s="755"/>
      <c r="G27" s="755"/>
      <c r="H27" s="755"/>
      <c r="I27" s="755"/>
      <c r="J27" s="755"/>
    </row>
    <row r="28" spans="1:10">
      <c r="A28" s="755"/>
      <c r="B28" s="755"/>
      <c r="C28" s="755"/>
      <c r="D28" s="755"/>
      <c r="E28" s="755"/>
      <c r="F28" s="755"/>
      <c r="G28" s="755"/>
      <c r="H28" s="755"/>
      <c r="I28" s="755"/>
      <c r="J28" s="755"/>
    </row>
    <row r="49" ht="42.75" customHeight="1"/>
    <row r="50" ht="53.25" customHeight="1"/>
    <row r="52" ht="14.25" customHeight="1"/>
    <row r="53" ht="11.25" customHeight="1"/>
    <row r="54" ht="5.25" customHeight="1"/>
  </sheetData>
  <mergeCells count="3">
    <mergeCell ref="A2:E4"/>
    <mergeCell ref="A5:J23"/>
    <mergeCell ref="A24:J28"/>
  </mergeCells>
  <printOptions horizontalCentered="1" verticalCentered="1"/>
  <pageMargins left="0.27559055118110237" right="0.27559055118110237" top="1.0236220472440944" bottom="0.47244094488188981" header="0.19685039370078741" footer="0.19685039370078741"/>
  <pageSetup paperSize="9"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1">
    <tabColor indexed="26"/>
    <pageSetUpPr fitToPage="1"/>
  </sheetPr>
  <dimension ref="A1:FN43"/>
  <sheetViews>
    <sheetView showGridLines="0" workbookViewId="0">
      <selection sqref="A1:M1"/>
    </sheetView>
  </sheetViews>
  <sheetFormatPr defaultColWidth="9.140625" defaultRowHeight="17.25" customHeight="1"/>
  <cols>
    <col min="1" max="1" width="14.7109375" style="132" customWidth="1"/>
    <col min="2" max="2" width="2.42578125" style="132" customWidth="1"/>
    <col min="3" max="13" width="6.42578125" style="132" customWidth="1"/>
    <col min="14" max="14" width="9.140625" style="136"/>
    <col min="15" max="170" width="9.140625" style="132"/>
    <col min="171" max="16384" width="9.140625" style="29"/>
  </cols>
  <sheetData>
    <row r="1" spans="1:14" s="137" customFormat="1" ht="28.5" customHeight="1">
      <c r="A1" s="765" t="s">
        <v>713</v>
      </c>
      <c r="B1" s="765"/>
      <c r="C1" s="765"/>
      <c r="D1" s="765"/>
      <c r="E1" s="765"/>
      <c r="F1" s="765"/>
      <c r="G1" s="765"/>
      <c r="H1" s="765"/>
      <c r="I1" s="765"/>
      <c r="J1" s="765"/>
      <c r="K1" s="765"/>
      <c r="L1" s="765"/>
      <c r="M1" s="765"/>
      <c r="N1" s="253"/>
    </row>
    <row r="2" spans="1:14" s="138" customFormat="1" ht="15" customHeight="1">
      <c r="A2" s="287"/>
      <c r="B2" s="287"/>
      <c r="C2" s="288"/>
      <c r="D2" s="288"/>
      <c r="E2" s="288"/>
      <c r="F2" s="288"/>
      <c r="G2" s="288"/>
      <c r="H2" s="288"/>
      <c r="I2" s="288"/>
      <c r="J2" s="288"/>
      <c r="K2" s="288"/>
      <c r="L2" s="288"/>
      <c r="M2" s="288"/>
      <c r="N2" s="140"/>
    </row>
    <row r="3" spans="1:14" s="249" customFormat="1" ht="15" customHeight="1">
      <c r="A3" s="254" t="s">
        <v>14</v>
      </c>
      <c r="B3" s="255"/>
      <c r="C3" s="233"/>
      <c r="D3" s="233"/>
      <c r="E3" s="332"/>
      <c r="F3" s="332"/>
      <c r="G3" s="332"/>
      <c r="H3" s="332"/>
      <c r="I3" s="332"/>
      <c r="J3" s="332"/>
      <c r="K3" s="332"/>
      <c r="L3" s="332"/>
      <c r="M3" s="332" t="s">
        <v>68</v>
      </c>
      <c r="N3" s="251"/>
    </row>
    <row r="4" spans="1:14" s="260" customFormat="1" ht="28.5" customHeight="1" thickBot="1">
      <c r="A4" s="258"/>
      <c r="B4" s="258"/>
      <c r="C4" s="241">
        <v>2013</v>
      </c>
      <c r="D4" s="241">
        <v>2014</v>
      </c>
      <c r="E4" s="241">
        <v>2015</v>
      </c>
      <c r="F4" s="241">
        <v>2016</v>
      </c>
      <c r="G4" s="241">
        <v>2017</v>
      </c>
      <c r="H4" s="241">
        <v>2018</v>
      </c>
      <c r="I4" s="241">
        <v>2019</v>
      </c>
      <c r="J4" s="241">
        <v>2020</v>
      </c>
      <c r="K4" s="241">
        <v>2021</v>
      </c>
      <c r="L4" s="241">
        <v>2022</v>
      </c>
      <c r="M4" s="241">
        <v>2023</v>
      </c>
      <c r="N4" s="259"/>
    </row>
    <row r="5" spans="1:14" s="262" customFormat="1" ht="16.5" customHeight="1" thickTop="1">
      <c r="A5" s="248" t="s">
        <v>12</v>
      </c>
      <c r="B5" s="440" t="s">
        <v>45</v>
      </c>
      <c r="C5" s="379">
        <v>912.18</v>
      </c>
      <c r="D5" s="379">
        <v>909.49</v>
      </c>
      <c r="E5" s="379">
        <v>913.93</v>
      </c>
      <c r="F5" s="379">
        <v>924.94</v>
      </c>
      <c r="G5" s="379">
        <v>943</v>
      </c>
      <c r="H5" s="379">
        <v>970.42</v>
      </c>
      <c r="I5" s="379">
        <v>1005.09</v>
      </c>
      <c r="J5" s="379">
        <v>1041.99</v>
      </c>
      <c r="K5" s="379">
        <v>1082.77</v>
      </c>
      <c r="L5" s="379">
        <v>1143.45</v>
      </c>
      <c r="M5" s="379">
        <v>1219.8699999999999</v>
      </c>
      <c r="N5" s="261"/>
    </row>
    <row r="6" spans="1:14" s="262" customFormat="1" ht="12.75" customHeight="1">
      <c r="A6" s="238"/>
      <c r="B6" s="440" t="s">
        <v>53</v>
      </c>
      <c r="C6" s="380">
        <v>993.79</v>
      </c>
      <c r="D6" s="380">
        <v>985.02</v>
      </c>
      <c r="E6" s="380">
        <v>990.05</v>
      </c>
      <c r="F6" s="380">
        <v>997.38</v>
      </c>
      <c r="G6" s="380">
        <v>1012.25</v>
      </c>
      <c r="H6" s="380">
        <v>1039.08</v>
      </c>
      <c r="I6" s="380">
        <v>1073.82</v>
      </c>
      <c r="J6" s="380">
        <v>1109.21</v>
      </c>
      <c r="K6" s="380">
        <v>1152.24</v>
      </c>
      <c r="L6" s="380">
        <v>1217.33</v>
      </c>
      <c r="M6" s="380">
        <v>1294.03</v>
      </c>
    </row>
    <row r="7" spans="1:14" s="262" customFormat="1" ht="12.75" customHeight="1">
      <c r="A7" s="238"/>
      <c r="B7" s="440" t="s">
        <v>54</v>
      </c>
      <c r="C7" s="380">
        <v>816.21</v>
      </c>
      <c r="D7" s="380">
        <v>820.25</v>
      </c>
      <c r="E7" s="380">
        <v>824.99</v>
      </c>
      <c r="F7" s="380">
        <v>840.26</v>
      </c>
      <c r="G7" s="380">
        <v>861.17</v>
      </c>
      <c r="H7" s="380">
        <v>888.56</v>
      </c>
      <c r="I7" s="380">
        <v>922.63</v>
      </c>
      <c r="J7" s="380">
        <v>960.27</v>
      </c>
      <c r="K7" s="380">
        <v>999.33</v>
      </c>
      <c r="L7" s="380">
        <v>1054.3599999999999</v>
      </c>
      <c r="M7" s="380">
        <v>1129.6400000000001</v>
      </c>
    </row>
    <row r="8" spans="1:14" s="262" customFormat="1" ht="16.5" customHeight="1">
      <c r="A8" s="263" t="s">
        <v>32</v>
      </c>
      <c r="B8" s="440" t="s">
        <v>45</v>
      </c>
      <c r="C8" s="380">
        <v>690.07</v>
      </c>
      <c r="D8" s="380">
        <v>697.48</v>
      </c>
      <c r="E8" s="380">
        <v>695.67</v>
      </c>
      <c r="F8" s="380">
        <v>713.54</v>
      </c>
      <c r="G8" s="380">
        <v>735.68</v>
      </c>
      <c r="H8" s="380">
        <v>760.66</v>
      </c>
      <c r="I8" s="380">
        <v>790.55</v>
      </c>
      <c r="J8" s="380">
        <v>825.98</v>
      </c>
      <c r="K8" s="380">
        <v>863.77</v>
      </c>
      <c r="L8" s="380">
        <v>911.12</v>
      </c>
      <c r="M8" s="380">
        <v>979.13</v>
      </c>
    </row>
    <row r="9" spans="1:14" s="262" customFormat="1" ht="12.75" customHeight="1">
      <c r="A9" s="256"/>
      <c r="B9" s="270" t="s">
        <v>53</v>
      </c>
      <c r="C9" s="381">
        <v>729.63</v>
      </c>
      <c r="D9" s="381">
        <v>734.81</v>
      </c>
      <c r="E9" s="381">
        <v>733.43</v>
      </c>
      <c r="F9" s="381">
        <v>748.82</v>
      </c>
      <c r="G9" s="381">
        <v>771.26</v>
      </c>
      <c r="H9" s="381">
        <v>796.74</v>
      </c>
      <c r="I9" s="381">
        <v>828.53</v>
      </c>
      <c r="J9" s="381">
        <v>863.86</v>
      </c>
      <c r="K9" s="381">
        <v>904.44</v>
      </c>
      <c r="L9" s="381">
        <v>953.95</v>
      </c>
      <c r="M9" s="381">
        <v>1022.11</v>
      </c>
    </row>
    <row r="10" spans="1:14" s="262" customFormat="1" ht="12.75" customHeight="1">
      <c r="A10" s="256"/>
      <c r="B10" s="270" t="s">
        <v>54</v>
      </c>
      <c r="C10" s="381">
        <v>649.98</v>
      </c>
      <c r="D10" s="381">
        <v>659.62</v>
      </c>
      <c r="E10" s="381">
        <v>658.3</v>
      </c>
      <c r="F10" s="381">
        <v>678.14</v>
      </c>
      <c r="G10" s="381">
        <v>699.92</v>
      </c>
      <c r="H10" s="381">
        <v>724.19</v>
      </c>
      <c r="I10" s="381">
        <v>751.95</v>
      </c>
      <c r="J10" s="381">
        <v>786.53</v>
      </c>
      <c r="K10" s="381">
        <v>821.86</v>
      </c>
      <c r="L10" s="381">
        <v>867.16</v>
      </c>
      <c r="M10" s="381">
        <v>935.05</v>
      </c>
    </row>
    <row r="11" spans="1:14" s="264" customFormat="1" ht="16.5" customHeight="1">
      <c r="A11" s="263" t="s">
        <v>33</v>
      </c>
      <c r="B11" s="440" t="s">
        <v>45</v>
      </c>
      <c r="C11" s="380">
        <v>793.72</v>
      </c>
      <c r="D11" s="380">
        <v>790.63</v>
      </c>
      <c r="E11" s="380">
        <v>788.89</v>
      </c>
      <c r="F11" s="380">
        <v>798.57</v>
      </c>
      <c r="G11" s="380">
        <v>812.57</v>
      </c>
      <c r="H11" s="380">
        <v>834.51</v>
      </c>
      <c r="I11" s="380">
        <v>857.67</v>
      </c>
      <c r="J11" s="380">
        <v>896.14</v>
      </c>
      <c r="K11" s="380">
        <v>929.36</v>
      </c>
      <c r="L11" s="380">
        <v>974.77</v>
      </c>
      <c r="M11" s="380">
        <v>1037.71</v>
      </c>
    </row>
    <row r="12" spans="1:14" s="262" customFormat="1" ht="12.75" customHeight="1">
      <c r="A12" s="256"/>
      <c r="B12" s="270" t="s">
        <v>53</v>
      </c>
      <c r="C12" s="381">
        <v>834.26</v>
      </c>
      <c r="D12" s="381">
        <v>825.56</v>
      </c>
      <c r="E12" s="381">
        <v>821.5</v>
      </c>
      <c r="F12" s="381">
        <v>829.86</v>
      </c>
      <c r="G12" s="381">
        <v>841.87</v>
      </c>
      <c r="H12" s="381">
        <v>865.08</v>
      </c>
      <c r="I12" s="381">
        <v>887.68</v>
      </c>
      <c r="J12" s="381">
        <v>925.23</v>
      </c>
      <c r="K12" s="381">
        <v>958.85</v>
      </c>
      <c r="L12" s="381">
        <v>1007.99</v>
      </c>
      <c r="M12" s="381">
        <v>1070.58</v>
      </c>
    </row>
    <row r="13" spans="1:14" s="262" customFormat="1" ht="12.75" customHeight="1">
      <c r="A13" s="256"/>
      <c r="B13" s="270" t="s">
        <v>54</v>
      </c>
      <c r="C13" s="381">
        <v>745.49</v>
      </c>
      <c r="D13" s="381">
        <v>749.08</v>
      </c>
      <c r="E13" s="381">
        <v>750.57</v>
      </c>
      <c r="F13" s="381">
        <v>761.68</v>
      </c>
      <c r="G13" s="381">
        <v>778.32</v>
      </c>
      <c r="H13" s="381">
        <v>798.63</v>
      </c>
      <c r="I13" s="381">
        <v>822.24</v>
      </c>
      <c r="J13" s="381">
        <v>860.72</v>
      </c>
      <c r="K13" s="381">
        <v>893.93</v>
      </c>
      <c r="L13" s="381">
        <v>935.47</v>
      </c>
      <c r="M13" s="381">
        <v>998.53</v>
      </c>
    </row>
    <row r="14" spans="1:14" s="264" customFormat="1" ht="16.5" customHeight="1">
      <c r="A14" s="263" t="s">
        <v>34</v>
      </c>
      <c r="B14" s="440" t="s">
        <v>45</v>
      </c>
      <c r="C14" s="380">
        <v>840.64</v>
      </c>
      <c r="D14" s="380">
        <v>838.91</v>
      </c>
      <c r="E14" s="380">
        <v>838.98</v>
      </c>
      <c r="F14" s="380">
        <v>845.97</v>
      </c>
      <c r="G14" s="380">
        <v>862.18</v>
      </c>
      <c r="H14" s="380">
        <v>883.97</v>
      </c>
      <c r="I14" s="380">
        <v>910.61</v>
      </c>
      <c r="J14" s="380">
        <v>952.24</v>
      </c>
      <c r="K14" s="380">
        <v>984.81</v>
      </c>
      <c r="L14" s="380">
        <v>1032.05</v>
      </c>
      <c r="M14" s="380">
        <v>1096.8699999999999</v>
      </c>
    </row>
    <row r="15" spans="1:14" s="262" customFormat="1" ht="12.75" customHeight="1">
      <c r="A15" s="256"/>
      <c r="B15" s="270" t="s">
        <v>53</v>
      </c>
      <c r="C15" s="381">
        <v>897.7</v>
      </c>
      <c r="D15" s="381">
        <v>890.38</v>
      </c>
      <c r="E15" s="381">
        <v>891.44</v>
      </c>
      <c r="F15" s="381">
        <v>893.1</v>
      </c>
      <c r="G15" s="381">
        <v>906.12</v>
      </c>
      <c r="H15" s="381">
        <v>926.57</v>
      </c>
      <c r="I15" s="381">
        <v>954.96</v>
      </c>
      <c r="J15" s="381">
        <v>993.22</v>
      </c>
      <c r="K15" s="381">
        <v>1028.73</v>
      </c>
      <c r="L15" s="381">
        <v>1076.53</v>
      </c>
      <c r="M15" s="381">
        <v>1139.03</v>
      </c>
    </row>
    <row r="16" spans="1:14" s="262" customFormat="1" ht="12.75" customHeight="1">
      <c r="A16" s="256"/>
      <c r="B16" s="270" t="s">
        <v>54</v>
      </c>
      <c r="C16" s="381">
        <v>768.6</v>
      </c>
      <c r="D16" s="381">
        <v>774.26</v>
      </c>
      <c r="E16" s="381">
        <v>774.28</v>
      </c>
      <c r="F16" s="381">
        <v>787.12</v>
      </c>
      <c r="G16" s="381">
        <v>806.77</v>
      </c>
      <c r="H16" s="381">
        <v>830.31</v>
      </c>
      <c r="I16" s="381">
        <v>854.04</v>
      </c>
      <c r="J16" s="381">
        <v>897.29</v>
      </c>
      <c r="K16" s="381">
        <v>927.62</v>
      </c>
      <c r="L16" s="381">
        <v>974.17</v>
      </c>
      <c r="M16" s="381">
        <v>1042.27</v>
      </c>
    </row>
    <row r="17" spans="1:14" s="264" customFormat="1" ht="16.5" customHeight="1">
      <c r="A17" s="263" t="s">
        <v>35</v>
      </c>
      <c r="B17" s="440" t="s">
        <v>45</v>
      </c>
      <c r="C17" s="380">
        <v>910.93</v>
      </c>
      <c r="D17" s="380">
        <v>903.34</v>
      </c>
      <c r="E17" s="380">
        <v>904.25</v>
      </c>
      <c r="F17" s="380">
        <v>910.56</v>
      </c>
      <c r="G17" s="380">
        <v>922.47</v>
      </c>
      <c r="H17" s="380">
        <v>946.8</v>
      </c>
      <c r="I17" s="380">
        <v>977.5</v>
      </c>
      <c r="J17" s="380">
        <v>1017.98</v>
      </c>
      <c r="K17" s="380">
        <v>1054.06</v>
      </c>
      <c r="L17" s="380">
        <v>1098.6600000000001</v>
      </c>
      <c r="M17" s="380">
        <v>1176.8699999999999</v>
      </c>
    </row>
    <row r="18" spans="1:14" s="262" customFormat="1" ht="12.75" customHeight="1">
      <c r="A18" s="256"/>
      <c r="B18" s="270" t="s">
        <v>53</v>
      </c>
      <c r="C18" s="381">
        <v>1004.64</v>
      </c>
      <c r="D18" s="381">
        <v>991.71</v>
      </c>
      <c r="E18" s="381">
        <v>987.49</v>
      </c>
      <c r="F18" s="381">
        <v>989.95</v>
      </c>
      <c r="G18" s="381">
        <v>996.3</v>
      </c>
      <c r="H18" s="381">
        <v>1017.03</v>
      </c>
      <c r="I18" s="381">
        <v>1046.49</v>
      </c>
      <c r="J18" s="381">
        <v>1089.04</v>
      </c>
      <c r="K18" s="381">
        <v>1127.2</v>
      </c>
      <c r="L18" s="381">
        <v>1172.6400000000001</v>
      </c>
      <c r="M18" s="381">
        <v>1251.54</v>
      </c>
    </row>
    <row r="19" spans="1:14" s="262" customFormat="1" ht="12.75" customHeight="1">
      <c r="A19" s="256"/>
      <c r="B19" s="270" t="s">
        <v>54</v>
      </c>
      <c r="C19" s="381">
        <v>804.38</v>
      </c>
      <c r="D19" s="381">
        <v>802.78</v>
      </c>
      <c r="E19" s="381">
        <v>808.54</v>
      </c>
      <c r="F19" s="381">
        <v>819.04</v>
      </c>
      <c r="G19" s="381">
        <v>836.38</v>
      </c>
      <c r="H19" s="381">
        <v>864.18</v>
      </c>
      <c r="I19" s="381">
        <v>893.65</v>
      </c>
      <c r="J19" s="381">
        <v>929.73</v>
      </c>
      <c r="K19" s="381">
        <v>964.25</v>
      </c>
      <c r="L19" s="381">
        <v>1008.11</v>
      </c>
      <c r="M19" s="381">
        <v>1083.77</v>
      </c>
    </row>
    <row r="20" spans="1:14" s="264" customFormat="1" ht="16.5" customHeight="1">
      <c r="A20" s="263" t="s">
        <v>36</v>
      </c>
      <c r="B20" s="440" t="s">
        <v>45</v>
      </c>
      <c r="C20" s="380">
        <v>958.96</v>
      </c>
      <c r="D20" s="380">
        <v>957.54</v>
      </c>
      <c r="E20" s="380">
        <v>959.46</v>
      </c>
      <c r="F20" s="380">
        <v>963.53</v>
      </c>
      <c r="G20" s="380">
        <v>989.73</v>
      </c>
      <c r="H20" s="380">
        <v>1013.66</v>
      </c>
      <c r="I20" s="380">
        <v>1043.71</v>
      </c>
      <c r="J20" s="380">
        <v>1085.3599999999999</v>
      </c>
      <c r="K20" s="380">
        <v>1135.05</v>
      </c>
      <c r="L20" s="380">
        <v>1181.8900000000001</v>
      </c>
      <c r="M20" s="380">
        <v>1256.3599999999999</v>
      </c>
    </row>
    <row r="21" spans="1:14" s="262" customFormat="1" ht="12.75" customHeight="1">
      <c r="A21" s="256"/>
      <c r="B21" s="270" t="s">
        <v>53</v>
      </c>
      <c r="C21" s="381">
        <v>1073.52</v>
      </c>
      <c r="D21" s="381">
        <v>1065.48</v>
      </c>
      <c r="E21" s="381">
        <v>1066.47</v>
      </c>
      <c r="F21" s="381">
        <v>1063.57</v>
      </c>
      <c r="G21" s="381">
        <v>1088.3399999999999</v>
      </c>
      <c r="H21" s="381">
        <v>1111</v>
      </c>
      <c r="I21" s="381">
        <v>1137.7</v>
      </c>
      <c r="J21" s="381">
        <v>1178.51</v>
      </c>
      <c r="K21" s="381">
        <v>1235.8</v>
      </c>
      <c r="L21" s="381">
        <v>1280.67</v>
      </c>
      <c r="M21" s="381">
        <v>1351.32</v>
      </c>
    </row>
    <row r="22" spans="1:14" s="262" customFormat="1" ht="12.75" customHeight="1">
      <c r="A22" s="256"/>
      <c r="B22" s="270" t="s">
        <v>54</v>
      </c>
      <c r="C22" s="381">
        <v>831.3</v>
      </c>
      <c r="D22" s="381">
        <v>837.07</v>
      </c>
      <c r="E22" s="381">
        <v>841.62</v>
      </c>
      <c r="F22" s="381">
        <v>853.08</v>
      </c>
      <c r="G22" s="381">
        <v>878.07</v>
      </c>
      <c r="H22" s="381">
        <v>902.82</v>
      </c>
      <c r="I22" s="381">
        <v>935.48</v>
      </c>
      <c r="J22" s="381">
        <v>977.05</v>
      </c>
      <c r="K22" s="381">
        <v>1019.51</v>
      </c>
      <c r="L22" s="381">
        <v>1066.72</v>
      </c>
      <c r="M22" s="381">
        <v>1144.3499999999999</v>
      </c>
    </row>
    <row r="23" spans="1:14" s="264" customFormat="1" ht="16.5" customHeight="1">
      <c r="A23" s="263" t="s">
        <v>37</v>
      </c>
      <c r="B23" s="440" t="s">
        <v>45</v>
      </c>
      <c r="C23" s="380">
        <v>1094.1400000000001</v>
      </c>
      <c r="D23" s="380">
        <v>1085.9100000000001</v>
      </c>
      <c r="E23" s="380">
        <v>1091.48</v>
      </c>
      <c r="F23" s="380">
        <v>1084.18</v>
      </c>
      <c r="G23" s="380">
        <v>1059.06</v>
      </c>
      <c r="H23" s="380">
        <v>1100.5899999999999</v>
      </c>
      <c r="I23" s="380">
        <v>1141.5</v>
      </c>
      <c r="J23" s="380">
        <v>1166.0999999999999</v>
      </c>
      <c r="K23" s="380">
        <v>1205.97</v>
      </c>
      <c r="L23" s="380">
        <v>1287.1600000000001</v>
      </c>
      <c r="M23" s="380">
        <v>1374.88</v>
      </c>
    </row>
    <row r="24" spans="1:14" s="262" customFormat="1" ht="12.75" customHeight="1">
      <c r="A24" s="256"/>
      <c r="B24" s="270" t="s">
        <v>53</v>
      </c>
      <c r="C24" s="381">
        <v>1210.1199999999999</v>
      </c>
      <c r="D24" s="381">
        <v>1197.26</v>
      </c>
      <c r="E24" s="381">
        <v>1201.18</v>
      </c>
      <c r="F24" s="381">
        <v>1185.8399999999999</v>
      </c>
      <c r="G24" s="381">
        <v>1134.3800000000001</v>
      </c>
      <c r="H24" s="381">
        <v>1171.6099999999999</v>
      </c>
      <c r="I24" s="381">
        <v>1215.1600000000001</v>
      </c>
      <c r="J24" s="381">
        <v>1239.32</v>
      </c>
      <c r="K24" s="381">
        <v>1286.47</v>
      </c>
      <c r="L24" s="381">
        <v>1366.19</v>
      </c>
      <c r="M24" s="381">
        <v>1457.99</v>
      </c>
    </row>
    <row r="25" spans="1:14" s="262" customFormat="1" ht="12.75" customHeight="1">
      <c r="A25" s="256"/>
      <c r="B25" s="270" t="s">
        <v>54</v>
      </c>
      <c r="C25" s="381">
        <v>945.54</v>
      </c>
      <c r="D25" s="381">
        <v>939.79</v>
      </c>
      <c r="E25" s="381">
        <v>947.28</v>
      </c>
      <c r="F25" s="381">
        <v>955.1</v>
      </c>
      <c r="G25" s="381">
        <v>960.54</v>
      </c>
      <c r="H25" s="381">
        <v>1006.88</v>
      </c>
      <c r="I25" s="381">
        <v>1045.45</v>
      </c>
      <c r="J25" s="381">
        <v>1069.55</v>
      </c>
      <c r="K25" s="381">
        <v>1101.6500000000001</v>
      </c>
      <c r="L25" s="381">
        <v>1184.3699999999999</v>
      </c>
      <c r="M25" s="381">
        <v>1264.77</v>
      </c>
    </row>
    <row r="26" spans="1:14" s="265" customFormat="1" ht="16.5" customHeight="1">
      <c r="A26" s="263" t="s">
        <v>38</v>
      </c>
      <c r="B26" s="440" t="s">
        <v>45</v>
      </c>
      <c r="C26" s="380">
        <v>1147.32</v>
      </c>
      <c r="D26" s="380">
        <v>1128.02</v>
      </c>
      <c r="E26" s="380">
        <v>1086.8499999999999</v>
      </c>
      <c r="F26" s="380">
        <v>1182.75</v>
      </c>
      <c r="G26" s="380">
        <v>1143.55</v>
      </c>
      <c r="H26" s="380">
        <v>1150.9000000000001</v>
      </c>
      <c r="I26" s="380">
        <v>1141.4000000000001</v>
      </c>
      <c r="J26" s="380">
        <v>1208.0999999999999</v>
      </c>
      <c r="K26" s="380">
        <v>1237.3800000000001</v>
      </c>
      <c r="L26" s="380">
        <v>1300.4000000000001</v>
      </c>
      <c r="M26" s="380">
        <v>1401.14</v>
      </c>
      <c r="N26" s="264"/>
    </row>
    <row r="27" spans="1:14" s="252" customFormat="1" ht="12.75" customHeight="1">
      <c r="A27" s="256"/>
      <c r="B27" s="270" t="s">
        <v>53</v>
      </c>
      <c r="C27" s="381">
        <v>1247.73</v>
      </c>
      <c r="D27" s="381">
        <v>1220.43</v>
      </c>
      <c r="E27" s="381">
        <v>1160.83</v>
      </c>
      <c r="F27" s="381">
        <v>1317.15</v>
      </c>
      <c r="G27" s="381">
        <v>1252.29</v>
      </c>
      <c r="H27" s="381">
        <v>1246.04</v>
      </c>
      <c r="I27" s="381">
        <v>1202.8499999999999</v>
      </c>
      <c r="J27" s="381">
        <v>1257.22</v>
      </c>
      <c r="K27" s="381">
        <v>1300.1400000000001</v>
      </c>
      <c r="L27" s="381">
        <v>1371.53</v>
      </c>
      <c r="M27" s="381">
        <v>1468.2</v>
      </c>
      <c r="N27" s="262"/>
    </row>
    <row r="28" spans="1:14" s="252" customFormat="1" ht="12.75" customHeight="1">
      <c r="A28" s="256"/>
      <c r="B28" s="270" t="s">
        <v>54</v>
      </c>
      <c r="C28" s="381">
        <v>999.45</v>
      </c>
      <c r="D28" s="381">
        <v>999.75</v>
      </c>
      <c r="E28" s="381">
        <v>980.93</v>
      </c>
      <c r="F28" s="381">
        <v>997.52</v>
      </c>
      <c r="G28" s="381">
        <v>1000.69</v>
      </c>
      <c r="H28" s="381">
        <v>1023.21</v>
      </c>
      <c r="I28" s="381">
        <v>1058.8699999999999</v>
      </c>
      <c r="J28" s="381">
        <v>1139.6500000000001</v>
      </c>
      <c r="K28" s="381">
        <v>1156.79</v>
      </c>
      <c r="L28" s="381">
        <v>1208.8399999999999</v>
      </c>
      <c r="M28" s="381">
        <v>1309.55</v>
      </c>
      <c r="N28" s="262"/>
    </row>
    <row r="29" spans="1:14" s="265" customFormat="1" ht="16.5" customHeight="1">
      <c r="A29" s="263" t="s">
        <v>39</v>
      </c>
      <c r="B29" s="440" t="s">
        <v>45</v>
      </c>
      <c r="C29" s="380">
        <v>1151.8399999999999</v>
      </c>
      <c r="D29" s="380">
        <v>1115.29</v>
      </c>
      <c r="E29" s="380">
        <v>1264.18</v>
      </c>
      <c r="F29" s="380">
        <v>1171.43</v>
      </c>
      <c r="G29" s="380">
        <v>1277.6600000000001</v>
      </c>
      <c r="H29" s="380">
        <v>1320.53</v>
      </c>
      <c r="I29" s="380">
        <v>1368.96</v>
      </c>
      <c r="J29" s="380">
        <v>1439.37</v>
      </c>
      <c r="K29" s="380">
        <v>1365.36</v>
      </c>
      <c r="L29" s="380">
        <v>1409.73</v>
      </c>
      <c r="M29" s="380">
        <v>1438.98</v>
      </c>
      <c r="N29" s="264"/>
    </row>
    <row r="30" spans="1:14" s="252" customFormat="1" ht="12.75" customHeight="1">
      <c r="A30" s="256"/>
      <c r="B30" s="270" t="s">
        <v>53</v>
      </c>
      <c r="C30" s="381">
        <v>1269.42</v>
      </c>
      <c r="D30" s="381">
        <v>1205.6500000000001</v>
      </c>
      <c r="E30" s="381">
        <v>1409.34</v>
      </c>
      <c r="F30" s="381">
        <v>1254.28</v>
      </c>
      <c r="G30" s="381">
        <v>1459.87</v>
      </c>
      <c r="H30" s="381">
        <v>1496.08</v>
      </c>
      <c r="I30" s="381">
        <v>1568.84</v>
      </c>
      <c r="J30" s="381">
        <v>1640.28</v>
      </c>
      <c r="K30" s="381">
        <v>1475.92</v>
      </c>
      <c r="L30" s="381">
        <v>1507.23</v>
      </c>
      <c r="M30" s="381">
        <v>1561.77</v>
      </c>
      <c r="N30" s="262"/>
    </row>
    <row r="31" spans="1:14" s="252" customFormat="1" ht="12.75" customHeight="1">
      <c r="A31" s="256"/>
      <c r="B31" s="270" t="s">
        <v>54</v>
      </c>
      <c r="C31" s="381">
        <v>988.76</v>
      </c>
      <c r="D31" s="381">
        <v>984.83</v>
      </c>
      <c r="E31" s="381">
        <v>1056.57</v>
      </c>
      <c r="F31" s="381">
        <v>1045.45</v>
      </c>
      <c r="G31" s="381">
        <v>1012.31</v>
      </c>
      <c r="H31" s="381">
        <v>1057.8599999999999</v>
      </c>
      <c r="I31" s="381">
        <v>1071.1199999999999</v>
      </c>
      <c r="J31" s="381">
        <v>1139.6199999999999</v>
      </c>
      <c r="K31" s="381">
        <v>1203.0899999999999</v>
      </c>
      <c r="L31" s="381">
        <v>1260.82</v>
      </c>
      <c r="M31" s="381">
        <v>1280.1600000000001</v>
      </c>
      <c r="N31" s="262"/>
    </row>
    <row r="32" spans="1:14" s="265" customFormat="1" ht="16.5" customHeight="1">
      <c r="A32" s="263" t="s">
        <v>40</v>
      </c>
      <c r="B32" s="440" t="s">
        <v>45</v>
      </c>
      <c r="C32" s="380">
        <v>1080.52</v>
      </c>
      <c r="D32" s="380">
        <v>1119.71</v>
      </c>
      <c r="E32" s="380">
        <v>1109.27</v>
      </c>
      <c r="F32" s="380">
        <v>1149.42</v>
      </c>
      <c r="G32" s="380">
        <v>1180.82</v>
      </c>
      <c r="H32" s="380">
        <v>1182.5899999999999</v>
      </c>
      <c r="I32" s="380">
        <v>1200.5899999999999</v>
      </c>
      <c r="J32" s="380">
        <v>1251.8</v>
      </c>
      <c r="K32" s="380">
        <v>1327.57</v>
      </c>
      <c r="L32" s="380">
        <v>1385.82</v>
      </c>
      <c r="M32" s="380">
        <v>1487.96</v>
      </c>
      <c r="N32" s="264"/>
    </row>
    <row r="33" spans="1:14" s="252" customFormat="1" ht="12.75" customHeight="1">
      <c r="A33" s="256"/>
      <c r="B33" s="270" t="s">
        <v>53</v>
      </c>
      <c r="C33" s="381">
        <v>1148.6099999999999</v>
      </c>
      <c r="D33" s="381">
        <v>1195.8699999999999</v>
      </c>
      <c r="E33" s="381">
        <v>1185.72</v>
      </c>
      <c r="F33" s="381">
        <v>1221.54</v>
      </c>
      <c r="G33" s="381">
        <v>1243.32</v>
      </c>
      <c r="H33" s="381">
        <v>1238.52</v>
      </c>
      <c r="I33" s="381">
        <v>1261.46</v>
      </c>
      <c r="J33" s="381">
        <v>1317.32</v>
      </c>
      <c r="K33" s="381">
        <v>1419.94</v>
      </c>
      <c r="L33" s="381">
        <v>1486.15</v>
      </c>
      <c r="M33" s="381">
        <v>1587.68</v>
      </c>
      <c r="N33" s="262"/>
    </row>
    <row r="34" spans="1:14" s="252" customFormat="1" ht="12.75" customHeight="1">
      <c r="A34" s="256"/>
      <c r="B34" s="270" t="s">
        <v>54</v>
      </c>
      <c r="C34" s="381">
        <v>982.77</v>
      </c>
      <c r="D34" s="381">
        <v>1009.24</v>
      </c>
      <c r="E34" s="381">
        <v>1000.88</v>
      </c>
      <c r="F34" s="381">
        <v>1048.17</v>
      </c>
      <c r="G34" s="381">
        <v>1089.8900000000001</v>
      </c>
      <c r="H34" s="381">
        <v>1099.22</v>
      </c>
      <c r="I34" s="381">
        <v>1110.53</v>
      </c>
      <c r="J34" s="381">
        <v>1155.98</v>
      </c>
      <c r="K34" s="381">
        <v>1190.43</v>
      </c>
      <c r="L34" s="381">
        <v>1241.0899999999999</v>
      </c>
      <c r="M34" s="381">
        <v>1344.48</v>
      </c>
      <c r="N34" s="262"/>
    </row>
    <row r="35" spans="1:14" s="265" customFormat="1" ht="16.5" customHeight="1">
      <c r="A35" s="263" t="s">
        <v>41</v>
      </c>
      <c r="B35" s="440" t="s">
        <v>45</v>
      </c>
      <c r="C35" s="380">
        <v>1187.75</v>
      </c>
      <c r="D35" s="380">
        <v>1154.24</v>
      </c>
      <c r="E35" s="380">
        <v>1151.3699999999999</v>
      </c>
      <c r="F35" s="380">
        <v>1156.6300000000001</v>
      </c>
      <c r="G35" s="380">
        <v>1124.5899999999999</v>
      </c>
      <c r="H35" s="380">
        <v>1175.06</v>
      </c>
      <c r="I35" s="380">
        <v>1241.52</v>
      </c>
      <c r="J35" s="380">
        <v>1278.25</v>
      </c>
      <c r="K35" s="380">
        <v>1314.59</v>
      </c>
      <c r="L35" s="380">
        <v>1406.26</v>
      </c>
      <c r="M35" s="380">
        <v>1500.95</v>
      </c>
      <c r="N35" s="264"/>
    </row>
    <row r="36" spans="1:14" s="252" customFormat="1" ht="12.75" customHeight="1">
      <c r="A36" s="256"/>
      <c r="B36" s="270" t="s">
        <v>53</v>
      </c>
      <c r="C36" s="381">
        <v>1293.8900000000001</v>
      </c>
      <c r="D36" s="381">
        <v>1227.71</v>
      </c>
      <c r="E36" s="381">
        <v>1228.2</v>
      </c>
      <c r="F36" s="381">
        <v>1227.9000000000001</v>
      </c>
      <c r="G36" s="381">
        <v>1183.95</v>
      </c>
      <c r="H36" s="381">
        <v>1255.73</v>
      </c>
      <c r="I36" s="381">
        <v>1326.22</v>
      </c>
      <c r="J36" s="381">
        <v>1368.4</v>
      </c>
      <c r="K36" s="381">
        <v>1400.9</v>
      </c>
      <c r="L36" s="381">
        <v>1474.39</v>
      </c>
      <c r="M36" s="381">
        <v>1553.34</v>
      </c>
      <c r="N36" s="262"/>
    </row>
    <row r="37" spans="1:14" s="252" customFormat="1" ht="12.75" customHeight="1">
      <c r="A37" s="266"/>
      <c r="B37" s="270" t="s">
        <v>54</v>
      </c>
      <c r="C37" s="381">
        <v>1056.27</v>
      </c>
      <c r="D37" s="381">
        <v>1062.1500000000001</v>
      </c>
      <c r="E37" s="381">
        <v>1057.8699999999999</v>
      </c>
      <c r="F37" s="381">
        <v>1067.4100000000001</v>
      </c>
      <c r="G37" s="381">
        <v>1055.1099999999999</v>
      </c>
      <c r="H37" s="381">
        <v>1080.19</v>
      </c>
      <c r="I37" s="381">
        <v>1142.78</v>
      </c>
      <c r="J37" s="381">
        <v>1165.79</v>
      </c>
      <c r="K37" s="381">
        <v>1209.8800000000001</v>
      </c>
      <c r="L37" s="381">
        <v>1320.19</v>
      </c>
      <c r="M37" s="381">
        <v>1427.89</v>
      </c>
      <c r="N37" s="262"/>
    </row>
    <row r="38" spans="1:14" s="265" customFormat="1" ht="16.5" customHeight="1">
      <c r="A38" s="267" t="s">
        <v>72</v>
      </c>
      <c r="B38" s="440" t="s">
        <v>45</v>
      </c>
      <c r="C38" s="380">
        <v>1008.99</v>
      </c>
      <c r="D38" s="380">
        <v>989.69</v>
      </c>
      <c r="E38" s="380">
        <v>1012.18</v>
      </c>
      <c r="F38" s="380">
        <v>1011.28</v>
      </c>
      <c r="G38" s="380">
        <v>1042.51</v>
      </c>
      <c r="H38" s="380">
        <v>1087.9000000000001</v>
      </c>
      <c r="I38" s="380">
        <v>1152.04</v>
      </c>
      <c r="J38" s="380">
        <v>1110.18</v>
      </c>
      <c r="K38" s="380">
        <v>1200.8900000000001</v>
      </c>
      <c r="L38" s="380">
        <v>1319.01</v>
      </c>
      <c r="M38" s="380">
        <v>1390.45</v>
      </c>
      <c r="N38" s="264"/>
    </row>
    <row r="39" spans="1:14" s="252" customFormat="1" ht="12.75" customHeight="1">
      <c r="A39" s="266"/>
      <c r="B39" s="270" t="s">
        <v>53</v>
      </c>
      <c r="C39" s="381">
        <v>1106.8599999999999</v>
      </c>
      <c r="D39" s="381">
        <v>1071.92</v>
      </c>
      <c r="E39" s="381">
        <v>1102.03</v>
      </c>
      <c r="F39" s="381">
        <v>1094.95</v>
      </c>
      <c r="G39" s="381">
        <v>1110.8900000000001</v>
      </c>
      <c r="H39" s="381">
        <v>1163.3399999999999</v>
      </c>
      <c r="I39" s="381">
        <v>1239.6300000000001</v>
      </c>
      <c r="J39" s="381">
        <v>1174.2</v>
      </c>
      <c r="K39" s="381">
        <v>1274.7</v>
      </c>
      <c r="L39" s="381">
        <v>1447.72</v>
      </c>
      <c r="M39" s="381">
        <v>1531.81</v>
      </c>
      <c r="N39" s="262"/>
    </row>
    <row r="40" spans="1:14" s="252" customFormat="1" ht="12.75" customHeight="1">
      <c r="A40" s="268"/>
      <c r="B40" s="269" t="s">
        <v>54</v>
      </c>
      <c r="C40" s="382">
        <v>913.22</v>
      </c>
      <c r="D40" s="382">
        <v>903.14</v>
      </c>
      <c r="E40" s="382">
        <v>922.64</v>
      </c>
      <c r="F40" s="382">
        <v>932.17</v>
      </c>
      <c r="G40" s="382">
        <v>971.1</v>
      </c>
      <c r="H40" s="382">
        <v>1008.59</v>
      </c>
      <c r="I40" s="382">
        <v>1063.01</v>
      </c>
      <c r="J40" s="382">
        <v>1053.26</v>
      </c>
      <c r="K40" s="382">
        <v>1132.07</v>
      </c>
      <c r="L40" s="382">
        <v>1194.0899999999999</v>
      </c>
      <c r="M40" s="382">
        <v>1257.4100000000001</v>
      </c>
      <c r="N40" s="262"/>
    </row>
    <row r="41" spans="1:14" s="249" customFormat="1" ht="14.25" customHeight="1">
      <c r="A41" s="21" t="s">
        <v>138</v>
      </c>
      <c r="B41" s="270"/>
      <c r="C41" s="271"/>
      <c r="D41" s="261"/>
      <c r="E41" s="261"/>
      <c r="G41" s="261"/>
      <c r="H41" s="261"/>
      <c r="I41" s="261"/>
      <c r="J41" s="261"/>
      <c r="K41" s="261"/>
      <c r="L41" s="261"/>
      <c r="M41" s="261"/>
      <c r="N41" s="251"/>
    </row>
    <row r="42" spans="1:14" s="249" customFormat="1" ht="29.25" customHeight="1">
      <c r="A42" s="766" t="s">
        <v>131</v>
      </c>
      <c r="B42" s="766"/>
      <c r="C42" s="766"/>
      <c r="D42" s="766"/>
      <c r="E42" s="766"/>
      <c r="F42" s="766"/>
      <c r="G42" s="766"/>
      <c r="H42" s="766"/>
      <c r="I42" s="766"/>
      <c r="J42" s="766"/>
      <c r="K42" s="766"/>
      <c r="L42" s="766"/>
      <c r="M42" s="766"/>
      <c r="N42" s="251"/>
    </row>
    <row r="43" spans="1:14" s="138" customFormat="1" ht="17.25" customHeight="1">
      <c r="A43" s="139"/>
      <c r="B43" s="139"/>
      <c r="N43" s="140"/>
    </row>
  </sheetData>
  <mergeCells count="2">
    <mergeCell ref="A42:M42"/>
    <mergeCell ref="A1:M1"/>
  </mergeCells>
  <conditionalFormatting sqref="A42 F2 E3 A1 F43:F1048576 G41 N6:N16 A2:D4 A43:D1048576 B41:D41 A5:I40 O5:O16 N4:O4 N17:O1048576 P4:XFD1048576 N1:XFD3">
    <cfRule type="cellIs" dxfId="619" priority="56" operator="equal">
      <formula>0</formula>
    </cfRule>
  </conditionalFormatting>
  <conditionalFormatting sqref="E2 E43:E1048576 E41 E4:F4">
    <cfRule type="cellIs" dxfId="618" priority="55" operator="equal">
      <formula>0</formula>
    </cfRule>
  </conditionalFormatting>
  <conditionalFormatting sqref="A41">
    <cfRule type="cellIs" dxfId="617" priority="54" operator="equal">
      <formula>0</formula>
    </cfRule>
  </conditionalFormatting>
  <conditionalFormatting sqref="G2 G43:G1048576">
    <cfRule type="cellIs" dxfId="616" priority="53" operator="equal">
      <formula>0</formula>
    </cfRule>
  </conditionalFormatting>
  <conditionalFormatting sqref="G4:I4">
    <cfRule type="cellIs" dxfId="615" priority="52" operator="equal">
      <formula>0</formula>
    </cfRule>
  </conditionalFormatting>
  <conditionalFormatting sqref="I41">
    <cfRule type="cellIs" dxfId="614" priority="50" operator="equal">
      <formula>0</formula>
    </cfRule>
  </conditionalFormatting>
  <conditionalFormatting sqref="I2 I43:I1048576">
    <cfRule type="cellIs" dxfId="613" priority="49" operator="equal">
      <formula>0</formula>
    </cfRule>
  </conditionalFormatting>
  <conditionalFormatting sqref="N5">
    <cfRule type="cellIs" dxfId="612" priority="46" operator="equal">
      <formula>0</formula>
    </cfRule>
  </conditionalFormatting>
  <conditionalFormatting sqref="H41">
    <cfRule type="cellIs" dxfId="611" priority="42" operator="equal">
      <formula>0</formula>
    </cfRule>
  </conditionalFormatting>
  <conditionalFormatting sqref="H2 H43:H1048576">
    <cfRule type="cellIs" dxfId="610" priority="41" operator="equal">
      <formula>0</formula>
    </cfRule>
  </conditionalFormatting>
  <conditionalFormatting sqref="J8:J40">
    <cfRule type="cellIs" dxfId="609" priority="37" operator="equal">
      <formula>0</formula>
    </cfRule>
  </conditionalFormatting>
  <conditionalFormatting sqref="J4">
    <cfRule type="cellIs" dxfId="608" priority="36" operator="equal">
      <formula>0</formula>
    </cfRule>
  </conditionalFormatting>
  <conditionalFormatting sqref="J5:J7">
    <cfRule type="cellIs" dxfId="607" priority="35" operator="equal">
      <formula>0</formula>
    </cfRule>
  </conditionalFormatting>
  <conditionalFormatting sqref="J41">
    <cfRule type="cellIs" dxfId="606" priority="34" operator="equal">
      <formula>0</formula>
    </cfRule>
  </conditionalFormatting>
  <conditionalFormatting sqref="J2 J43:J1048576">
    <cfRule type="cellIs" dxfId="605" priority="33" operator="equal">
      <formula>0</formula>
    </cfRule>
  </conditionalFormatting>
  <conditionalFormatting sqref="K8:K40">
    <cfRule type="cellIs" dxfId="604" priority="32" operator="equal">
      <formula>0</formula>
    </cfRule>
  </conditionalFormatting>
  <conditionalFormatting sqref="K4">
    <cfRule type="cellIs" dxfId="603" priority="31" operator="equal">
      <formula>0</formula>
    </cfRule>
  </conditionalFormatting>
  <conditionalFormatting sqref="K5:K7">
    <cfRule type="cellIs" dxfId="602" priority="30" operator="equal">
      <formula>0</formula>
    </cfRule>
  </conditionalFormatting>
  <conditionalFormatting sqref="K41">
    <cfRule type="cellIs" dxfId="601" priority="29" operator="equal">
      <formula>0</formula>
    </cfRule>
  </conditionalFormatting>
  <conditionalFormatting sqref="K2 K43:K1048576">
    <cfRule type="cellIs" dxfId="600" priority="28" operator="equal">
      <formula>0</formula>
    </cfRule>
  </conditionalFormatting>
  <conditionalFormatting sqref="L8:L40">
    <cfRule type="cellIs" dxfId="599" priority="26" operator="equal">
      <formula>0</formula>
    </cfRule>
  </conditionalFormatting>
  <conditionalFormatting sqref="L4">
    <cfRule type="cellIs" dxfId="598" priority="25" operator="equal">
      <formula>0</formula>
    </cfRule>
  </conditionalFormatting>
  <conditionalFormatting sqref="L5:L7">
    <cfRule type="cellIs" dxfId="597" priority="24" operator="equal">
      <formula>0</formula>
    </cfRule>
  </conditionalFormatting>
  <conditionalFormatting sqref="L41">
    <cfRule type="cellIs" dxfId="596" priority="23" operator="equal">
      <formula>0</formula>
    </cfRule>
  </conditionalFormatting>
  <conditionalFormatting sqref="L2 L43:L1048576">
    <cfRule type="cellIs" dxfId="595" priority="22" operator="equal">
      <formula>0</formula>
    </cfRule>
  </conditionalFormatting>
  <conditionalFormatting sqref="K3">
    <cfRule type="cellIs" dxfId="594" priority="21" operator="equal">
      <formula>0</formula>
    </cfRule>
  </conditionalFormatting>
  <conditionalFormatting sqref="L3">
    <cfRule type="cellIs" dxfId="593" priority="20" operator="equal">
      <formula>0</formula>
    </cfRule>
  </conditionalFormatting>
  <conditionalFormatting sqref="M8:M40">
    <cfRule type="cellIs" dxfId="592" priority="14" operator="equal">
      <formula>0</formula>
    </cfRule>
  </conditionalFormatting>
  <conditionalFormatting sqref="M4">
    <cfRule type="cellIs" dxfId="591" priority="13" operator="equal">
      <formula>0</formula>
    </cfRule>
  </conditionalFormatting>
  <conditionalFormatting sqref="M5:M7">
    <cfRule type="cellIs" dxfId="590" priority="12" operator="equal">
      <formula>0</formula>
    </cfRule>
  </conditionalFormatting>
  <conditionalFormatting sqref="M41">
    <cfRule type="cellIs" dxfId="589" priority="11" operator="equal">
      <formula>0</formula>
    </cfRule>
  </conditionalFormatting>
  <conditionalFormatting sqref="M2 M43:M1048576">
    <cfRule type="cellIs" dxfId="588" priority="10" operator="equal">
      <formula>0</formula>
    </cfRule>
  </conditionalFormatting>
  <conditionalFormatting sqref="M3">
    <cfRule type="cellIs" dxfId="587" priority="9"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2">
    <tabColor indexed="26"/>
    <pageSetUpPr fitToPage="1"/>
  </sheetPr>
  <dimension ref="A1:GI25"/>
  <sheetViews>
    <sheetView showGridLines="0" workbookViewId="0">
      <selection sqref="A1:M1"/>
    </sheetView>
  </sheetViews>
  <sheetFormatPr defaultColWidth="9.140625" defaultRowHeight="15.75" customHeight="1"/>
  <cols>
    <col min="1" max="1" width="17.140625" style="81" customWidth="1"/>
    <col min="2" max="4" width="6.42578125" style="86" customWidth="1"/>
    <col min="5" max="12" width="6.42578125" style="81" customWidth="1"/>
    <col min="13" max="191" width="9.140625" style="81"/>
    <col min="192" max="16384" width="9.140625" style="8"/>
  </cols>
  <sheetData>
    <row r="1" spans="1:48" s="88" customFormat="1" ht="28.5" customHeight="1">
      <c r="A1" s="765" t="s">
        <v>715</v>
      </c>
      <c r="B1" s="765"/>
      <c r="C1" s="765"/>
      <c r="D1" s="765"/>
      <c r="E1" s="765"/>
      <c r="F1" s="765"/>
      <c r="G1" s="765"/>
      <c r="H1" s="765"/>
      <c r="I1" s="765"/>
      <c r="J1" s="765"/>
      <c r="K1" s="765"/>
      <c r="L1" s="765"/>
    </row>
    <row r="2" spans="1:48" s="4" customFormat="1" ht="15" customHeight="1">
      <c r="A2" s="291"/>
      <c r="B2" s="292"/>
      <c r="C2" s="292"/>
      <c r="D2" s="292"/>
      <c r="E2" s="176"/>
      <c r="F2" s="176"/>
      <c r="G2" s="176"/>
      <c r="H2" s="176"/>
      <c r="I2" s="176"/>
      <c r="J2" s="176"/>
      <c r="K2" s="176"/>
      <c r="L2" s="176"/>
    </row>
    <row r="3" spans="1:48" s="4" customFormat="1" ht="15" customHeight="1">
      <c r="A3" s="13" t="s">
        <v>14</v>
      </c>
      <c r="B3" s="233"/>
      <c r="C3" s="233"/>
      <c r="E3" s="332"/>
      <c r="F3" s="332"/>
      <c r="G3" s="332"/>
      <c r="H3" s="332"/>
      <c r="I3" s="332"/>
      <c r="J3" s="332"/>
      <c r="K3" s="332"/>
      <c r="L3" s="332" t="s">
        <v>68</v>
      </c>
    </row>
    <row r="4" spans="1:48" s="4" customFormat="1" ht="28.5" customHeight="1" thickBot="1">
      <c r="A4" s="15"/>
      <c r="B4" s="16">
        <v>2013</v>
      </c>
      <c r="C4" s="16">
        <v>2014</v>
      </c>
      <c r="D4" s="16">
        <v>2015</v>
      </c>
      <c r="E4" s="16">
        <v>2016</v>
      </c>
      <c r="F4" s="16">
        <v>2017</v>
      </c>
      <c r="G4" s="16">
        <v>2018</v>
      </c>
      <c r="H4" s="16">
        <v>2019</v>
      </c>
      <c r="I4" s="16">
        <v>2020</v>
      </c>
      <c r="J4" s="16">
        <v>2021</v>
      </c>
      <c r="K4" s="16">
        <v>2022</v>
      </c>
      <c r="L4" s="16">
        <v>2023</v>
      </c>
      <c r="O4" s="448"/>
      <c r="P4" s="648">
        <f>+B4</f>
        <v>2013</v>
      </c>
      <c r="Q4" s="648">
        <f t="shared" ref="Q4:W4" si="0">+C4</f>
        <v>2014</v>
      </c>
      <c r="R4" s="648">
        <f t="shared" si="0"/>
        <v>2015</v>
      </c>
      <c r="S4" s="648">
        <f t="shared" si="0"/>
        <v>2016</v>
      </c>
      <c r="T4" s="648">
        <f t="shared" si="0"/>
        <v>2017</v>
      </c>
      <c r="U4" s="648">
        <f t="shared" si="0"/>
        <v>2018</v>
      </c>
      <c r="V4" s="648">
        <f t="shared" si="0"/>
        <v>2019</v>
      </c>
      <c r="W4" s="648">
        <f t="shared" si="0"/>
        <v>2020</v>
      </c>
      <c r="X4" s="648">
        <f>+J4</f>
        <v>2021</v>
      </c>
      <c r="Y4" s="648">
        <f t="shared" ref="Y4:Z4" si="1">+K4</f>
        <v>2022</v>
      </c>
      <c r="Z4" s="648">
        <f t="shared" si="1"/>
        <v>2023</v>
      </c>
      <c r="AA4" s="648">
        <f>+B4</f>
        <v>2013</v>
      </c>
      <c r="AB4" s="648">
        <f t="shared" ref="AB4:AJ4" si="2">+C4</f>
        <v>2014</v>
      </c>
      <c r="AC4" s="648">
        <f t="shared" si="2"/>
        <v>2015</v>
      </c>
      <c r="AD4" s="648">
        <f t="shared" si="2"/>
        <v>2016</v>
      </c>
      <c r="AE4" s="648">
        <f t="shared" si="2"/>
        <v>2017</v>
      </c>
      <c r="AF4" s="648">
        <f t="shared" si="2"/>
        <v>2018</v>
      </c>
      <c r="AG4" s="648">
        <f t="shared" si="2"/>
        <v>2019</v>
      </c>
      <c r="AH4" s="648">
        <f t="shared" si="2"/>
        <v>2020</v>
      </c>
      <c r="AI4" s="648">
        <f t="shared" si="2"/>
        <v>2021</v>
      </c>
      <c r="AJ4" s="648">
        <f t="shared" si="2"/>
        <v>2022</v>
      </c>
      <c r="AK4" s="648">
        <f>+L4</f>
        <v>2023</v>
      </c>
      <c r="AL4" s="648">
        <f>+B4</f>
        <v>2013</v>
      </c>
      <c r="AM4" s="648">
        <f t="shared" ref="AM4:AV4" si="3">+C4</f>
        <v>2014</v>
      </c>
      <c r="AN4" s="648">
        <f t="shared" si="3"/>
        <v>2015</v>
      </c>
      <c r="AO4" s="648">
        <f t="shared" si="3"/>
        <v>2016</v>
      </c>
      <c r="AP4" s="648">
        <f t="shared" si="3"/>
        <v>2017</v>
      </c>
      <c r="AQ4" s="648">
        <f t="shared" si="3"/>
        <v>2018</v>
      </c>
      <c r="AR4" s="648">
        <f t="shared" si="3"/>
        <v>2019</v>
      </c>
      <c r="AS4" s="648">
        <f t="shared" si="3"/>
        <v>2020</v>
      </c>
      <c r="AT4" s="648">
        <f t="shared" si="3"/>
        <v>2021</v>
      </c>
      <c r="AU4" s="648">
        <f t="shared" si="3"/>
        <v>2022</v>
      </c>
      <c r="AV4" s="648">
        <f t="shared" si="3"/>
        <v>2023</v>
      </c>
    </row>
    <row r="5" spans="1:48" s="4" customFormat="1" ht="20.25" customHeight="1" thickTop="1">
      <c r="A5" s="17" t="s">
        <v>12</v>
      </c>
      <c r="B5" s="383">
        <v>912.18</v>
      </c>
      <c r="C5" s="383">
        <v>909.49</v>
      </c>
      <c r="D5" s="383">
        <v>913.93</v>
      </c>
      <c r="E5" s="383">
        <v>924.94</v>
      </c>
      <c r="F5" s="383">
        <v>943</v>
      </c>
      <c r="G5" s="383">
        <v>970.42</v>
      </c>
      <c r="H5" s="383">
        <v>1005.09</v>
      </c>
      <c r="I5" s="383">
        <v>1041.99</v>
      </c>
      <c r="J5" s="383">
        <v>1082.77</v>
      </c>
      <c r="K5" s="383">
        <v>1143.45</v>
      </c>
      <c r="L5" s="383">
        <v>1219.8699999999999</v>
      </c>
    </row>
    <row r="6" spans="1:48" s="4" customFormat="1" ht="20.25" customHeight="1">
      <c r="A6" s="17" t="s">
        <v>15</v>
      </c>
      <c r="B6" s="385">
        <v>814.32</v>
      </c>
      <c r="C6" s="385">
        <v>822.65</v>
      </c>
      <c r="D6" s="385">
        <v>833.48</v>
      </c>
      <c r="E6" s="385">
        <v>848.25</v>
      </c>
      <c r="F6" s="385">
        <v>866.17</v>
      </c>
      <c r="G6" s="385">
        <v>898.45</v>
      </c>
      <c r="H6" s="385">
        <v>933.57</v>
      </c>
      <c r="I6" s="385">
        <v>962.64</v>
      </c>
      <c r="J6" s="385">
        <v>993.48</v>
      </c>
      <c r="K6" s="385">
        <v>1052.8</v>
      </c>
      <c r="L6" s="385">
        <v>1126.52</v>
      </c>
      <c r="N6" s="647">
        <f>+(L6/B6-1)*100</f>
        <v>38.33873661459868</v>
      </c>
      <c r="O6" s="497">
        <f t="shared" ref="O6:O10" si="4">+L6-B6</f>
        <v>312.19999999999993</v>
      </c>
      <c r="P6" s="647">
        <f>B6*100/B$5</f>
        <v>89.271854239294882</v>
      </c>
      <c r="Q6" s="647">
        <f t="shared" ref="Q6:Z21" si="5">C6*100/C$5</f>
        <v>90.451791663459744</v>
      </c>
      <c r="R6" s="647">
        <f t="shared" si="5"/>
        <v>91.197356471502204</v>
      </c>
      <c r="S6" s="647">
        <f t="shared" si="5"/>
        <v>91.708651371980878</v>
      </c>
      <c r="T6" s="647">
        <f t="shared" si="5"/>
        <v>91.852598091198303</v>
      </c>
      <c r="U6" s="647">
        <f t="shared" si="5"/>
        <v>92.583623585663943</v>
      </c>
      <c r="V6" s="647">
        <f t="shared" si="5"/>
        <v>92.884219323642654</v>
      </c>
      <c r="W6" s="647">
        <f t="shared" si="5"/>
        <v>92.384763769326</v>
      </c>
      <c r="X6" s="647">
        <f t="shared" si="5"/>
        <v>91.753558004008241</v>
      </c>
      <c r="Y6" s="647">
        <f t="shared" si="5"/>
        <v>92.072237526782985</v>
      </c>
      <c r="Z6" s="647">
        <f t="shared" si="5"/>
        <v>92.347545230229457</v>
      </c>
      <c r="AA6" s="4">
        <f>+RANK(B6,B$6:B$23,0)</f>
        <v>5</v>
      </c>
      <c r="AB6" s="4">
        <f t="shared" ref="AB6:AK21" si="6">+RANK(C6,C$6:C$23,0)</f>
        <v>4</v>
      </c>
      <c r="AC6" s="4">
        <f t="shared" si="6"/>
        <v>4</v>
      </c>
      <c r="AD6" s="4">
        <f t="shared" si="6"/>
        <v>4</v>
      </c>
      <c r="AE6" s="4">
        <f t="shared" si="6"/>
        <v>4</v>
      </c>
      <c r="AF6" s="4">
        <f t="shared" si="6"/>
        <v>4</v>
      </c>
      <c r="AG6" s="4">
        <f t="shared" si="6"/>
        <v>4</v>
      </c>
      <c r="AH6" s="4">
        <f t="shared" si="6"/>
        <v>4</v>
      </c>
      <c r="AI6" s="4">
        <f t="shared" si="6"/>
        <v>4</v>
      </c>
      <c r="AJ6" s="4">
        <f t="shared" si="6"/>
        <v>4</v>
      </c>
      <c r="AK6" s="4">
        <f>+RANK(L6,L$6:L$23,0)</f>
        <v>4</v>
      </c>
      <c r="AL6" s="647">
        <f>+(B6/B$5-1)*100</f>
        <v>-10.728145760705111</v>
      </c>
      <c r="AM6" s="647">
        <f t="shared" ref="AM6:AV6" si="7">+(C6/C$5-1)*100</f>
        <v>-9.5482083365402648</v>
      </c>
      <c r="AN6" s="647">
        <f t="shared" si="7"/>
        <v>-8.8026435284978</v>
      </c>
      <c r="AO6" s="647">
        <f t="shared" si="7"/>
        <v>-8.291348628019124</v>
      </c>
      <c r="AP6" s="647">
        <f t="shared" si="7"/>
        <v>-8.1474019088016991</v>
      </c>
      <c r="AQ6" s="647">
        <f t="shared" si="7"/>
        <v>-7.4163764143360567</v>
      </c>
      <c r="AR6" s="647">
        <f t="shared" si="7"/>
        <v>-7.1157806763573417</v>
      </c>
      <c r="AS6" s="647">
        <f t="shared" si="7"/>
        <v>-7.6152362306740056</v>
      </c>
      <c r="AT6" s="647">
        <f t="shared" si="7"/>
        <v>-8.2464419959917592</v>
      </c>
      <c r="AU6" s="647">
        <f t="shared" si="7"/>
        <v>-7.927762473217026</v>
      </c>
      <c r="AV6" s="647">
        <f t="shared" si="7"/>
        <v>-7.6524547697705447</v>
      </c>
    </row>
    <row r="7" spans="1:48" s="4" customFormat="1" ht="15" customHeight="1">
      <c r="A7" s="17" t="s">
        <v>16</v>
      </c>
      <c r="B7" s="385">
        <v>768.29</v>
      </c>
      <c r="C7" s="385">
        <v>766.65</v>
      </c>
      <c r="D7" s="385">
        <v>771.56</v>
      </c>
      <c r="E7" s="385">
        <v>774.75</v>
      </c>
      <c r="F7" s="385">
        <v>798.43</v>
      </c>
      <c r="G7" s="385">
        <v>825.41</v>
      </c>
      <c r="H7" s="385">
        <v>846.78</v>
      </c>
      <c r="I7" s="385">
        <v>870.72</v>
      </c>
      <c r="J7" s="385">
        <v>905.26</v>
      </c>
      <c r="K7" s="385">
        <v>947.74</v>
      </c>
      <c r="L7" s="385">
        <v>1003.83</v>
      </c>
      <c r="N7" s="647">
        <f t="shared" ref="N7:N23" si="8">+(L7/B7-1)*100</f>
        <v>30.657694360202537</v>
      </c>
      <c r="O7" s="497">
        <f t="shared" si="4"/>
        <v>235.54000000000008</v>
      </c>
      <c r="P7" s="647">
        <f t="shared" ref="P7:Z23" si="9">B7*100/B$5</f>
        <v>84.225701067771723</v>
      </c>
      <c r="Q7" s="647">
        <f t="shared" si="5"/>
        <v>84.294494716819315</v>
      </c>
      <c r="R7" s="647">
        <f t="shared" si="5"/>
        <v>84.422220520171138</v>
      </c>
      <c r="S7" s="647">
        <f t="shared" si="5"/>
        <v>83.762189979890579</v>
      </c>
      <c r="T7" s="647">
        <f t="shared" si="5"/>
        <v>84.669141039236479</v>
      </c>
      <c r="U7" s="647">
        <f t="shared" si="5"/>
        <v>85.056985635085837</v>
      </c>
      <c r="V7" s="647">
        <f t="shared" si="5"/>
        <v>84.24917171596573</v>
      </c>
      <c r="W7" s="647">
        <f t="shared" si="5"/>
        <v>83.563181988310831</v>
      </c>
      <c r="X7" s="647">
        <f t="shared" si="5"/>
        <v>83.6059366255068</v>
      </c>
      <c r="Y7" s="647">
        <f t="shared" si="5"/>
        <v>82.884253793344698</v>
      </c>
      <c r="Z7" s="647">
        <f t="shared" si="5"/>
        <v>82.289916138604937</v>
      </c>
      <c r="AA7" s="4">
        <f t="shared" ref="AA7:AK23" si="10">+RANK(B7,B$6:B$23,0)</f>
        <v>10</v>
      </c>
      <c r="AB7" s="4">
        <f t="shared" si="6"/>
        <v>10</v>
      </c>
      <c r="AC7" s="4">
        <f t="shared" si="6"/>
        <v>10</v>
      </c>
      <c r="AD7" s="4">
        <f t="shared" si="6"/>
        <v>10</v>
      </c>
      <c r="AE7" s="4">
        <f t="shared" si="6"/>
        <v>10</v>
      </c>
      <c r="AF7" s="4">
        <f t="shared" si="6"/>
        <v>10</v>
      </c>
      <c r="AG7" s="4">
        <f t="shared" si="6"/>
        <v>11</v>
      </c>
      <c r="AH7" s="4">
        <f t="shared" si="6"/>
        <v>11</v>
      </c>
      <c r="AI7" s="4">
        <f t="shared" si="6"/>
        <v>12</v>
      </c>
      <c r="AJ7" s="4">
        <f t="shared" si="6"/>
        <v>12</v>
      </c>
      <c r="AK7" s="4">
        <f t="shared" si="6"/>
        <v>12</v>
      </c>
      <c r="AL7" s="647">
        <f t="shared" ref="AL7:AL23" si="11">+(B7/B$5-1)*100</f>
        <v>-15.774298932228293</v>
      </c>
      <c r="AM7" s="647">
        <f t="shared" ref="AM7:AM23" si="12">+(C7/C$5-1)*100</f>
        <v>-15.705505283180688</v>
      </c>
      <c r="AN7" s="647">
        <f t="shared" ref="AN7:AN23" si="13">+(D7/D$5-1)*100</f>
        <v>-15.577779479828868</v>
      </c>
      <c r="AO7" s="647">
        <f t="shared" ref="AO7:AO23" si="14">+(E7/E$5-1)*100</f>
        <v>-16.237810020109421</v>
      </c>
      <c r="AP7" s="647">
        <f t="shared" ref="AP7:AP23" si="15">+(F7/F$5-1)*100</f>
        <v>-15.330858960763527</v>
      </c>
      <c r="AQ7" s="647">
        <f t="shared" ref="AQ7:AQ23" si="16">+(G7/G$5-1)*100</f>
        <v>-14.943014364914164</v>
      </c>
      <c r="AR7" s="647">
        <f t="shared" ref="AR7:AR23" si="17">+(H7/H$5-1)*100</f>
        <v>-15.750828284034268</v>
      </c>
      <c r="AS7" s="647">
        <f t="shared" ref="AS7:AS23" si="18">+(I7/I$5-1)*100</f>
        <v>-16.436818011689169</v>
      </c>
      <c r="AT7" s="647">
        <f t="shared" ref="AT7:AT23" si="19">+(J7/J$5-1)*100</f>
        <v>-16.394063374493197</v>
      </c>
      <c r="AU7" s="647">
        <f t="shared" ref="AU7:AU23" si="20">+(K7/K$5-1)*100</f>
        <v>-17.115746206655302</v>
      </c>
      <c r="AV7" s="647">
        <f t="shared" ref="AV7:AV23" si="21">+(L7/L$5-1)*100</f>
        <v>-17.710083861395056</v>
      </c>
    </row>
    <row r="8" spans="1:48" s="4" customFormat="1" ht="15" customHeight="1">
      <c r="A8" s="17" t="s">
        <v>66</v>
      </c>
      <c r="B8" s="385">
        <v>732.12</v>
      </c>
      <c r="C8" s="385">
        <v>739.18</v>
      </c>
      <c r="D8" s="385">
        <v>743.72</v>
      </c>
      <c r="E8" s="385">
        <v>761.02</v>
      </c>
      <c r="F8" s="385">
        <v>787.65</v>
      </c>
      <c r="G8" s="385">
        <v>818.11</v>
      </c>
      <c r="H8" s="385">
        <v>855.14</v>
      </c>
      <c r="I8" s="385">
        <v>897.25</v>
      </c>
      <c r="J8" s="385">
        <v>943.61</v>
      </c>
      <c r="K8" s="385">
        <v>988</v>
      </c>
      <c r="L8" s="385">
        <v>1059.8900000000001</v>
      </c>
      <c r="N8" s="647">
        <f t="shared" si="8"/>
        <v>44.769983062885885</v>
      </c>
      <c r="O8" s="497">
        <f t="shared" si="4"/>
        <v>327.7700000000001</v>
      </c>
      <c r="P8" s="647">
        <f t="shared" si="9"/>
        <v>80.260474906268499</v>
      </c>
      <c r="Q8" s="647">
        <f t="shared" si="5"/>
        <v>81.274120661029812</v>
      </c>
      <c r="R8" s="647">
        <f t="shared" si="5"/>
        <v>81.376035363758717</v>
      </c>
      <c r="S8" s="647">
        <f t="shared" si="5"/>
        <v>82.277769368823925</v>
      </c>
      <c r="T8" s="647">
        <f t="shared" si="5"/>
        <v>83.525980911983027</v>
      </c>
      <c r="U8" s="647">
        <f t="shared" si="5"/>
        <v>84.304734032686881</v>
      </c>
      <c r="V8" s="647">
        <f t="shared" si="5"/>
        <v>85.08093802545045</v>
      </c>
      <c r="W8" s="647">
        <f t="shared" si="5"/>
        <v>86.109271682069888</v>
      </c>
      <c r="X8" s="647">
        <f t="shared" si="5"/>
        <v>87.14777838322081</v>
      </c>
      <c r="Y8" s="647">
        <f t="shared" si="5"/>
        <v>86.405177314268215</v>
      </c>
      <c r="Z8" s="647">
        <f t="shared" si="5"/>
        <v>86.885487797880117</v>
      </c>
      <c r="AA8" s="4">
        <f t="shared" si="10"/>
        <v>14</v>
      </c>
      <c r="AB8" s="4">
        <f t="shared" si="6"/>
        <v>13</v>
      </c>
      <c r="AC8" s="4">
        <f t="shared" si="6"/>
        <v>13</v>
      </c>
      <c r="AD8" s="4">
        <f t="shared" si="6"/>
        <v>12</v>
      </c>
      <c r="AE8" s="4">
        <f t="shared" si="6"/>
        <v>11</v>
      </c>
      <c r="AF8" s="4">
        <f t="shared" si="6"/>
        <v>11</v>
      </c>
      <c r="AG8" s="4">
        <f t="shared" si="6"/>
        <v>10</v>
      </c>
      <c r="AH8" s="4">
        <f t="shared" si="6"/>
        <v>9</v>
      </c>
      <c r="AI8" s="4">
        <f t="shared" si="6"/>
        <v>7</v>
      </c>
      <c r="AJ8" s="4">
        <f t="shared" si="6"/>
        <v>7</v>
      </c>
      <c r="AK8" s="4">
        <f t="shared" si="6"/>
        <v>7</v>
      </c>
      <c r="AL8" s="647">
        <f t="shared" si="11"/>
        <v>-19.739525093731491</v>
      </c>
      <c r="AM8" s="647">
        <f t="shared" si="12"/>
        <v>-18.725879338970199</v>
      </c>
      <c r="AN8" s="647">
        <f t="shared" si="13"/>
        <v>-18.623964636241276</v>
      </c>
      <c r="AO8" s="647">
        <f t="shared" si="14"/>
        <v>-17.722230631176082</v>
      </c>
      <c r="AP8" s="647">
        <f t="shared" si="15"/>
        <v>-16.474019088016966</v>
      </c>
      <c r="AQ8" s="647">
        <f t="shared" si="16"/>
        <v>-15.695265967313121</v>
      </c>
      <c r="AR8" s="647">
        <f t="shared" si="17"/>
        <v>-14.919061974549553</v>
      </c>
      <c r="AS8" s="647">
        <f t="shared" si="18"/>
        <v>-13.890728317930112</v>
      </c>
      <c r="AT8" s="647">
        <f t="shared" si="19"/>
        <v>-12.852221616779181</v>
      </c>
      <c r="AU8" s="647">
        <f t="shared" si="20"/>
        <v>-13.594822685731778</v>
      </c>
      <c r="AV8" s="647">
        <f t="shared" si="21"/>
        <v>-13.114512202119876</v>
      </c>
    </row>
    <row r="9" spans="1:48" s="4" customFormat="1" ht="15" customHeight="1">
      <c r="A9" s="17" t="s">
        <v>17</v>
      </c>
      <c r="B9" s="385">
        <v>715.55</v>
      </c>
      <c r="C9" s="385">
        <v>706.01</v>
      </c>
      <c r="D9" s="385">
        <v>708.23</v>
      </c>
      <c r="E9" s="385">
        <v>726.98</v>
      </c>
      <c r="F9" s="385">
        <v>745.83</v>
      </c>
      <c r="G9" s="385">
        <v>766.61</v>
      </c>
      <c r="H9" s="385">
        <v>793.8</v>
      </c>
      <c r="I9" s="385">
        <v>827.36</v>
      </c>
      <c r="J9" s="385">
        <v>858.77</v>
      </c>
      <c r="K9" s="385">
        <v>892.75</v>
      </c>
      <c r="L9" s="385">
        <v>958.36</v>
      </c>
      <c r="N9" s="647">
        <f t="shared" si="8"/>
        <v>33.933337991754598</v>
      </c>
      <c r="O9" s="497">
        <f t="shared" si="4"/>
        <v>242.81000000000006</v>
      </c>
      <c r="P9" s="647">
        <f t="shared" si="9"/>
        <v>78.443947466508803</v>
      </c>
      <c r="Q9" s="647">
        <f t="shared" si="5"/>
        <v>77.627021737457255</v>
      </c>
      <c r="R9" s="647">
        <f t="shared" si="5"/>
        <v>77.492805794754531</v>
      </c>
      <c r="S9" s="647">
        <f t="shared" si="5"/>
        <v>78.597530650636799</v>
      </c>
      <c r="T9" s="647">
        <f t="shared" si="5"/>
        <v>79.091198303287385</v>
      </c>
      <c r="U9" s="647">
        <f t="shared" si="5"/>
        <v>78.997753550009278</v>
      </c>
      <c r="V9" s="647">
        <f t="shared" si="5"/>
        <v>78.978001969972837</v>
      </c>
      <c r="W9" s="647">
        <f t="shared" si="5"/>
        <v>79.401913646004274</v>
      </c>
      <c r="X9" s="647">
        <f t="shared" si="5"/>
        <v>79.312319329128073</v>
      </c>
      <c r="Y9" s="647">
        <f t="shared" si="5"/>
        <v>78.075123529668986</v>
      </c>
      <c r="Z9" s="647">
        <f t="shared" si="5"/>
        <v>78.562469771369081</v>
      </c>
      <c r="AA9" s="4">
        <f t="shared" si="10"/>
        <v>16</v>
      </c>
      <c r="AB9" s="4">
        <f t="shared" si="6"/>
        <v>17</v>
      </c>
      <c r="AC9" s="4">
        <f t="shared" si="6"/>
        <v>17</v>
      </c>
      <c r="AD9" s="4">
        <f t="shared" si="6"/>
        <v>17</v>
      </c>
      <c r="AE9" s="4">
        <f t="shared" si="6"/>
        <v>17</v>
      </c>
      <c r="AF9" s="4">
        <f t="shared" si="6"/>
        <v>18</v>
      </c>
      <c r="AG9" s="4">
        <f t="shared" si="6"/>
        <v>18</v>
      </c>
      <c r="AH9" s="4">
        <f t="shared" si="6"/>
        <v>17</v>
      </c>
      <c r="AI9" s="4">
        <f t="shared" si="6"/>
        <v>18</v>
      </c>
      <c r="AJ9" s="4">
        <f t="shared" si="6"/>
        <v>18</v>
      </c>
      <c r="AK9" s="4">
        <f t="shared" si="6"/>
        <v>18</v>
      </c>
      <c r="AL9" s="647">
        <f t="shared" si="11"/>
        <v>-21.556052533491197</v>
      </c>
      <c r="AM9" s="647">
        <f t="shared" si="12"/>
        <v>-22.372978262542741</v>
      </c>
      <c r="AN9" s="647">
        <f t="shared" si="13"/>
        <v>-22.507194205245472</v>
      </c>
      <c r="AO9" s="647">
        <f t="shared" si="14"/>
        <v>-21.402469349363209</v>
      </c>
      <c r="AP9" s="647">
        <f t="shared" si="15"/>
        <v>-20.908801696712619</v>
      </c>
      <c r="AQ9" s="647">
        <f t="shared" si="16"/>
        <v>-21.002246449990725</v>
      </c>
      <c r="AR9" s="647">
        <f t="shared" si="17"/>
        <v>-21.021998030027166</v>
      </c>
      <c r="AS9" s="647">
        <f t="shared" si="18"/>
        <v>-20.598086353995715</v>
      </c>
      <c r="AT9" s="647">
        <f t="shared" si="19"/>
        <v>-20.687680670871934</v>
      </c>
      <c r="AU9" s="647">
        <f t="shared" si="20"/>
        <v>-21.924876470331021</v>
      </c>
      <c r="AV9" s="647">
        <f t="shared" si="21"/>
        <v>-21.437530228630909</v>
      </c>
    </row>
    <row r="10" spans="1:48" s="4" customFormat="1" ht="15" customHeight="1">
      <c r="A10" s="17" t="s">
        <v>18</v>
      </c>
      <c r="B10" s="385">
        <v>714.42</v>
      </c>
      <c r="C10" s="385">
        <v>720.73</v>
      </c>
      <c r="D10" s="385">
        <v>727.47</v>
      </c>
      <c r="E10" s="385">
        <v>746.22</v>
      </c>
      <c r="F10" s="385">
        <v>764.32</v>
      </c>
      <c r="G10" s="385">
        <v>784.68</v>
      </c>
      <c r="H10" s="385">
        <v>816.49</v>
      </c>
      <c r="I10" s="385">
        <v>854.55</v>
      </c>
      <c r="J10" s="385">
        <v>893.36</v>
      </c>
      <c r="K10" s="385">
        <v>932.85</v>
      </c>
      <c r="L10" s="385">
        <v>991.05</v>
      </c>
      <c r="N10" s="647">
        <f t="shared" si="8"/>
        <v>38.720920466952215</v>
      </c>
      <c r="O10" s="497">
        <f t="shared" si="4"/>
        <v>276.63</v>
      </c>
      <c r="P10" s="647">
        <f t="shared" si="9"/>
        <v>78.320068407551148</v>
      </c>
      <c r="Q10" s="647">
        <f t="shared" si="5"/>
        <v>79.245511220574173</v>
      </c>
      <c r="R10" s="647">
        <f t="shared" si="5"/>
        <v>79.597999846815412</v>
      </c>
      <c r="S10" s="647">
        <f t="shared" si="5"/>
        <v>80.677665578307781</v>
      </c>
      <c r="T10" s="647">
        <f t="shared" si="5"/>
        <v>81.051961823966067</v>
      </c>
      <c r="U10" s="647">
        <f t="shared" si="5"/>
        <v>80.859833886358487</v>
      </c>
      <c r="V10" s="647">
        <f t="shared" si="5"/>
        <v>81.23551124774896</v>
      </c>
      <c r="W10" s="647">
        <f t="shared" si="5"/>
        <v>82.01134367892206</v>
      </c>
      <c r="X10" s="647">
        <f t="shared" si="5"/>
        <v>82.506903589866738</v>
      </c>
      <c r="Y10" s="647">
        <f t="shared" si="5"/>
        <v>81.582054309327035</v>
      </c>
      <c r="Z10" s="647">
        <f t="shared" si="5"/>
        <v>81.242263519883267</v>
      </c>
      <c r="AA10" s="4">
        <f t="shared" si="10"/>
        <v>17</v>
      </c>
      <c r="AB10" s="4">
        <f t="shared" si="6"/>
        <v>16</v>
      </c>
      <c r="AC10" s="4">
        <f t="shared" si="6"/>
        <v>16</v>
      </c>
      <c r="AD10" s="4">
        <f t="shared" si="6"/>
        <v>16</v>
      </c>
      <c r="AE10" s="4">
        <f t="shared" si="6"/>
        <v>16</v>
      </c>
      <c r="AF10" s="4">
        <f t="shared" si="6"/>
        <v>16</v>
      </c>
      <c r="AG10" s="4">
        <f t="shared" si="6"/>
        <v>16</v>
      </c>
      <c r="AH10" s="4">
        <f t="shared" si="6"/>
        <v>14</v>
      </c>
      <c r="AI10" s="4">
        <f t="shared" si="6"/>
        <v>15</v>
      </c>
      <c r="AJ10" s="4">
        <f t="shared" si="6"/>
        <v>14</v>
      </c>
      <c r="AK10" s="4">
        <f t="shared" si="6"/>
        <v>15</v>
      </c>
      <c r="AL10" s="647">
        <f t="shared" si="11"/>
        <v>-21.679931592448863</v>
      </c>
      <c r="AM10" s="647">
        <f t="shared" si="12"/>
        <v>-20.754488779425827</v>
      </c>
      <c r="AN10" s="647">
        <f t="shared" si="13"/>
        <v>-20.402000153184595</v>
      </c>
      <c r="AO10" s="647">
        <f t="shared" si="14"/>
        <v>-19.322334421692222</v>
      </c>
      <c r="AP10" s="647">
        <f t="shared" si="15"/>
        <v>-18.948038176033933</v>
      </c>
      <c r="AQ10" s="647">
        <f t="shared" si="16"/>
        <v>-19.14016611364152</v>
      </c>
      <c r="AR10" s="647">
        <f t="shared" si="17"/>
        <v>-18.76448875225104</v>
      </c>
      <c r="AS10" s="647">
        <f t="shared" si="18"/>
        <v>-17.988656321077944</v>
      </c>
      <c r="AT10" s="647">
        <f t="shared" si="19"/>
        <v>-17.493096410133269</v>
      </c>
      <c r="AU10" s="647">
        <f t="shared" si="20"/>
        <v>-18.417945690672965</v>
      </c>
      <c r="AV10" s="647">
        <f t="shared" si="21"/>
        <v>-18.757736480116726</v>
      </c>
    </row>
    <row r="11" spans="1:48" s="4" customFormat="1" ht="15" customHeight="1">
      <c r="A11" s="17" t="s">
        <v>19</v>
      </c>
      <c r="B11" s="385">
        <v>816.65</v>
      </c>
      <c r="C11" s="385">
        <v>802.91</v>
      </c>
      <c r="D11" s="385">
        <v>802.08</v>
      </c>
      <c r="E11" s="385">
        <v>816.41</v>
      </c>
      <c r="F11" s="385">
        <v>834.25</v>
      </c>
      <c r="G11" s="385">
        <v>862.98</v>
      </c>
      <c r="H11" s="385">
        <v>896.42</v>
      </c>
      <c r="I11" s="385">
        <v>924.4</v>
      </c>
      <c r="J11" s="385">
        <v>969.39</v>
      </c>
      <c r="K11" s="385">
        <v>1016.07</v>
      </c>
      <c r="L11" s="385">
        <v>1085.1500000000001</v>
      </c>
      <c r="N11" s="647">
        <f t="shared" si="8"/>
        <v>32.87822200453072</v>
      </c>
      <c r="O11" s="497">
        <f t="shared" ref="O11:O23" si="22">+L11-B11</f>
        <v>268.50000000000011</v>
      </c>
      <c r="P11" s="647">
        <f t="shared" si="9"/>
        <v>89.527286281216433</v>
      </c>
      <c r="Q11" s="647">
        <f t="shared" si="5"/>
        <v>88.281344489768998</v>
      </c>
      <c r="R11" s="647">
        <f t="shared" si="5"/>
        <v>87.761644764916355</v>
      </c>
      <c r="S11" s="647">
        <f t="shared" si="5"/>
        <v>88.266265919951564</v>
      </c>
      <c r="T11" s="647">
        <f t="shared" si="5"/>
        <v>88.467656415694591</v>
      </c>
      <c r="U11" s="647">
        <f t="shared" si="5"/>
        <v>88.928505183322685</v>
      </c>
      <c r="V11" s="647">
        <f t="shared" si="5"/>
        <v>89.188032912475492</v>
      </c>
      <c r="W11" s="647">
        <f t="shared" si="5"/>
        <v>88.714862906553805</v>
      </c>
      <c r="X11" s="647">
        <f t="shared" si="5"/>
        <v>89.528708774716705</v>
      </c>
      <c r="Y11" s="647">
        <f t="shared" si="5"/>
        <v>88.860028860028862</v>
      </c>
      <c r="Z11" s="647">
        <f t="shared" si="5"/>
        <v>88.956200250846422</v>
      </c>
      <c r="AA11" s="4">
        <f t="shared" si="10"/>
        <v>4</v>
      </c>
      <c r="AB11" s="4">
        <f t="shared" si="6"/>
        <v>5</v>
      </c>
      <c r="AC11" s="4">
        <f t="shared" si="6"/>
        <v>5</v>
      </c>
      <c r="AD11" s="4">
        <f t="shared" si="6"/>
        <v>5</v>
      </c>
      <c r="AE11" s="4">
        <f t="shared" si="6"/>
        <v>5</v>
      </c>
      <c r="AF11" s="4">
        <f t="shared" si="6"/>
        <v>5</v>
      </c>
      <c r="AG11" s="4">
        <f t="shared" si="6"/>
        <v>5</v>
      </c>
      <c r="AH11" s="4">
        <f t="shared" si="6"/>
        <v>5</v>
      </c>
      <c r="AI11" s="4">
        <f t="shared" si="6"/>
        <v>5</v>
      </c>
      <c r="AJ11" s="4">
        <f t="shared" si="6"/>
        <v>5</v>
      </c>
      <c r="AK11" s="4">
        <f t="shared" si="6"/>
        <v>5</v>
      </c>
      <c r="AL11" s="647">
        <f t="shared" si="11"/>
        <v>-10.472713718783567</v>
      </c>
      <c r="AM11" s="647">
        <f t="shared" si="12"/>
        <v>-11.718655510231013</v>
      </c>
      <c r="AN11" s="647">
        <f t="shared" si="13"/>
        <v>-12.238355235083642</v>
      </c>
      <c r="AO11" s="647">
        <f t="shared" si="14"/>
        <v>-11.733734080048441</v>
      </c>
      <c r="AP11" s="647">
        <f t="shared" si="15"/>
        <v>-11.532343584305405</v>
      </c>
      <c r="AQ11" s="647">
        <f t="shared" si="16"/>
        <v>-11.071494816677308</v>
      </c>
      <c r="AR11" s="647">
        <f t="shared" si="17"/>
        <v>-10.81196708752451</v>
      </c>
      <c r="AS11" s="647">
        <f t="shared" si="18"/>
        <v>-11.285137093446195</v>
      </c>
      <c r="AT11" s="647">
        <f t="shared" si="19"/>
        <v>-10.471291225283297</v>
      </c>
      <c r="AU11" s="647">
        <f t="shared" si="20"/>
        <v>-11.139971139971138</v>
      </c>
      <c r="AV11" s="647">
        <f t="shared" si="21"/>
        <v>-11.043799749153582</v>
      </c>
    </row>
    <row r="12" spans="1:48" s="4" customFormat="1" ht="15" customHeight="1">
      <c r="A12" s="17" t="s">
        <v>20</v>
      </c>
      <c r="B12" s="385">
        <v>789.17</v>
      </c>
      <c r="C12" s="385">
        <v>791.91</v>
      </c>
      <c r="D12" s="385">
        <v>796.55</v>
      </c>
      <c r="E12" s="385">
        <v>804.02</v>
      </c>
      <c r="F12" s="385">
        <v>819.6</v>
      </c>
      <c r="G12" s="385">
        <v>839.16</v>
      </c>
      <c r="H12" s="385">
        <v>861.13</v>
      </c>
      <c r="I12" s="385">
        <v>898.01</v>
      </c>
      <c r="J12" s="385">
        <v>931.83</v>
      </c>
      <c r="K12" s="385">
        <v>984.11</v>
      </c>
      <c r="L12" s="385">
        <v>1049.8499999999999</v>
      </c>
      <c r="N12" s="647">
        <f t="shared" si="8"/>
        <v>33.032173042563699</v>
      </c>
      <c r="O12" s="497">
        <f t="shared" si="22"/>
        <v>260.67999999999995</v>
      </c>
      <c r="P12" s="647">
        <f t="shared" si="9"/>
        <v>86.514722971343375</v>
      </c>
      <c r="Q12" s="647">
        <f t="shared" si="5"/>
        <v>87.071875446678902</v>
      </c>
      <c r="R12" s="647">
        <f t="shared" si="5"/>
        <v>87.156565601304266</v>
      </c>
      <c r="S12" s="647">
        <f t="shared" si="5"/>
        <v>86.926719570999197</v>
      </c>
      <c r="T12" s="647">
        <f t="shared" si="5"/>
        <v>86.914103923647929</v>
      </c>
      <c r="U12" s="647">
        <f t="shared" si="5"/>
        <v>86.473897899878409</v>
      </c>
      <c r="V12" s="647">
        <f t="shared" si="5"/>
        <v>85.676904555810921</v>
      </c>
      <c r="W12" s="647">
        <f t="shared" si="5"/>
        <v>86.182209042313261</v>
      </c>
      <c r="X12" s="647">
        <f t="shared" si="5"/>
        <v>86.059828033654426</v>
      </c>
      <c r="Y12" s="647">
        <f t="shared" si="5"/>
        <v>86.064978792251523</v>
      </c>
      <c r="Z12" s="647">
        <f t="shared" si="5"/>
        <v>86.062449277382015</v>
      </c>
      <c r="AA12" s="4">
        <f t="shared" si="10"/>
        <v>6</v>
      </c>
      <c r="AB12" s="4">
        <f t="shared" si="6"/>
        <v>7</v>
      </c>
      <c r="AC12" s="4">
        <f t="shared" si="6"/>
        <v>7</v>
      </c>
      <c r="AD12" s="4">
        <f t="shared" si="6"/>
        <v>7</v>
      </c>
      <c r="AE12" s="4">
        <f t="shared" si="6"/>
        <v>8</v>
      </c>
      <c r="AF12" s="4">
        <f t="shared" si="6"/>
        <v>8</v>
      </c>
      <c r="AG12" s="4">
        <f t="shared" si="6"/>
        <v>9</v>
      </c>
      <c r="AH12" s="4">
        <f t="shared" si="6"/>
        <v>8</v>
      </c>
      <c r="AI12" s="4">
        <f t="shared" si="6"/>
        <v>9</v>
      </c>
      <c r="AJ12" s="4">
        <f t="shared" si="6"/>
        <v>8</v>
      </c>
      <c r="AK12" s="4">
        <f t="shared" si="6"/>
        <v>8</v>
      </c>
      <c r="AL12" s="647">
        <f t="shared" si="11"/>
        <v>-13.485277028656629</v>
      </c>
      <c r="AM12" s="647">
        <f t="shared" si="12"/>
        <v>-12.928124553321096</v>
      </c>
      <c r="AN12" s="647">
        <f t="shared" si="13"/>
        <v>-12.843434398695742</v>
      </c>
      <c r="AO12" s="647">
        <f t="shared" si="14"/>
        <v>-13.07328042900081</v>
      </c>
      <c r="AP12" s="647">
        <f t="shared" si="15"/>
        <v>-13.085896076352066</v>
      </c>
      <c r="AQ12" s="647">
        <f t="shared" si="16"/>
        <v>-13.526102100121594</v>
      </c>
      <c r="AR12" s="647">
        <f t="shared" si="17"/>
        <v>-14.323095444189082</v>
      </c>
      <c r="AS12" s="647">
        <f t="shared" si="18"/>
        <v>-13.817790957686737</v>
      </c>
      <c r="AT12" s="647">
        <f t="shared" si="19"/>
        <v>-13.940171966345572</v>
      </c>
      <c r="AU12" s="647">
        <f t="shared" si="20"/>
        <v>-13.935021207748488</v>
      </c>
      <c r="AV12" s="647">
        <f t="shared" si="21"/>
        <v>-13.937550722617987</v>
      </c>
    </row>
    <row r="13" spans="1:48" s="4" customFormat="1" ht="15" customHeight="1">
      <c r="A13" s="17" t="s">
        <v>21</v>
      </c>
      <c r="B13" s="385">
        <v>785.87</v>
      </c>
      <c r="C13" s="385">
        <v>780.52</v>
      </c>
      <c r="D13" s="385">
        <v>781.12</v>
      </c>
      <c r="E13" s="385">
        <v>793.76</v>
      </c>
      <c r="F13" s="385">
        <v>810.99</v>
      </c>
      <c r="G13" s="385">
        <v>836.09</v>
      </c>
      <c r="H13" s="385">
        <v>861.15</v>
      </c>
      <c r="I13" s="385">
        <v>897.18</v>
      </c>
      <c r="J13" s="385">
        <v>928.44</v>
      </c>
      <c r="K13" s="385">
        <v>965.83</v>
      </c>
      <c r="L13" s="385">
        <v>1031.25</v>
      </c>
      <c r="N13" s="647">
        <f t="shared" si="8"/>
        <v>31.223993790321547</v>
      </c>
      <c r="O13" s="497">
        <f t="shared" si="22"/>
        <v>245.38</v>
      </c>
      <c r="P13" s="647">
        <f t="shared" si="9"/>
        <v>86.152952268192692</v>
      </c>
      <c r="Q13" s="647">
        <f t="shared" si="5"/>
        <v>85.819525228424723</v>
      </c>
      <c r="R13" s="647">
        <f t="shared" si="5"/>
        <v>85.468252491985169</v>
      </c>
      <c r="S13" s="647">
        <f t="shared" si="5"/>
        <v>85.817458429735979</v>
      </c>
      <c r="T13" s="647">
        <f t="shared" si="5"/>
        <v>86.001060445387068</v>
      </c>
      <c r="U13" s="647">
        <f t="shared" si="5"/>
        <v>86.157540034211991</v>
      </c>
      <c r="V13" s="647">
        <f t="shared" si="5"/>
        <v>85.67889442736471</v>
      </c>
      <c r="W13" s="647">
        <f t="shared" si="5"/>
        <v>86.102553767310624</v>
      </c>
      <c r="X13" s="647">
        <f t="shared" si="5"/>
        <v>85.746742152072926</v>
      </c>
      <c r="Y13" s="647">
        <f t="shared" si="5"/>
        <v>84.466308102671732</v>
      </c>
      <c r="Z13" s="647">
        <f t="shared" si="5"/>
        <v>84.537696639805887</v>
      </c>
      <c r="AA13" s="4">
        <f t="shared" si="10"/>
        <v>8</v>
      </c>
      <c r="AB13" s="4">
        <f t="shared" si="6"/>
        <v>9</v>
      </c>
      <c r="AC13" s="4">
        <f t="shared" si="6"/>
        <v>9</v>
      </c>
      <c r="AD13" s="4">
        <f t="shared" si="6"/>
        <v>9</v>
      </c>
      <c r="AE13" s="4">
        <f t="shared" si="6"/>
        <v>9</v>
      </c>
      <c r="AF13" s="4">
        <f t="shared" si="6"/>
        <v>9</v>
      </c>
      <c r="AG13" s="4">
        <f t="shared" si="6"/>
        <v>8</v>
      </c>
      <c r="AH13" s="4">
        <f t="shared" si="6"/>
        <v>10</v>
      </c>
      <c r="AI13" s="4">
        <f t="shared" si="6"/>
        <v>10</v>
      </c>
      <c r="AJ13" s="4">
        <f t="shared" si="6"/>
        <v>10</v>
      </c>
      <c r="AK13" s="4">
        <f t="shared" si="6"/>
        <v>10</v>
      </c>
      <c r="AL13" s="647">
        <f t="shared" si="11"/>
        <v>-13.847047731807315</v>
      </c>
      <c r="AM13" s="647">
        <f t="shared" si="12"/>
        <v>-14.18047477157528</v>
      </c>
      <c r="AN13" s="647">
        <f t="shared" si="13"/>
        <v>-14.531747508014837</v>
      </c>
      <c r="AO13" s="647">
        <f t="shared" si="14"/>
        <v>-14.182541570264018</v>
      </c>
      <c r="AP13" s="647">
        <f t="shared" si="15"/>
        <v>-13.998939554612932</v>
      </c>
      <c r="AQ13" s="647">
        <f t="shared" si="16"/>
        <v>-13.842459965788001</v>
      </c>
      <c r="AR13" s="647">
        <f t="shared" si="17"/>
        <v>-14.321105572635295</v>
      </c>
      <c r="AS13" s="647">
        <f t="shared" si="18"/>
        <v>-13.897446232689381</v>
      </c>
      <c r="AT13" s="647">
        <f t="shared" si="19"/>
        <v>-14.25325784792707</v>
      </c>
      <c r="AU13" s="647">
        <f t="shared" si="20"/>
        <v>-15.533691897328261</v>
      </c>
      <c r="AV13" s="647">
        <f t="shared" si="21"/>
        <v>-15.462303360194108</v>
      </c>
    </row>
    <row r="14" spans="1:48" s="4" customFormat="1" ht="15" customHeight="1">
      <c r="A14" s="17" t="s">
        <v>22</v>
      </c>
      <c r="B14" s="385">
        <v>689.49</v>
      </c>
      <c r="C14" s="385">
        <v>700.01</v>
      </c>
      <c r="D14" s="385">
        <v>704.55</v>
      </c>
      <c r="E14" s="385">
        <v>721.53</v>
      </c>
      <c r="F14" s="385">
        <v>744.13</v>
      </c>
      <c r="G14" s="385">
        <v>769.55</v>
      </c>
      <c r="H14" s="385">
        <v>795.04</v>
      </c>
      <c r="I14" s="385">
        <v>827</v>
      </c>
      <c r="J14" s="385">
        <v>864.42</v>
      </c>
      <c r="K14" s="385">
        <v>905.21</v>
      </c>
      <c r="L14" s="385">
        <v>966.87</v>
      </c>
      <c r="N14" s="647">
        <f t="shared" si="8"/>
        <v>40.229735021537664</v>
      </c>
      <c r="O14" s="497">
        <f t="shared" si="22"/>
        <v>277.38</v>
      </c>
      <c r="P14" s="647">
        <f t="shared" si="9"/>
        <v>75.587055186476363</v>
      </c>
      <c r="Q14" s="647">
        <f t="shared" si="5"/>
        <v>76.967311350317203</v>
      </c>
      <c r="R14" s="647">
        <f t="shared" si="5"/>
        <v>77.090149136148284</v>
      </c>
      <c r="S14" s="647">
        <f t="shared" si="5"/>
        <v>78.008303241291316</v>
      </c>
      <c r="T14" s="647">
        <f t="shared" si="5"/>
        <v>78.910922587486738</v>
      </c>
      <c r="U14" s="647">
        <f t="shared" si="5"/>
        <v>79.300715154263102</v>
      </c>
      <c r="V14" s="647">
        <f t="shared" si="5"/>
        <v>79.101374006307893</v>
      </c>
      <c r="W14" s="647">
        <f t="shared" si="5"/>
        <v>79.367364370099523</v>
      </c>
      <c r="X14" s="647">
        <f t="shared" si="5"/>
        <v>79.834129131763902</v>
      </c>
      <c r="Y14" s="647">
        <f t="shared" si="5"/>
        <v>79.164808255717347</v>
      </c>
      <c r="Z14" s="647">
        <f t="shared" si="5"/>
        <v>79.260085091034298</v>
      </c>
      <c r="AA14" s="4">
        <f t="shared" si="10"/>
        <v>18</v>
      </c>
      <c r="AB14" s="4">
        <f t="shared" si="6"/>
        <v>18</v>
      </c>
      <c r="AC14" s="4">
        <f t="shared" si="6"/>
        <v>18</v>
      </c>
      <c r="AD14" s="4">
        <f t="shared" si="6"/>
        <v>18</v>
      </c>
      <c r="AE14" s="4">
        <f t="shared" si="6"/>
        <v>18</v>
      </c>
      <c r="AF14" s="4">
        <f t="shared" si="6"/>
        <v>17</v>
      </c>
      <c r="AG14" s="4">
        <f t="shared" si="6"/>
        <v>17</v>
      </c>
      <c r="AH14" s="4">
        <f t="shared" si="6"/>
        <v>18</v>
      </c>
      <c r="AI14" s="4">
        <f t="shared" si="6"/>
        <v>17</v>
      </c>
      <c r="AJ14" s="4">
        <f t="shared" si="6"/>
        <v>17</v>
      </c>
      <c r="AK14" s="4">
        <f t="shared" si="6"/>
        <v>17</v>
      </c>
      <c r="AL14" s="647">
        <f t="shared" si="11"/>
        <v>-24.412944813523641</v>
      </c>
      <c r="AM14" s="647">
        <f t="shared" si="12"/>
        <v>-23.032688649682786</v>
      </c>
      <c r="AN14" s="647">
        <f t="shared" si="13"/>
        <v>-22.909850863851723</v>
      </c>
      <c r="AO14" s="647">
        <f t="shared" si="14"/>
        <v>-21.991696758708677</v>
      </c>
      <c r="AP14" s="647">
        <f t="shared" si="15"/>
        <v>-21.089077412513259</v>
      </c>
      <c r="AQ14" s="647">
        <f t="shared" si="16"/>
        <v>-20.699284845736898</v>
      </c>
      <c r="AR14" s="647">
        <f t="shared" si="17"/>
        <v>-20.898625993692111</v>
      </c>
      <c r="AS14" s="647">
        <f t="shared" si="18"/>
        <v>-20.632635629900477</v>
      </c>
      <c r="AT14" s="647">
        <f t="shared" si="19"/>
        <v>-20.165870868236102</v>
      </c>
      <c r="AU14" s="647">
        <f t="shared" si="20"/>
        <v>-20.835191744282653</v>
      </c>
      <c r="AV14" s="647">
        <f t="shared" si="21"/>
        <v>-20.739914908965705</v>
      </c>
    </row>
    <row r="15" spans="1:48" s="4" customFormat="1" ht="15" customHeight="1">
      <c r="A15" s="17" t="s">
        <v>23</v>
      </c>
      <c r="B15" s="385">
        <v>788.76</v>
      </c>
      <c r="C15" s="385">
        <v>794.29</v>
      </c>
      <c r="D15" s="385">
        <v>799.95</v>
      </c>
      <c r="E15" s="385">
        <v>815.1</v>
      </c>
      <c r="F15" s="385">
        <v>833.68</v>
      </c>
      <c r="G15" s="385">
        <v>861.02</v>
      </c>
      <c r="H15" s="385">
        <v>887.38</v>
      </c>
      <c r="I15" s="385">
        <v>918.08</v>
      </c>
      <c r="J15" s="385">
        <v>961.21</v>
      </c>
      <c r="K15" s="385">
        <v>1007.35</v>
      </c>
      <c r="L15" s="385">
        <v>1070.77</v>
      </c>
      <c r="N15" s="647">
        <f t="shared" si="8"/>
        <v>35.753587910137426</v>
      </c>
      <c r="O15" s="497">
        <f t="shared" si="22"/>
        <v>282.01</v>
      </c>
      <c r="P15" s="647">
        <f t="shared" si="9"/>
        <v>86.469775702164057</v>
      </c>
      <c r="Q15" s="647">
        <f t="shared" si="5"/>
        <v>87.333560566911132</v>
      </c>
      <c r="R15" s="647">
        <f t="shared" si="5"/>
        <v>87.528585340233946</v>
      </c>
      <c r="S15" s="647">
        <f t="shared" si="5"/>
        <v>88.124635111466688</v>
      </c>
      <c r="T15" s="647">
        <f t="shared" si="5"/>
        <v>88.40721102863202</v>
      </c>
      <c r="U15" s="647">
        <f t="shared" si="5"/>
        <v>88.726530780486797</v>
      </c>
      <c r="V15" s="647">
        <f t="shared" si="5"/>
        <v>88.288610970161869</v>
      </c>
      <c r="W15" s="647">
        <f t="shared" si="5"/>
        <v>88.108331174003595</v>
      </c>
      <c r="X15" s="647">
        <f t="shared" si="5"/>
        <v>88.773239007360758</v>
      </c>
      <c r="Y15" s="647">
        <f t="shared" si="5"/>
        <v>88.097424461060825</v>
      </c>
      <c r="Z15" s="647">
        <f t="shared" si="5"/>
        <v>87.777386114913895</v>
      </c>
      <c r="AA15" s="4">
        <f t="shared" si="10"/>
        <v>7</v>
      </c>
      <c r="AB15" s="4">
        <f t="shared" si="6"/>
        <v>6</v>
      </c>
      <c r="AC15" s="4">
        <f t="shared" si="6"/>
        <v>6</v>
      </c>
      <c r="AD15" s="4">
        <f t="shared" si="6"/>
        <v>6</v>
      </c>
      <c r="AE15" s="4">
        <f t="shared" si="6"/>
        <v>6</v>
      </c>
      <c r="AF15" s="4">
        <f t="shared" si="6"/>
        <v>6</v>
      </c>
      <c r="AG15" s="4">
        <f t="shared" si="6"/>
        <v>6</v>
      </c>
      <c r="AH15" s="4">
        <f t="shared" si="6"/>
        <v>6</v>
      </c>
      <c r="AI15" s="4">
        <f t="shared" si="6"/>
        <v>6</v>
      </c>
      <c r="AJ15" s="4">
        <f t="shared" si="6"/>
        <v>6</v>
      </c>
      <c r="AK15" s="4">
        <f t="shared" si="6"/>
        <v>6</v>
      </c>
      <c r="AL15" s="647">
        <f t="shared" si="11"/>
        <v>-13.530224297835947</v>
      </c>
      <c r="AM15" s="647">
        <f t="shared" si="12"/>
        <v>-12.666439433088883</v>
      </c>
      <c r="AN15" s="647">
        <f t="shared" si="13"/>
        <v>-12.471414659766056</v>
      </c>
      <c r="AO15" s="647">
        <f t="shared" si="14"/>
        <v>-11.875364888533312</v>
      </c>
      <c r="AP15" s="647">
        <f t="shared" si="15"/>
        <v>-11.592788971367984</v>
      </c>
      <c r="AQ15" s="647">
        <f t="shared" si="16"/>
        <v>-11.273469219513199</v>
      </c>
      <c r="AR15" s="647">
        <f t="shared" si="17"/>
        <v>-11.711389029838127</v>
      </c>
      <c r="AS15" s="647">
        <f t="shared" si="18"/>
        <v>-11.891668825996405</v>
      </c>
      <c r="AT15" s="647">
        <f t="shared" si="19"/>
        <v>-11.226760992639239</v>
      </c>
      <c r="AU15" s="647">
        <f t="shared" si="20"/>
        <v>-11.902575538939175</v>
      </c>
      <c r="AV15" s="647">
        <f t="shared" si="21"/>
        <v>-12.222613885086108</v>
      </c>
    </row>
    <row r="16" spans="1:48" s="4" customFormat="1" ht="15" customHeight="1">
      <c r="A16" s="17" t="s">
        <v>24</v>
      </c>
      <c r="B16" s="385">
        <v>1160.8699999999999</v>
      </c>
      <c r="C16" s="385">
        <v>1150.47</v>
      </c>
      <c r="D16" s="385">
        <v>1151.6400000000001</v>
      </c>
      <c r="E16" s="385">
        <v>1155.93</v>
      </c>
      <c r="F16" s="385">
        <v>1171.8800000000001</v>
      </c>
      <c r="G16" s="385">
        <v>1194.22</v>
      </c>
      <c r="H16" s="385">
        <v>1230.1300000000001</v>
      </c>
      <c r="I16" s="385">
        <v>1266.69</v>
      </c>
      <c r="J16" s="385">
        <v>1312.07</v>
      </c>
      <c r="K16" s="385">
        <v>1388.37</v>
      </c>
      <c r="L16" s="385">
        <v>1474.84</v>
      </c>
      <c r="N16" s="647">
        <f t="shared" si="8"/>
        <v>27.046094739290361</v>
      </c>
      <c r="O16" s="497">
        <f t="shared" si="22"/>
        <v>313.97000000000003</v>
      </c>
      <c r="P16" s="647">
        <f t="shared" si="9"/>
        <v>127.26325944440789</v>
      </c>
      <c r="Q16" s="647">
        <f t="shared" si="5"/>
        <v>126.49616818216802</v>
      </c>
      <c r="R16" s="647">
        <f t="shared" si="5"/>
        <v>126.00965062969814</v>
      </c>
      <c r="S16" s="647">
        <f t="shared" si="5"/>
        <v>124.9735117953597</v>
      </c>
      <c r="T16" s="647">
        <f t="shared" si="5"/>
        <v>124.27147401908803</v>
      </c>
      <c r="U16" s="647">
        <f t="shared" si="5"/>
        <v>123.06217926258734</v>
      </c>
      <c r="V16" s="647">
        <f t="shared" si="5"/>
        <v>122.39003472325862</v>
      </c>
      <c r="W16" s="647">
        <f t="shared" si="5"/>
        <v>121.56450637722051</v>
      </c>
      <c r="X16" s="647">
        <f t="shared" si="5"/>
        <v>121.17716597245953</v>
      </c>
      <c r="Y16" s="647">
        <f t="shared" si="5"/>
        <v>121.41938869211596</v>
      </c>
      <c r="Z16" s="647">
        <f t="shared" si="5"/>
        <v>120.90140752703158</v>
      </c>
      <c r="AA16" s="4">
        <f t="shared" si="10"/>
        <v>1</v>
      </c>
      <c r="AB16" s="4">
        <f t="shared" si="6"/>
        <v>1</v>
      </c>
      <c r="AC16" s="4">
        <f t="shared" si="6"/>
        <v>1</v>
      </c>
      <c r="AD16" s="4">
        <f t="shared" si="6"/>
        <v>1</v>
      </c>
      <c r="AE16" s="4">
        <f t="shared" si="6"/>
        <v>1</v>
      </c>
      <c r="AF16" s="4">
        <f t="shared" si="6"/>
        <v>1</v>
      </c>
      <c r="AG16" s="4">
        <f t="shared" si="6"/>
        <v>1</v>
      </c>
      <c r="AH16" s="4">
        <f t="shared" si="6"/>
        <v>1</v>
      </c>
      <c r="AI16" s="4">
        <f t="shared" si="6"/>
        <v>1</v>
      </c>
      <c r="AJ16" s="4">
        <f t="shared" si="6"/>
        <v>1</v>
      </c>
      <c r="AK16" s="4">
        <f t="shared" si="6"/>
        <v>1</v>
      </c>
      <c r="AL16" s="647">
        <f t="shared" si="11"/>
        <v>27.263259444407907</v>
      </c>
      <c r="AM16" s="647">
        <f t="shared" si="12"/>
        <v>26.496168182168024</v>
      </c>
      <c r="AN16" s="647">
        <f t="shared" si="13"/>
        <v>26.009650629698132</v>
      </c>
      <c r="AO16" s="647">
        <f t="shared" si="14"/>
        <v>24.973511795359691</v>
      </c>
      <c r="AP16" s="647">
        <f t="shared" si="15"/>
        <v>24.271474019088025</v>
      </c>
      <c r="AQ16" s="647">
        <f t="shared" si="16"/>
        <v>23.062179262587335</v>
      </c>
      <c r="AR16" s="647">
        <f t="shared" si="17"/>
        <v>22.390034723258623</v>
      </c>
      <c r="AS16" s="647">
        <f t="shared" si="18"/>
        <v>21.564506377220518</v>
      </c>
      <c r="AT16" s="647">
        <f t="shared" si="19"/>
        <v>21.177165972459512</v>
      </c>
      <c r="AU16" s="647">
        <f t="shared" si="20"/>
        <v>21.419388692115948</v>
      </c>
      <c r="AV16" s="647">
        <f t="shared" si="21"/>
        <v>20.90140752703158</v>
      </c>
    </row>
    <row r="17" spans="1:48" s="4" customFormat="1" ht="15" customHeight="1">
      <c r="A17" s="17" t="s">
        <v>25</v>
      </c>
      <c r="B17" s="385">
        <v>750.15</v>
      </c>
      <c r="C17" s="385">
        <v>754.22</v>
      </c>
      <c r="D17" s="385">
        <v>755.71</v>
      </c>
      <c r="E17" s="385">
        <v>767.83</v>
      </c>
      <c r="F17" s="385">
        <v>783.59</v>
      </c>
      <c r="G17" s="385">
        <v>805.96</v>
      </c>
      <c r="H17" s="385">
        <v>828.76</v>
      </c>
      <c r="I17" s="385">
        <v>863.38</v>
      </c>
      <c r="J17" s="385">
        <v>899.36</v>
      </c>
      <c r="K17" s="385">
        <v>939.13</v>
      </c>
      <c r="L17" s="385">
        <v>990.36</v>
      </c>
      <c r="N17" s="647">
        <f t="shared" si="8"/>
        <v>32.021595680863825</v>
      </c>
      <c r="O17" s="497">
        <f t="shared" si="22"/>
        <v>240.21000000000004</v>
      </c>
      <c r="P17" s="647">
        <f t="shared" si="9"/>
        <v>82.237058475300927</v>
      </c>
      <c r="Q17" s="647">
        <f t="shared" si="5"/>
        <v>82.927794698127528</v>
      </c>
      <c r="R17" s="647">
        <f t="shared" si="5"/>
        <v>82.68795203133719</v>
      </c>
      <c r="S17" s="647">
        <f t="shared" si="5"/>
        <v>83.0140333427033</v>
      </c>
      <c r="T17" s="647">
        <f t="shared" si="5"/>
        <v>83.09544008483563</v>
      </c>
      <c r="U17" s="647">
        <f t="shared" si="5"/>
        <v>83.052698831433815</v>
      </c>
      <c r="V17" s="647">
        <f t="shared" si="5"/>
        <v>82.456297445999851</v>
      </c>
      <c r="W17" s="647">
        <f t="shared" si="5"/>
        <v>82.858760640697128</v>
      </c>
      <c r="X17" s="647">
        <f t="shared" si="5"/>
        <v>83.061037893550804</v>
      </c>
      <c r="Y17" s="647">
        <f t="shared" si="5"/>
        <v>82.131269403996669</v>
      </c>
      <c r="Z17" s="647">
        <f t="shared" si="5"/>
        <v>81.185700115586101</v>
      </c>
      <c r="AA17" s="4">
        <f t="shared" si="10"/>
        <v>11</v>
      </c>
      <c r="AB17" s="4">
        <f t="shared" si="6"/>
        <v>11</v>
      </c>
      <c r="AC17" s="4">
        <f t="shared" si="6"/>
        <v>11</v>
      </c>
      <c r="AD17" s="4">
        <f t="shared" si="6"/>
        <v>11</v>
      </c>
      <c r="AE17" s="4">
        <f t="shared" si="6"/>
        <v>12</v>
      </c>
      <c r="AF17" s="4">
        <f t="shared" si="6"/>
        <v>12</v>
      </c>
      <c r="AG17" s="4">
        <f t="shared" si="6"/>
        <v>13</v>
      </c>
      <c r="AH17" s="4">
        <f t="shared" si="6"/>
        <v>13</v>
      </c>
      <c r="AI17" s="4">
        <f t="shared" si="6"/>
        <v>14</v>
      </c>
      <c r="AJ17" s="4">
        <f t="shared" si="6"/>
        <v>13</v>
      </c>
      <c r="AK17" s="4">
        <f t="shared" si="6"/>
        <v>16</v>
      </c>
      <c r="AL17" s="647">
        <f t="shared" si="11"/>
        <v>-17.762941524699073</v>
      </c>
      <c r="AM17" s="647">
        <f t="shared" si="12"/>
        <v>-17.072205301872479</v>
      </c>
      <c r="AN17" s="647">
        <f t="shared" si="13"/>
        <v>-17.312047968662803</v>
      </c>
      <c r="AO17" s="647">
        <f t="shared" si="14"/>
        <v>-16.985966657296693</v>
      </c>
      <c r="AP17" s="647">
        <f t="shared" si="15"/>
        <v>-16.904559915164363</v>
      </c>
      <c r="AQ17" s="647">
        <f t="shared" si="16"/>
        <v>-16.947301168566177</v>
      </c>
      <c r="AR17" s="647">
        <f t="shared" si="17"/>
        <v>-17.543702554000141</v>
      </c>
      <c r="AS17" s="647">
        <f t="shared" si="18"/>
        <v>-17.141239359302872</v>
      </c>
      <c r="AT17" s="647">
        <f t="shared" si="19"/>
        <v>-16.938962106449196</v>
      </c>
      <c r="AU17" s="647">
        <f t="shared" si="20"/>
        <v>-17.868730596003324</v>
      </c>
      <c r="AV17" s="647">
        <f t="shared" si="21"/>
        <v>-18.814299884413909</v>
      </c>
    </row>
    <row r="18" spans="1:48" s="4" customFormat="1" ht="15" customHeight="1">
      <c r="A18" s="17" t="s">
        <v>26</v>
      </c>
      <c r="B18" s="385">
        <v>870.78</v>
      </c>
      <c r="C18" s="385">
        <v>870.08</v>
      </c>
      <c r="D18" s="385">
        <v>879.09</v>
      </c>
      <c r="E18" s="385">
        <v>891.71</v>
      </c>
      <c r="F18" s="385">
        <v>908.25</v>
      </c>
      <c r="G18" s="385">
        <v>944.92</v>
      </c>
      <c r="H18" s="385">
        <v>983.5</v>
      </c>
      <c r="I18" s="385">
        <v>1030.3399999999999</v>
      </c>
      <c r="J18" s="385">
        <v>1072.1600000000001</v>
      </c>
      <c r="K18" s="385">
        <v>1135.73</v>
      </c>
      <c r="L18" s="385">
        <v>1212.5</v>
      </c>
      <c r="N18" s="647">
        <f t="shared" si="8"/>
        <v>39.242977560348201</v>
      </c>
      <c r="O18" s="497">
        <f t="shared" si="22"/>
        <v>341.72</v>
      </c>
      <c r="P18" s="647">
        <f t="shared" si="9"/>
        <v>95.461422087745845</v>
      </c>
      <c r="Q18" s="647">
        <f t="shared" si="5"/>
        <v>95.666802273801807</v>
      </c>
      <c r="R18" s="647">
        <f t="shared" si="5"/>
        <v>96.187891851673541</v>
      </c>
      <c r="S18" s="647">
        <f t="shared" si="5"/>
        <v>96.407334529807329</v>
      </c>
      <c r="T18" s="647">
        <f t="shared" si="5"/>
        <v>96.314952279957581</v>
      </c>
      <c r="U18" s="647">
        <f t="shared" si="5"/>
        <v>97.372271799839254</v>
      </c>
      <c r="V18" s="647">
        <f t="shared" si="5"/>
        <v>97.851933657682395</v>
      </c>
      <c r="W18" s="647">
        <f t="shared" si="5"/>
        <v>98.881947043637638</v>
      </c>
      <c r="X18" s="647">
        <f t="shared" si="5"/>
        <v>99.020105839652018</v>
      </c>
      <c r="Y18" s="647">
        <f t="shared" si="5"/>
        <v>99.324850233941135</v>
      </c>
      <c r="Z18" s="647">
        <f t="shared" si="5"/>
        <v>99.395837261347523</v>
      </c>
      <c r="AA18" s="4">
        <f t="shared" si="10"/>
        <v>3</v>
      </c>
      <c r="AB18" s="4">
        <f t="shared" si="6"/>
        <v>3</v>
      </c>
      <c r="AC18" s="4">
        <f t="shared" si="6"/>
        <v>3</v>
      </c>
      <c r="AD18" s="4">
        <f t="shared" si="6"/>
        <v>3</v>
      </c>
      <c r="AE18" s="4">
        <f t="shared" si="6"/>
        <v>3</v>
      </c>
      <c r="AF18" s="4">
        <f t="shared" si="6"/>
        <v>3</v>
      </c>
      <c r="AG18" s="4">
        <f t="shared" si="6"/>
        <v>3</v>
      </c>
      <c r="AH18" s="4">
        <f t="shared" si="6"/>
        <v>3</v>
      </c>
      <c r="AI18" s="4">
        <f t="shared" si="6"/>
        <v>3</v>
      </c>
      <c r="AJ18" s="4">
        <f t="shared" si="6"/>
        <v>2</v>
      </c>
      <c r="AK18" s="4">
        <f t="shared" si="6"/>
        <v>2</v>
      </c>
      <c r="AL18" s="647">
        <f t="shared" si="11"/>
        <v>-4.5385779122541603</v>
      </c>
      <c r="AM18" s="647">
        <f t="shared" si="12"/>
        <v>-4.3331977261981898</v>
      </c>
      <c r="AN18" s="647">
        <f t="shared" si="13"/>
        <v>-3.8121081483264541</v>
      </c>
      <c r="AO18" s="647">
        <f t="shared" si="14"/>
        <v>-3.5926654701926575</v>
      </c>
      <c r="AP18" s="647">
        <f t="shared" si="15"/>
        <v>-3.6850477200424225</v>
      </c>
      <c r="AQ18" s="647">
        <f t="shared" si="16"/>
        <v>-2.6277282001607505</v>
      </c>
      <c r="AR18" s="647">
        <f t="shared" si="17"/>
        <v>-2.1480663423176116</v>
      </c>
      <c r="AS18" s="647">
        <f t="shared" si="18"/>
        <v>-1.1180529563623587</v>
      </c>
      <c r="AT18" s="647">
        <f t="shared" si="19"/>
        <v>-0.97989416034798271</v>
      </c>
      <c r="AU18" s="647">
        <f t="shared" si="20"/>
        <v>-0.6751497660588579</v>
      </c>
      <c r="AV18" s="647">
        <f t="shared" si="21"/>
        <v>-0.6041627386524695</v>
      </c>
    </row>
    <row r="19" spans="1:48" s="4" customFormat="1" ht="15" customHeight="1">
      <c r="A19" s="17" t="s">
        <v>27</v>
      </c>
      <c r="B19" s="385">
        <v>783.97</v>
      </c>
      <c r="C19" s="385">
        <v>786.64</v>
      </c>
      <c r="D19" s="385">
        <v>793.64</v>
      </c>
      <c r="E19" s="385">
        <v>799.15</v>
      </c>
      <c r="F19" s="385">
        <v>823.03</v>
      </c>
      <c r="G19" s="385">
        <v>842.95</v>
      </c>
      <c r="H19" s="385">
        <v>867.34</v>
      </c>
      <c r="I19" s="385">
        <v>899.19</v>
      </c>
      <c r="J19" s="385">
        <v>933.03</v>
      </c>
      <c r="K19" s="385">
        <v>975.12</v>
      </c>
      <c r="L19" s="385">
        <v>1038.8499999999999</v>
      </c>
      <c r="N19" s="647">
        <f t="shared" si="8"/>
        <v>32.511448142148282</v>
      </c>
      <c r="O19" s="497">
        <f t="shared" si="22"/>
        <v>254.87999999999988</v>
      </c>
      <c r="P19" s="647">
        <f t="shared" si="9"/>
        <v>85.944660045166529</v>
      </c>
      <c r="Q19" s="647">
        <f t="shared" si="5"/>
        <v>86.49242982330756</v>
      </c>
      <c r="R19" s="647">
        <f t="shared" si="5"/>
        <v>86.838160471808564</v>
      </c>
      <c r="S19" s="647">
        <f t="shared" si="5"/>
        <v>86.400198931822601</v>
      </c>
      <c r="T19" s="647">
        <f t="shared" si="5"/>
        <v>87.277836691410386</v>
      </c>
      <c r="U19" s="647">
        <f t="shared" si="5"/>
        <v>86.864450444137589</v>
      </c>
      <c r="V19" s="647">
        <f t="shared" si="5"/>
        <v>86.294759673263087</v>
      </c>
      <c r="W19" s="647">
        <f t="shared" si="5"/>
        <v>86.295453891112203</v>
      </c>
      <c r="X19" s="647">
        <f t="shared" si="5"/>
        <v>86.170654894391234</v>
      </c>
      <c r="Y19" s="647">
        <f t="shared" si="5"/>
        <v>85.27876164239801</v>
      </c>
      <c r="Z19" s="647">
        <f t="shared" si="5"/>
        <v>85.160713846557414</v>
      </c>
      <c r="AA19" s="4">
        <f t="shared" si="10"/>
        <v>9</v>
      </c>
      <c r="AB19" s="4">
        <f t="shared" si="6"/>
        <v>8</v>
      </c>
      <c r="AC19" s="4">
        <f t="shared" si="6"/>
        <v>8</v>
      </c>
      <c r="AD19" s="4">
        <f t="shared" si="6"/>
        <v>8</v>
      </c>
      <c r="AE19" s="4">
        <f t="shared" si="6"/>
        <v>7</v>
      </c>
      <c r="AF19" s="4">
        <f t="shared" si="6"/>
        <v>7</v>
      </c>
      <c r="AG19" s="4">
        <f t="shared" si="6"/>
        <v>7</v>
      </c>
      <c r="AH19" s="4">
        <f t="shared" si="6"/>
        <v>7</v>
      </c>
      <c r="AI19" s="4">
        <f t="shared" si="6"/>
        <v>8</v>
      </c>
      <c r="AJ19" s="4">
        <f t="shared" si="6"/>
        <v>9</v>
      </c>
      <c r="AK19" s="4">
        <f t="shared" si="6"/>
        <v>9</v>
      </c>
      <c r="AL19" s="647">
        <f t="shared" si="11"/>
        <v>-14.055339954833467</v>
      </c>
      <c r="AM19" s="647">
        <f t="shared" si="12"/>
        <v>-13.507570176692429</v>
      </c>
      <c r="AN19" s="647">
        <f t="shared" si="13"/>
        <v>-13.161839528191432</v>
      </c>
      <c r="AO19" s="647">
        <f t="shared" si="14"/>
        <v>-13.599801068177397</v>
      </c>
      <c r="AP19" s="647">
        <f t="shared" si="15"/>
        <v>-12.722163308589607</v>
      </c>
      <c r="AQ19" s="647">
        <f t="shared" si="16"/>
        <v>-13.135549555862402</v>
      </c>
      <c r="AR19" s="647">
        <f t="shared" si="17"/>
        <v>-13.705240326736911</v>
      </c>
      <c r="AS19" s="647">
        <f t="shared" si="18"/>
        <v>-13.704546108887794</v>
      </c>
      <c r="AT19" s="647">
        <f t="shared" si="19"/>
        <v>-13.829345105608759</v>
      </c>
      <c r="AU19" s="647">
        <f t="shared" si="20"/>
        <v>-14.721238357601996</v>
      </c>
      <c r="AV19" s="647">
        <f t="shared" si="21"/>
        <v>-14.839286153442577</v>
      </c>
    </row>
    <row r="20" spans="1:48" s="4" customFormat="1" ht="15" customHeight="1">
      <c r="A20" s="17" t="s">
        <v>28</v>
      </c>
      <c r="B20" s="385">
        <v>951.48</v>
      </c>
      <c r="C20" s="385">
        <v>945.37</v>
      </c>
      <c r="D20" s="385">
        <v>958.98</v>
      </c>
      <c r="E20" s="385">
        <v>979.51</v>
      </c>
      <c r="F20" s="385">
        <v>989.54</v>
      </c>
      <c r="G20" s="385">
        <v>1000.04</v>
      </c>
      <c r="H20" s="385">
        <v>1024.46</v>
      </c>
      <c r="I20" s="385">
        <v>1059.24</v>
      </c>
      <c r="J20" s="385">
        <v>1079.74</v>
      </c>
      <c r="K20" s="385">
        <v>1127.3900000000001</v>
      </c>
      <c r="L20" s="385">
        <v>1192.6099999999999</v>
      </c>
      <c r="N20" s="647">
        <f t="shared" si="8"/>
        <v>25.342624122419789</v>
      </c>
      <c r="O20" s="497">
        <f t="shared" si="22"/>
        <v>241.12999999999988</v>
      </c>
      <c r="P20" s="647">
        <f t="shared" si="9"/>
        <v>104.30836019206735</v>
      </c>
      <c r="Q20" s="647">
        <f t="shared" si="5"/>
        <v>103.94506811509747</v>
      </c>
      <c r="R20" s="647">
        <f t="shared" si="5"/>
        <v>104.92926154081823</v>
      </c>
      <c r="S20" s="647">
        <f t="shared" si="5"/>
        <v>105.89984215192337</v>
      </c>
      <c r="T20" s="647">
        <f t="shared" si="5"/>
        <v>104.93531283138918</v>
      </c>
      <c r="U20" s="647">
        <f t="shared" si="5"/>
        <v>103.05228663877497</v>
      </c>
      <c r="V20" s="647">
        <f t="shared" si="5"/>
        <v>101.92719059984678</v>
      </c>
      <c r="W20" s="647">
        <f t="shared" si="5"/>
        <v>101.65548613710304</v>
      </c>
      <c r="X20" s="647">
        <f t="shared" si="5"/>
        <v>99.720162176639548</v>
      </c>
      <c r="Y20" s="647">
        <f t="shared" si="5"/>
        <v>98.59547859547861</v>
      </c>
      <c r="Z20" s="647">
        <f t="shared" si="5"/>
        <v>97.765335650520129</v>
      </c>
      <c r="AA20" s="4">
        <f t="shared" si="10"/>
        <v>2</v>
      </c>
      <c r="AB20" s="4">
        <f t="shared" si="6"/>
        <v>2</v>
      </c>
      <c r="AC20" s="4">
        <f t="shared" si="6"/>
        <v>2</v>
      </c>
      <c r="AD20" s="4">
        <f t="shared" si="6"/>
        <v>2</v>
      </c>
      <c r="AE20" s="4">
        <f t="shared" si="6"/>
        <v>2</v>
      </c>
      <c r="AF20" s="4">
        <f t="shared" si="6"/>
        <v>2</v>
      </c>
      <c r="AG20" s="4">
        <f t="shared" si="6"/>
        <v>2</v>
      </c>
      <c r="AH20" s="4">
        <f t="shared" si="6"/>
        <v>2</v>
      </c>
      <c r="AI20" s="4">
        <f t="shared" si="6"/>
        <v>2</v>
      </c>
      <c r="AJ20" s="4">
        <f t="shared" si="6"/>
        <v>3</v>
      </c>
      <c r="AK20" s="4">
        <f t="shared" si="6"/>
        <v>3</v>
      </c>
      <c r="AL20" s="647">
        <f t="shared" si="11"/>
        <v>4.3083601920673731</v>
      </c>
      <c r="AM20" s="647">
        <f t="shared" si="12"/>
        <v>3.945068115097472</v>
      </c>
      <c r="AN20" s="647">
        <f t="shared" si="13"/>
        <v>4.9292615408182305</v>
      </c>
      <c r="AO20" s="647">
        <f t="shared" si="14"/>
        <v>5.8998421519233624</v>
      </c>
      <c r="AP20" s="647">
        <f t="shared" si="15"/>
        <v>4.9353128313891714</v>
      </c>
      <c r="AQ20" s="647">
        <f t="shared" si="16"/>
        <v>3.0522866387749703</v>
      </c>
      <c r="AR20" s="647">
        <f t="shared" si="17"/>
        <v>1.9271905998467842</v>
      </c>
      <c r="AS20" s="647">
        <f t="shared" si="18"/>
        <v>1.655486137103046</v>
      </c>
      <c r="AT20" s="647">
        <f t="shared" si="19"/>
        <v>-0.27983782336045149</v>
      </c>
      <c r="AU20" s="647">
        <f t="shared" si="20"/>
        <v>-1.4045214045213972</v>
      </c>
      <c r="AV20" s="647">
        <f t="shared" si="21"/>
        <v>-2.2346643494798646</v>
      </c>
    </row>
    <row r="21" spans="1:48" s="4" customFormat="1" ht="15" customHeight="1">
      <c r="A21" s="17" t="s">
        <v>29</v>
      </c>
      <c r="B21" s="385">
        <v>726.57</v>
      </c>
      <c r="C21" s="385">
        <v>729.89</v>
      </c>
      <c r="D21" s="385">
        <v>741.65</v>
      </c>
      <c r="E21" s="385">
        <v>746.72</v>
      </c>
      <c r="F21" s="385">
        <v>782.27</v>
      </c>
      <c r="G21" s="385">
        <v>802.92</v>
      </c>
      <c r="H21" s="385">
        <v>834.97</v>
      </c>
      <c r="I21" s="385">
        <v>865.76</v>
      </c>
      <c r="J21" s="385">
        <v>907.38</v>
      </c>
      <c r="K21" s="385">
        <v>955.67</v>
      </c>
      <c r="L21" s="385">
        <v>1022.16</v>
      </c>
      <c r="N21" s="647">
        <f t="shared" si="8"/>
        <v>40.682934885833433</v>
      </c>
      <c r="O21" s="497">
        <f t="shared" si="22"/>
        <v>295.58999999999992</v>
      </c>
      <c r="P21" s="647">
        <f t="shared" si="9"/>
        <v>79.65204236006052</v>
      </c>
      <c r="Q21" s="647">
        <f t="shared" si="5"/>
        <v>80.252669078274636</v>
      </c>
      <c r="R21" s="647">
        <f t="shared" si="5"/>
        <v>81.149540993292703</v>
      </c>
      <c r="S21" s="647">
        <f t="shared" si="5"/>
        <v>80.731723138798188</v>
      </c>
      <c r="T21" s="647">
        <f t="shared" si="5"/>
        <v>82.955461293743369</v>
      </c>
      <c r="U21" s="647">
        <f t="shared" si="5"/>
        <v>82.739432410708773</v>
      </c>
      <c r="V21" s="647">
        <f t="shared" si="5"/>
        <v>83.074152563452031</v>
      </c>
      <c r="W21" s="647">
        <f t="shared" si="5"/>
        <v>83.087169742511918</v>
      </c>
      <c r="X21" s="647">
        <f t="shared" si="5"/>
        <v>83.801730746141843</v>
      </c>
      <c r="Y21" s="647">
        <f t="shared" si="5"/>
        <v>83.577769032314478</v>
      </c>
      <c r="Z21" s="647">
        <f t="shared" si="5"/>
        <v>83.792535270151745</v>
      </c>
      <c r="AA21" s="4">
        <f t="shared" si="10"/>
        <v>15</v>
      </c>
      <c r="AB21" s="4">
        <f t="shared" si="6"/>
        <v>15</v>
      </c>
      <c r="AC21" s="4">
        <f t="shared" si="6"/>
        <v>14</v>
      </c>
      <c r="AD21" s="4">
        <f t="shared" si="6"/>
        <v>15</v>
      </c>
      <c r="AE21" s="4">
        <f t="shared" si="6"/>
        <v>13</v>
      </c>
      <c r="AF21" s="4">
        <f t="shared" si="6"/>
        <v>13</v>
      </c>
      <c r="AG21" s="4">
        <f t="shared" si="6"/>
        <v>12</v>
      </c>
      <c r="AH21" s="4">
        <f t="shared" si="6"/>
        <v>12</v>
      </c>
      <c r="AI21" s="4">
        <f t="shared" si="6"/>
        <v>11</v>
      </c>
      <c r="AJ21" s="4">
        <f t="shared" si="6"/>
        <v>11</v>
      </c>
      <c r="AK21" s="4">
        <f t="shared" si="6"/>
        <v>11</v>
      </c>
      <c r="AL21" s="647">
        <f t="shared" si="11"/>
        <v>-20.347957639939473</v>
      </c>
      <c r="AM21" s="647">
        <f t="shared" si="12"/>
        <v>-19.747330921725371</v>
      </c>
      <c r="AN21" s="647">
        <f t="shared" si="13"/>
        <v>-18.850459006707297</v>
      </c>
      <c r="AO21" s="647">
        <f t="shared" si="14"/>
        <v>-19.268276861201805</v>
      </c>
      <c r="AP21" s="647">
        <f t="shared" si="15"/>
        <v>-17.044538706256628</v>
      </c>
      <c r="AQ21" s="647">
        <f t="shared" si="16"/>
        <v>-17.260567589291231</v>
      </c>
      <c r="AR21" s="647">
        <f t="shared" si="17"/>
        <v>-16.925847436547969</v>
      </c>
      <c r="AS21" s="647">
        <f t="shared" si="18"/>
        <v>-16.912830257488075</v>
      </c>
      <c r="AT21" s="647">
        <f t="shared" si="19"/>
        <v>-16.198269253858154</v>
      </c>
      <c r="AU21" s="647">
        <f t="shared" si="20"/>
        <v>-16.422230967685525</v>
      </c>
      <c r="AV21" s="647">
        <f t="shared" si="21"/>
        <v>-16.207464729848255</v>
      </c>
    </row>
    <row r="22" spans="1:48" s="4" customFormat="1" ht="15" customHeight="1">
      <c r="A22" s="17" t="s">
        <v>30</v>
      </c>
      <c r="B22" s="385">
        <v>737.08</v>
      </c>
      <c r="C22" s="385">
        <v>740.77</v>
      </c>
      <c r="D22" s="385">
        <v>744.14</v>
      </c>
      <c r="E22" s="385">
        <v>756.43</v>
      </c>
      <c r="F22" s="385">
        <v>776.75</v>
      </c>
      <c r="G22" s="385">
        <v>799.21</v>
      </c>
      <c r="H22" s="385">
        <v>826.76</v>
      </c>
      <c r="I22" s="385">
        <v>851.92</v>
      </c>
      <c r="J22" s="385">
        <v>878.43</v>
      </c>
      <c r="K22" s="385">
        <v>927.79</v>
      </c>
      <c r="L22" s="385">
        <v>997.39</v>
      </c>
      <c r="N22" s="647">
        <f t="shared" si="8"/>
        <v>35.316383567591039</v>
      </c>
      <c r="O22" s="497">
        <f t="shared" si="22"/>
        <v>260.30999999999995</v>
      </c>
      <c r="P22" s="647">
        <f t="shared" si="9"/>
        <v>80.804227235852579</v>
      </c>
      <c r="Q22" s="647">
        <f t="shared" si="9"/>
        <v>81.448943913621918</v>
      </c>
      <c r="R22" s="647">
        <f t="shared" si="9"/>
        <v>81.421990743273554</v>
      </c>
      <c r="S22" s="647">
        <f t="shared" si="9"/>
        <v>81.781520963521956</v>
      </c>
      <c r="T22" s="647">
        <f t="shared" si="9"/>
        <v>82.370095440084839</v>
      </c>
      <c r="U22" s="647">
        <f t="shared" si="9"/>
        <v>82.357123719626557</v>
      </c>
      <c r="V22" s="647">
        <f t="shared" si="9"/>
        <v>82.257310290620737</v>
      </c>
      <c r="W22" s="647">
        <f t="shared" si="9"/>
        <v>81.758942024395623</v>
      </c>
      <c r="X22" s="647">
        <f t="shared" si="9"/>
        <v>81.128032730866209</v>
      </c>
      <c r="Y22" s="647">
        <f t="shared" si="9"/>
        <v>81.139533866806588</v>
      </c>
      <c r="Z22" s="647">
        <f t="shared" si="9"/>
        <v>81.761991031831272</v>
      </c>
      <c r="AA22" s="4">
        <f t="shared" si="10"/>
        <v>12</v>
      </c>
      <c r="AB22" s="4">
        <f t="shared" si="10"/>
        <v>12</v>
      </c>
      <c r="AC22" s="4">
        <f t="shared" si="10"/>
        <v>12</v>
      </c>
      <c r="AD22" s="4">
        <f t="shared" si="10"/>
        <v>13</v>
      </c>
      <c r="AE22" s="4">
        <f t="shared" si="10"/>
        <v>14</v>
      </c>
      <c r="AF22" s="4">
        <f t="shared" si="10"/>
        <v>14</v>
      </c>
      <c r="AG22" s="4">
        <f t="shared" si="10"/>
        <v>14</v>
      </c>
      <c r="AH22" s="4">
        <f t="shared" si="10"/>
        <v>16</v>
      </c>
      <c r="AI22" s="4">
        <f t="shared" si="10"/>
        <v>16</v>
      </c>
      <c r="AJ22" s="4">
        <f t="shared" si="10"/>
        <v>16</v>
      </c>
      <c r="AK22" s="4">
        <f t="shared" si="10"/>
        <v>14</v>
      </c>
      <c r="AL22" s="647">
        <f t="shared" si="11"/>
        <v>-19.195772764147424</v>
      </c>
      <c r="AM22" s="647">
        <f t="shared" si="12"/>
        <v>-18.551056086378082</v>
      </c>
      <c r="AN22" s="647">
        <f t="shared" si="13"/>
        <v>-18.578009256726446</v>
      </c>
      <c r="AO22" s="647">
        <f t="shared" si="14"/>
        <v>-18.218479036478051</v>
      </c>
      <c r="AP22" s="647">
        <f t="shared" si="15"/>
        <v>-17.629904559915165</v>
      </c>
      <c r="AQ22" s="647">
        <f t="shared" si="16"/>
        <v>-17.642876280373443</v>
      </c>
      <c r="AR22" s="647">
        <f t="shared" si="17"/>
        <v>-17.742689709379267</v>
      </c>
      <c r="AS22" s="647">
        <f t="shared" si="18"/>
        <v>-18.241057975604381</v>
      </c>
      <c r="AT22" s="647">
        <f t="shared" si="19"/>
        <v>-18.871967269133794</v>
      </c>
      <c r="AU22" s="647">
        <f t="shared" si="20"/>
        <v>-18.860466133193409</v>
      </c>
      <c r="AV22" s="647">
        <f t="shared" si="21"/>
        <v>-18.238008968168728</v>
      </c>
    </row>
    <row r="23" spans="1:48" s="20" customFormat="1" ht="15" customHeight="1">
      <c r="A23" s="19" t="s">
        <v>31</v>
      </c>
      <c r="B23" s="387">
        <v>733.98</v>
      </c>
      <c r="C23" s="387">
        <v>734.34</v>
      </c>
      <c r="D23" s="387">
        <v>737.12</v>
      </c>
      <c r="E23" s="387">
        <v>749.63</v>
      </c>
      <c r="F23" s="387">
        <v>768.57</v>
      </c>
      <c r="G23" s="387">
        <v>793.7</v>
      </c>
      <c r="H23" s="387">
        <v>822.97</v>
      </c>
      <c r="I23" s="387">
        <v>854.37</v>
      </c>
      <c r="J23" s="387">
        <v>902.63</v>
      </c>
      <c r="K23" s="387">
        <v>932.68</v>
      </c>
      <c r="L23" s="387">
        <v>998.93</v>
      </c>
      <c r="N23" s="647">
        <f t="shared" si="8"/>
        <v>36.097713834164402</v>
      </c>
      <c r="O23" s="497">
        <f t="shared" si="22"/>
        <v>264.94999999999993</v>
      </c>
      <c r="P23" s="647">
        <f t="shared" si="9"/>
        <v>80.464382029862534</v>
      </c>
      <c r="Q23" s="647">
        <f t="shared" si="9"/>
        <v>80.741954282070168</v>
      </c>
      <c r="R23" s="647">
        <f t="shared" si="9"/>
        <v>80.65387939995405</v>
      </c>
      <c r="S23" s="647">
        <f t="shared" si="9"/>
        <v>81.04633814085237</v>
      </c>
      <c r="T23" s="647">
        <f t="shared" si="9"/>
        <v>81.50265111346765</v>
      </c>
      <c r="U23" s="647">
        <f t="shared" si="9"/>
        <v>81.789328332062411</v>
      </c>
      <c r="V23" s="647">
        <f t="shared" si="9"/>
        <v>81.880229631177301</v>
      </c>
      <c r="W23" s="647">
        <f t="shared" si="9"/>
        <v>81.994069040969677</v>
      </c>
      <c r="X23" s="647">
        <f t="shared" si="9"/>
        <v>83.363041089058626</v>
      </c>
      <c r="Y23" s="647">
        <f t="shared" si="9"/>
        <v>81.567187021732479</v>
      </c>
      <c r="Z23" s="647">
        <f t="shared" si="9"/>
        <v>81.888233992146709</v>
      </c>
      <c r="AA23" s="4">
        <f t="shared" si="10"/>
        <v>13</v>
      </c>
      <c r="AB23" s="4">
        <f t="shared" si="10"/>
        <v>14</v>
      </c>
      <c r="AC23" s="4">
        <f t="shared" si="10"/>
        <v>15</v>
      </c>
      <c r="AD23" s="4">
        <f t="shared" si="10"/>
        <v>14</v>
      </c>
      <c r="AE23" s="4">
        <f t="shared" si="10"/>
        <v>15</v>
      </c>
      <c r="AF23" s="4">
        <f t="shared" si="10"/>
        <v>15</v>
      </c>
      <c r="AG23" s="4">
        <f t="shared" si="10"/>
        <v>15</v>
      </c>
      <c r="AH23" s="4">
        <f t="shared" si="10"/>
        <v>15</v>
      </c>
      <c r="AI23" s="4">
        <f t="shared" si="10"/>
        <v>13</v>
      </c>
      <c r="AJ23" s="4">
        <f t="shared" si="10"/>
        <v>15</v>
      </c>
      <c r="AK23" s="4">
        <f t="shared" si="10"/>
        <v>13</v>
      </c>
      <c r="AL23" s="647">
        <f t="shared" si="11"/>
        <v>-19.535617970137466</v>
      </c>
      <c r="AM23" s="647">
        <f t="shared" si="12"/>
        <v>-19.258045717929829</v>
      </c>
      <c r="AN23" s="647">
        <f t="shared" si="13"/>
        <v>-19.346120600045946</v>
      </c>
      <c r="AO23" s="647">
        <f t="shared" si="14"/>
        <v>-18.95366185914763</v>
      </c>
      <c r="AP23" s="647">
        <f t="shared" si="15"/>
        <v>-18.49734888653234</v>
      </c>
      <c r="AQ23" s="647">
        <f t="shared" si="16"/>
        <v>-18.210671667937582</v>
      </c>
      <c r="AR23" s="647">
        <f t="shared" si="17"/>
        <v>-18.119770368822696</v>
      </c>
      <c r="AS23" s="647">
        <f t="shared" si="18"/>
        <v>-18.005930959030316</v>
      </c>
      <c r="AT23" s="647">
        <f t="shared" si="19"/>
        <v>-16.636958910941381</v>
      </c>
      <c r="AU23" s="647">
        <f t="shared" si="20"/>
        <v>-18.432812978267531</v>
      </c>
      <c r="AV23" s="647">
        <f t="shared" si="21"/>
        <v>-18.111766007853291</v>
      </c>
    </row>
    <row r="24" spans="1:48" s="4" customFormat="1" ht="15" customHeight="1">
      <c r="A24" s="222" t="s">
        <v>138</v>
      </c>
      <c r="B24" s="309"/>
      <c r="C24" s="309"/>
      <c r="D24" s="309"/>
      <c r="E24" s="143"/>
      <c r="F24" s="143"/>
      <c r="G24" s="143"/>
      <c r="H24" s="143"/>
      <c r="I24" s="143"/>
      <c r="J24" s="143"/>
      <c r="K24" s="143"/>
      <c r="L24" s="143"/>
    </row>
    <row r="25" spans="1:48" s="4" customFormat="1" ht="25.5" customHeight="1">
      <c r="A25" s="803" t="s">
        <v>130</v>
      </c>
      <c r="B25" s="803"/>
      <c r="C25" s="803"/>
      <c r="D25" s="803"/>
      <c r="E25" s="803"/>
      <c r="F25" s="803"/>
      <c r="G25" s="803"/>
      <c r="H25" s="803"/>
      <c r="I25" s="803"/>
      <c r="J25" s="803"/>
      <c r="K25" s="803"/>
      <c r="L25" s="803"/>
    </row>
  </sheetData>
  <mergeCells count="2">
    <mergeCell ref="A25:L25"/>
    <mergeCell ref="A1:L1"/>
  </mergeCells>
  <conditionalFormatting sqref="A1 A25 I3 A5:A23 A2:E2 A26:E1048576 A4:D4 A3:C3 B5:E24 M24:XFD1048576 M1:XFD3 M4:M23 AL4:XFD23">
    <cfRule type="cellIs" dxfId="586" priority="38" operator="equal">
      <formula>0</formula>
    </cfRule>
  </conditionalFormatting>
  <conditionalFormatting sqref="A24">
    <cfRule type="cellIs" dxfId="585" priority="37" operator="equal">
      <formula>0</formula>
    </cfRule>
  </conditionalFormatting>
  <conditionalFormatting sqref="E4">
    <cfRule type="cellIs" dxfId="584" priority="36" operator="equal">
      <formula>0</formula>
    </cfRule>
  </conditionalFormatting>
  <conditionalFormatting sqref="H2 H24 H26:H1048576">
    <cfRule type="cellIs" dxfId="583" priority="35" operator="equal">
      <formula>0</formula>
    </cfRule>
  </conditionalFormatting>
  <conditionalFormatting sqref="F2 F24 F26:F1048576">
    <cfRule type="cellIs" dxfId="582" priority="32" operator="equal">
      <formula>0</formula>
    </cfRule>
  </conditionalFormatting>
  <conditionalFormatting sqref="F4:H4">
    <cfRule type="cellIs" dxfId="581" priority="31" operator="equal">
      <formula>0</formula>
    </cfRule>
  </conditionalFormatting>
  <conditionalFormatting sqref="F5:H23">
    <cfRule type="cellIs" dxfId="580" priority="30" operator="equal">
      <formula>0</formula>
    </cfRule>
  </conditionalFormatting>
  <conditionalFormatting sqref="G2 G24 G26:G1048576">
    <cfRule type="cellIs" dxfId="579" priority="26" operator="equal">
      <formula>0</formula>
    </cfRule>
  </conditionalFormatting>
  <conditionalFormatting sqref="I2 I24 I26:I1048576">
    <cfRule type="cellIs" dxfId="578" priority="23" operator="equal">
      <formula>0</formula>
    </cfRule>
  </conditionalFormatting>
  <conditionalFormatting sqref="I4">
    <cfRule type="cellIs" dxfId="577" priority="22" operator="equal">
      <formula>0</formula>
    </cfRule>
  </conditionalFormatting>
  <conditionalFormatting sqref="I5:I23">
    <cfRule type="cellIs" dxfId="576" priority="21" operator="equal">
      <formula>0</formula>
    </cfRule>
  </conditionalFormatting>
  <conditionalFormatting sqref="J3">
    <cfRule type="cellIs" dxfId="575" priority="20" operator="equal">
      <formula>0</formula>
    </cfRule>
  </conditionalFormatting>
  <conditionalFormatting sqref="J2 J24 J26:J1048576">
    <cfRule type="cellIs" dxfId="574" priority="19" operator="equal">
      <formula>0</formula>
    </cfRule>
  </conditionalFormatting>
  <conditionalFormatting sqref="J4">
    <cfRule type="cellIs" dxfId="573" priority="18" operator="equal">
      <formula>0</formula>
    </cfRule>
  </conditionalFormatting>
  <conditionalFormatting sqref="J5:J23">
    <cfRule type="cellIs" dxfId="572" priority="17" operator="equal">
      <formula>0</formula>
    </cfRule>
  </conditionalFormatting>
  <conditionalFormatting sqref="K3">
    <cfRule type="cellIs" dxfId="571" priority="14" operator="equal">
      <formula>0</formula>
    </cfRule>
  </conditionalFormatting>
  <conditionalFormatting sqref="K2 K24 K26:K1048576">
    <cfRule type="cellIs" dxfId="570" priority="13" operator="equal">
      <formula>0</formula>
    </cfRule>
  </conditionalFormatting>
  <conditionalFormatting sqref="K4">
    <cfRule type="cellIs" dxfId="569" priority="12" operator="equal">
      <formula>0</formula>
    </cfRule>
  </conditionalFormatting>
  <conditionalFormatting sqref="K5:K23">
    <cfRule type="cellIs" dxfId="568" priority="11" operator="equal">
      <formula>0</formula>
    </cfRule>
  </conditionalFormatting>
  <conditionalFormatting sqref="L3">
    <cfRule type="cellIs" dxfId="567" priority="4" operator="equal">
      <formula>0</formula>
    </cfRule>
  </conditionalFormatting>
  <conditionalFormatting sqref="L2 L24 L26:L1048576">
    <cfRule type="cellIs" dxfId="566" priority="3" operator="equal">
      <formula>0</formula>
    </cfRule>
  </conditionalFormatting>
  <conditionalFormatting sqref="L4">
    <cfRule type="cellIs" dxfId="565" priority="2" operator="equal">
      <formula>0</formula>
    </cfRule>
  </conditionalFormatting>
  <conditionalFormatting sqref="L5:L23">
    <cfRule type="cellIs" dxfId="56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FA27-1AFD-4A93-A38A-AACE63DB8FCA}">
  <sheetPr>
    <tabColor indexed="26"/>
    <pageSetUpPr fitToPage="1"/>
  </sheetPr>
  <dimension ref="A1:GG42"/>
  <sheetViews>
    <sheetView showGridLines="0" workbookViewId="0">
      <selection sqref="A1:M1"/>
    </sheetView>
  </sheetViews>
  <sheetFormatPr defaultColWidth="9.140625" defaultRowHeight="15.75" customHeight="1"/>
  <cols>
    <col min="1" max="1" width="25.5703125" style="670" customWidth="1"/>
    <col min="2" max="3" width="6.42578125" style="671" customWidth="1"/>
    <col min="4" max="12" width="6.42578125" style="670" customWidth="1"/>
    <col min="13" max="189" width="9.140625" style="670"/>
    <col min="190" max="16384" width="9.140625" style="672"/>
  </cols>
  <sheetData>
    <row r="1" spans="1:14" s="664" customFormat="1" ht="28.5" customHeight="1">
      <c r="A1" s="804" t="s">
        <v>717</v>
      </c>
      <c r="B1" s="804"/>
      <c r="C1" s="804"/>
      <c r="D1" s="804"/>
      <c r="E1" s="804"/>
      <c r="F1" s="804"/>
      <c r="G1" s="804"/>
      <c r="H1" s="804"/>
      <c r="I1" s="804"/>
      <c r="J1" s="804"/>
      <c r="K1" s="804"/>
      <c r="L1" s="804"/>
    </row>
    <row r="2" spans="1:14" s="4" customFormat="1" ht="15" customHeight="1">
      <c r="A2" s="291"/>
      <c r="B2" s="292"/>
      <c r="C2" s="292"/>
      <c r="D2" s="176"/>
      <c r="E2" s="176"/>
      <c r="F2" s="176"/>
      <c r="G2" s="176"/>
      <c r="H2" s="176"/>
      <c r="I2" s="176"/>
      <c r="J2" s="176"/>
      <c r="K2" s="176"/>
      <c r="L2" s="176"/>
    </row>
    <row r="3" spans="1:14" s="4" customFormat="1" ht="15" customHeight="1">
      <c r="A3" s="13" t="s">
        <v>14</v>
      </c>
      <c r="B3" s="665"/>
      <c r="D3" s="666"/>
      <c r="E3" s="666"/>
      <c r="F3" s="666"/>
      <c r="G3" s="666"/>
      <c r="H3" s="666"/>
      <c r="I3" s="666"/>
      <c r="J3" s="666"/>
      <c r="K3" s="666"/>
      <c r="L3" s="666" t="s">
        <v>68</v>
      </c>
    </row>
    <row r="4" spans="1:14" s="4" customFormat="1" ht="28.5" customHeight="1" thickBot="1">
      <c r="A4" s="15"/>
      <c r="B4" s="16">
        <v>2013</v>
      </c>
      <c r="C4" s="16">
        <v>2014</v>
      </c>
      <c r="D4" s="16">
        <v>2015</v>
      </c>
      <c r="E4" s="16">
        <v>2016</v>
      </c>
      <c r="F4" s="16">
        <v>2017</v>
      </c>
      <c r="G4" s="16">
        <v>2018</v>
      </c>
      <c r="H4" s="16">
        <v>2019</v>
      </c>
      <c r="I4" s="16">
        <v>2020</v>
      </c>
      <c r="J4" s="16">
        <v>2021</v>
      </c>
      <c r="K4" s="16">
        <v>2022</v>
      </c>
      <c r="L4" s="16">
        <v>2023</v>
      </c>
    </row>
    <row r="5" spans="1:14" s="4" customFormat="1" ht="20.25" customHeight="1" thickTop="1">
      <c r="A5" s="116" t="s">
        <v>12</v>
      </c>
      <c r="B5" s="383">
        <v>912.18</v>
      </c>
      <c r="C5" s="383">
        <v>909.49</v>
      </c>
      <c r="D5" s="383">
        <v>913.93</v>
      </c>
      <c r="E5" s="383">
        <v>924.94</v>
      </c>
      <c r="F5" s="383">
        <v>943</v>
      </c>
      <c r="G5" s="383">
        <v>970.42</v>
      </c>
      <c r="H5" s="383">
        <v>1005.09</v>
      </c>
      <c r="I5" s="383">
        <v>1041.99</v>
      </c>
      <c r="J5" s="383">
        <v>1082.77</v>
      </c>
      <c r="K5" s="383">
        <v>1143.45</v>
      </c>
      <c r="L5" s="383">
        <v>1219.8699999999999</v>
      </c>
    </row>
    <row r="6" spans="1:14" s="4" customFormat="1" ht="20.25" customHeight="1">
      <c r="A6" s="17" t="s">
        <v>551</v>
      </c>
      <c r="B6" s="667">
        <v>809.5</v>
      </c>
      <c r="C6" s="667">
        <v>812.01</v>
      </c>
      <c r="D6" s="667">
        <v>820.07</v>
      </c>
      <c r="E6" s="667">
        <v>834.01</v>
      </c>
      <c r="F6" s="667">
        <v>854.76</v>
      </c>
      <c r="G6" s="667">
        <v>887.44</v>
      </c>
      <c r="H6" s="667">
        <v>924.5</v>
      </c>
      <c r="I6" s="667">
        <v>965.76</v>
      </c>
      <c r="J6" s="667">
        <v>1006.75</v>
      </c>
      <c r="K6" s="667">
        <v>1063.21</v>
      </c>
      <c r="L6" s="667">
        <v>1137.22</v>
      </c>
      <c r="N6" s="298"/>
    </row>
    <row r="7" spans="1:14" s="4" customFormat="1" ht="15" customHeight="1">
      <c r="A7" s="661" t="s">
        <v>552</v>
      </c>
      <c r="B7" s="385">
        <v>726.57</v>
      </c>
      <c r="C7" s="385">
        <v>729.89</v>
      </c>
      <c r="D7" s="385">
        <v>741.65</v>
      </c>
      <c r="E7" s="385">
        <v>746.72</v>
      </c>
      <c r="F7" s="385">
        <v>782.27</v>
      </c>
      <c r="G7" s="385">
        <v>802.92</v>
      </c>
      <c r="H7" s="385">
        <v>834.97</v>
      </c>
      <c r="I7" s="385">
        <v>865.76</v>
      </c>
      <c r="J7" s="385">
        <v>907.38</v>
      </c>
      <c r="K7" s="385">
        <v>955.67</v>
      </c>
      <c r="L7" s="385">
        <v>1022.16</v>
      </c>
    </row>
    <row r="8" spans="1:14" s="4" customFormat="1" ht="15" customHeight="1">
      <c r="A8" s="661" t="s">
        <v>553</v>
      </c>
      <c r="B8" s="385">
        <v>755.28</v>
      </c>
      <c r="C8" s="385">
        <v>759.84</v>
      </c>
      <c r="D8" s="385">
        <v>761.41</v>
      </c>
      <c r="E8" s="385">
        <v>779.14</v>
      </c>
      <c r="F8" s="385">
        <v>804.2</v>
      </c>
      <c r="G8" s="385">
        <v>837.41</v>
      </c>
      <c r="H8" s="385">
        <v>882.73</v>
      </c>
      <c r="I8" s="385">
        <v>926.11</v>
      </c>
      <c r="J8" s="385">
        <v>973.97</v>
      </c>
      <c r="K8" s="385">
        <v>1014.07</v>
      </c>
      <c r="L8" s="385">
        <v>1092.31</v>
      </c>
    </row>
    <row r="9" spans="1:14" s="4" customFormat="1" ht="15" customHeight="1">
      <c r="A9" s="661" t="s">
        <v>554</v>
      </c>
      <c r="B9" s="385">
        <v>713.05</v>
      </c>
      <c r="C9" s="385">
        <v>721.62</v>
      </c>
      <c r="D9" s="385">
        <v>730.34</v>
      </c>
      <c r="E9" s="385">
        <v>747.36</v>
      </c>
      <c r="F9" s="385">
        <v>775.08</v>
      </c>
      <c r="G9" s="385">
        <v>802.78</v>
      </c>
      <c r="H9" s="385">
        <v>830.45</v>
      </c>
      <c r="I9" s="385">
        <v>871.56</v>
      </c>
      <c r="J9" s="385">
        <v>916.46</v>
      </c>
      <c r="K9" s="385">
        <v>964.07</v>
      </c>
      <c r="L9" s="385">
        <v>1028.49</v>
      </c>
      <c r="N9" s="668"/>
    </row>
    <row r="10" spans="1:14" s="4" customFormat="1" ht="15" customHeight="1">
      <c r="A10" s="661" t="s">
        <v>555</v>
      </c>
      <c r="B10" s="385">
        <v>899.1</v>
      </c>
      <c r="C10" s="385">
        <v>899.59</v>
      </c>
      <c r="D10" s="385">
        <v>909.44</v>
      </c>
      <c r="E10" s="385">
        <v>922.09</v>
      </c>
      <c r="F10" s="385">
        <v>937.69</v>
      </c>
      <c r="G10" s="385">
        <v>975.29</v>
      </c>
      <c r="H10" s="385">
        <v>1012.56</v>
      </c>
      <c r="I10" s="385">
        <v>1057.6600000000001</v>
      </c>
      <c r="J10" s="385">
        <v>1099.93</v>
      </c>
      <c r="K10" s="385">
        <v>1165.44</v>
      </c>
      <c r="L10" s="385">
        <v>1242.23</v>
      </c>
      <c r="N10" s="668"/>
    </row>
    <row r="11" spans="1:14" s="4" customFormat="1" ht="15" customHeight="1">
      <c r="A11" s="661" t="s">
        <v>556</v>
      </c>
      <c r="B11" s="385">
        <v>686.55</v>
      </c>
      <c r="C11" s="385">
        <v>689.68</v>
      </c>
      <c r="D11" s="385">
        <v>689.75</v>
      </c>
      <c r="E11" s="385">
        <v>723.25</v>
      </c>
      <c r="F11" s="385">
        <v>757.29</v>
      </c>
      <c r="G11" s="385">
        <v>779.47</v>
      </c>
      <c r="H11" s="385">
        <v>802.55</v>
      </c>
      <c r="I11" s="385">
        <v>831.23</v>
      </c>
      <c r="J11" s="385">
        <v>852.76</v>
      </c>
      <c r="K11" s="385">
        <v>892.27</v>
      </c>
      <c r="L11" s="385">
        <v>964</v>
      </c>
      <c r="N11" s="668"/>
    </row>
    <row r="12" spans="1:14" s="4" customFormat="1" ht="15" customHeight="1">
      <c r="A12" s="661" t="s">
        <v>557</v>
      </c>
      <c r="B12" s="385">
        <v>650.83000000000004</v>
      </c>
      <c r="C12" s="385">
        <v>661.46</v>
      </c>
      <c r="D12" s="385">
        <v>668.83</v>
      </c>
      <c r="E12" s="385">
        <v>685.64</v>
      </c>
      <c r="F12" s="385">
        <v>704.33</v>
      </c>
      <c r="G12" s="385">
        <v>733.18</v>
      </c>
      <c r="H12" s="385">
        <v>764.65</v>
      </c>
      <c r="I12" s="385">
        <v>802.58</v>
      </c>
      <c r="J12" s="385">
        <v>845.09</v>
      </c>
      <c r="K12" s="385">
        <v>885.57</v>
      </c>
      <c r="L12" s="385">
        <v>949.32</v>
      </c>
      <c r="N12" s="668"/>
    </row>
    <row r="13" spans="1:14" s="4" customFormat="1" ht="15" customHeight="1">
      <c r="A13" s="661" t="s">
        <v>558</v>
      </c>
      <c r="B13" s="385">
        <v>744.16</v>
      </c>
      <c r="C13" s="385">
        <v>745.33</v>
      </c>
      <c r="D13" s="385">
        <v>747.62</v>
      </c>
      <c r="E13" s="385">
        <v>750.66</v>
      </c>
      <c r="F13" s="385">
        <v>766.74</v>
      </c>
      <c r="G13" s="385">
        <v>789.36</v>
      </c>
      <c r="H13" s="385">
        <v>816.21</v>
      </c>
      <c r="I13" s="385">
        <v>838.94</v>
      </c>
      <c r="J13" s="385">
        <v>872.95</v>
      </c>
      <c r="K13" s="385">
        <v>922.59</v>
      </c>
      <c r="L13" s="385">
        <v>988.16</v>
      </c>
      <c r="N13" s="668"/>
    </row>
    <row r="14" spans="1:14" s="4" customFormat="1" ht="15" customHeight="1">
      <c r="A14" s="661" t="s">
        <v>559</v>
      </c>
      <c r="B14" s="385">
        <v>705.28</v>
      </c>
      <c r="C14" s="385">
        <v>702.36</v>
      </c>
      <c r="D14" s="385">
        <v>711.04</v>
      </c>
      <c r="E14" s="385">
        <v>732.9</v>
      </c>
      <c r="F14" s="385">
        <v>751.28</v>
      </c>
      <c r="G14" s="385">
        <v>770.98</v>
      </c>
      <c r="H14" s="385">
        <v>799.16</v>
      </c>
      <c r="I14" s="385">
        <v>833.66</v>
      </c>
      <c r="J14" s="385">
        <v>864.26</v>
      </c>
      <c r="K14" s="385">
        <v>899.68</v>
      </c>
      <c r="L14" s="385">
        <v>965.83</v>
      </c>
      <c r="N14" s="668"/>
    </row>
    <row r="15" spans="1:14" s="4" customFormat="1" ht="15" customHeight="1">
      <c r="A15" s="17" t="s">
        <v>560</v>
      </c>
      <c r="B15" s="667">
        <v>790.3</v>
      </c>
      <c r="C15" s="667">
        <v>791.69</v>
      </c>
      <c r="D15" s="667">
        <v>797.26</v>
      </c>
      <c r="E15" s="667">
        <v>811.52</v>
      </c>
      <c r="F15" s="667">
        <v>830.13</v>
      </c>
      <c r="G15" s="667">
        <v>859.11</v>
      </c>
      <c r="H15" s="667">
        <v>891.47</v>
      </c>
      <c r="I15" s="667">
        <v>920.01</v>
      </c>
      <c r="J15" s="667">
        <v>961.02</v>
      </c>
      <c r="K15" s="667">
        <v>1007.64</v>
      </c>
      <c r="L15" s="667">
        <v>1075.43</v>
      </c>
      <c r="N15" s="668"/>
    </row>
    <row r="16" spans="1:14" s="4" customFormat="1" ht="15" customHeight="1">
      <c r="A16" s="661" t="s">
        <v>561</v>
      </c>
      <c r="B16" s="385">
        <v>833.28</v>
      </c>
      <c r="C16" s="385">
        <v>840.87</v>
      </c>
      <c r="D16" s="385">
        <v>850.11</v>
      </c>
      <c r="E16" s="385">
        <v>860.22</v>
      </c>
      <c r="F16" s="385">
        <v>876.7</v>
      </c>
      <c r="G16" s="385">
        <v>907.62</v>
      </c>
      <c r="H16" s="385">
        <v>947.58</v>
      </c>
      <c r="I16" s="385">
        <v>970.59</v>
      </c>
      <c r="J16" s="385">
        <v>1011.7</v>
      </c>
      <c r="K16" s="385">
        <v>1065.4100000000001</v>
      </c>
      <c r="L16" s="385">
        <v>1142.06</v>
      </c>
      <c r="N16" s="668"/>
    </row>
    <row r="17" spans="1:14" s="4" customFormat="1" ht="15" customHeight="1">
      <c r="A17" s="661" t="s">
        <v>562</v>
      </c>
      <c r="B17" s="385">
        <v>811.27</v>
      </c>
      <c r="C17" s="385">
        <v>798.25</v>
      </c>
      <c r="D17" s="385">
        <v>798.23</v>
      </c>
      <c r="E17" s="385">
        <v>813.19</v>
      </c>
      <c r="F17" s="385">
        <v>831.44</v>
      </c>
      <c r="G17" s="385">
        <v>860.34</v>
      </c>
      <c r="H17" s="385">
        <v>892.77</v>
      </c>
      <c r="I17" s="385">
        <v>921.46</v>
      </c>
      <c r="J17" s="385">
        <v>964.52</v>
      </c>
      <c r="K17" s="385">
        <v>1011.46</v>
      </c>
      <c r="L17" s="385">
        <v>1081.05</v>
      </c>
      <c r="N17" s="668"/>
    </row>
    <row r="18" spans="1:14" s="4" customFormat="1" ht="15" customHeight="1">
      <c r="A18" s="661" t="s">
        <v>563</v>
      </c>
      <c r="B18" s="385">
        <v>809.51</v>
      </c>
      <c r="C18" s="385">
        <v>816.84</v>
      </c>
      <c r="D18" s="385">
        <v>825.07</v>
      </c>
      <c r="E18" s="385">
        <v>839.81</v>
      </c>
      <c r="F18" s="385">
        <v>859.07</v>
      </c>
      <c r="G18" s="385">
        <v>894</v>
      </c>
      <c r="H18" s="385">
        <v>921.39</v>
      </c>
      <c r="I18" s="385">
        <v>947.75</v>
      </c>
      <c r="J18" s="385">
        <v>986.61</v>
      </c>
      <c r="K18" s="385">
        <v>1034.0899999999999</v>
      </c>
      <c r="L18" s="385">
        <v>1096.77</v>
      </c>
      <c r="N18" s="668"/>
    </row>
    <row r="19" spans="1:14" s="4" customFormat="1" ht="15" customHeight="1">
      <c r="A19" s="661" t="s">
        <v>564</v>
      </c>
      <c r="B19" s="385">
        <v>744.87</v>
      </c>
      <c r="C19" s="385">
        <v>742.83</v>
      </c>
      <c r="D19" s="385">
        <v>745.16</v>
      </c>
      <c r="E19" s="385">
        <v>757.72</v>
      </c>
      <c r="F19" s="385">
        <v>777.17</v>
      </c>
      <c r="G19" s="385">
        <v>802.22</v>
      </c>
      <c r="H19" s="385">
        <v>830.2</v>
      </c>
      <c r="I19" s="385">
        <v>862.87</v>
      </c>
      <c r="J19" s="385">
        <v>906.83</v>
      </c>
      <c r="K19" s="385">
        <v>944.07</v>
      </c>
      <c r="L19" s="385">
        <v>1009.72</v>
      </c>
      <c r="N19" s="668"/>
    </row>
    <row r="20" spans="1:14" s="4" customFormat="1" ht="15" customHeight="1">
      <c r="A20" s="661" t="s">
        <v>565</v>
      </c>
      <c r="B20" s="385">
        <v>723.64</v>
      </c>
      <c r="C20" s="385">
        <v>726.57</v>
      </c>
      <c r="D20" s="385">
        <v>730.63</v>
      </c>
      <c r="E20" s="385">
        <v>750.33</v>
      </c>
      <c r="F20" s="385">
        <v>767.59</v>
      </c>
      <c r="G20" s="385">
        <v>786.68</v>
      </c>
      <c r="H20" s="385">
        <v>812.51</v>
      </c>
      <c r="I20" s="385">
        <v>851.68</v>
      </c>
      <c r="J20" s="385">
        <v>894.93</v>
      </c>
      <c r="K20" s="385">
        <v>926.52</v>
      </c>
      <c r="L20" s="385">
        <v>990.62</v>
      </c>
      <c r="N20" s="668"/>
    </row>
    <row r="21" spans="1:14" s="4" customFormat="1" ht="15" customHeight="1">
      <c r="A21" s="661" t="s">
        <v>566</v>
      </c>
      <c r="B21" s="385">
        <v>696.02</v>
      </c>
      <c r="C21" s="385">
        <v>706.7</v>
      </c>
      <c r="D21" s="385">
        <v>713.67</v>
      </c>
      <c r="E21" s="385">
        <v>731.12</v>
      </c>
      <c r="F21" s="385">
        <v>752.07</v>
      </c>
      <c r="G21" s="385">
        <v>776.5</v>
      </c>
      <c r="H21" s="385">
        <v>807.38</v>
      </c>
      <c r="I21" s="385">
        <v>841.02</v>
      </c>
      <c r="J21" s="385">
        <v>877.51</v>
      </c>
      <c r="K21" s="385">
        <v>921.32</v>
      </c>
      <c r="L21" s="385">
        <v>979.61</v>
      </c>
      <c r="N21" s="668"/>
    </row>
    <row r="22" spans="1:14" s="4" customFormat="1" ht="15" customHeight="1">
      <c r="A22" s="17" t="s">
        <v>567</v>
      </c>
      <c r="B22" s="667">
        <v>783.15</v>
      </c>
      <c r="C22" s="667">
        <v>784.39</v>
      </c>
      <c r="D22" s="667">
        <v>787.42</v>
      </c>
      <c r="E22" s="667">
        <v>795.81</v>
      </c>
      <c r="F22" s="667">
        <v>813.34</v>
      </c>
      <c r="G22" s="667">
        <v>833.08</v>
      </c>
      <c r="H22" s="667">
        <v>857.96</v>
      </c>
      <c r="I22" s="667">
        <v>892.06</v>
      </c>
      <c r="J22" s="667">
        <v>929.27</v>
      </c>
      <c r="K22" s="667">
        <v>969.17</v>
      </c>
      <c r="L22" s="667">
        <v>1035.0899999999999</v>
      </c>
      <c r="N22" s="668"/>
    </row>
    <row r="23" spans="1:14" s="4" customFormat="1" ht="15" customHeight="1">
      <c r="A23" s="661" t="s">
        <v>568</v>
      </c>
      <c r="B23" s="385">
        <v>770.77</v>
      </c>
      <c r="C23" s="385">
        <v>771.78</v>
      </c>
      <c r="D23" s="385">
        <v>770.07</v>
      </c>
      <c r="E23" s="385">
        <v>785.59</v>
      </c>
      <c r="F23" s="385">
        <v>801.29</v>
      </c>
      <c r="G23" s="385">
        <v>821.95</v>
      </c>
      <c r="H23" s="385">
        <v>848.7</v>
      </c>
      <c r="I23" s="385">
        <v>884.55</v>
      </c>
      <c r="J23" s="385">
        <v>926.96</v>
      </c>
      <c r="K23" s="385">
        <v>966.4</v>
      </c>
      <c r="L23" s="385">
        <v>1033.98</v>
      </c>
      <c r="N23" s="668"/>
    </row>
    <row r="24" spans="1:14" s="4" customFormat="1" ht="15" customHeight="1">
      <c r="A24" s="661" t="s">
        <v>569</v>
      </c>
      <c r="B24" s="385">
        <v>783.59</v>
      </c>
      <c r="C24" s="385">
        <v>785.86</v>
      </c>
      <c r="D24" s="385">
        <v>791.65</v>
      </c>
      <c r="E24" s="385">
        <v>795.89</v>
      </c>
      <c r="F24" s="385">
        <v>823.17</v>
      </c>
      <c r="G24" s="385">
        <v>843.09</v>
      </c>
      <c r="H24" s="385">
        <v>873.51</v>
      </c>
      <c r="I24" s="385">
        <v>905.27</v>
      </c>
      <c r="J24" s="385">
        <v>935.38</v>
      </c>
      <c r="K24" s="385">
        <v>969.05</v>
      </c>
      <c r="L24" s="385">
        <v>1035.3900000000001</v>
      </c>
      <c r="N24" s="668"/>
    </row>
    <row r="25" spans="1:14" s="4" customFormat="1" ht="15" customHeight="1">
      <c r="A25" s="661" t="s">
        <v>570</v>
      </c>
      <c r="B25" s="385">
        <v>801.77</v>
      </c>
      <c r="C25" s="385">
        <v>802.58</v>
      </c>
      <c r="D25" s="385">
        <v>810.85</v>
      </c>
      <c r="E25" s="385">
        <v>811.7</v>
      </c>
      <c r="F25" s="385">
        <v>823.12</v>
      </c>
      <c r="G25" s="385">
        <v>841.64</v>
      </c>
      <c r="H25" s="385">
        <v>858.78</v>
      </c>
      <c r="I25" s="385">
        <v>892.52</v>
      </c>
      <c r="J25" s="385">
        <v>927.76</v>
      </c>
      <c r="K25" s="385">
        <v>973.65</v>
      </c>
      <c r="L25" s="385">
        <v>1036.5899999999999</v>
      </c>
      <c r="N25" s="668"/>
    </row>
    <row r="26" spans="1:14" s="4" customFormat="1" ht="15" customHeight="1">
      <c r="A26" s="17" t="s">
        <v>571</v>
      </c>
      <c r="B26" s="667">
        <v>1184.3399999999999</v>
      </c>
      <c r="C26" s="667">
        <v>1174.23</v>
      </c>
      <c r="D26" s="667">
        <v>1175.57</v>
      </c>
      <c r="E26" s="667">
        <v>1179.78</v>
      </c>
      <c r="F26" s="667">
        <v>1197.4000000000001</v>
      </c>
      <c r="G26" s="667">
        <v>1219.74</v>
      </c>
      <c r="H26" s="667">
        <v>1255.78</v>
      </c>
      <c r="I26" s="667">
        <v>1293.07</v>
      </c>
      <c r="J26" s="667">
        <v>1339.8</v>
      </c>
      <c r="K26" s="667">
        <v>1418.39</v>
      </c>
      <c r="L26" s="667">
        <v>1505.99</v>
      </c>
      <c r="N26" s="668"/>
    </row>
    <row r="27" spans="1:14" s="4" customFormat="1" ht="15" customHeight="1">
      <c r="A27" s="17" t="s">
        <v>572</v>
      </c>
      <c r="B27" s="667">
        <v>947.19</v>
      </c>
      <c r="C27" s="667">
        <v>942.29</v>
      </c>
      <c r="D27" s="667">
        <v>958.82</v>
      </c>
      <c r="E27" s="667">
        <v>981.55</v>
      </c>
      <c r="F27" s="667">
        <v>991.49</v>
      </c>
      <c r="G27" s="667">
        <v>1000.7</v>
      </c>
      <c r="H27" s="667">
        <v>1025.8699999999999</v>
      </c>
      <c r="I27" s="667">
        <v>1059.8599999999999</v>
      </c>
      <c r="J27" s="667">
        <v>1079.49</v>
      </c>
      <c r="K27" s="667">
        <v>1126.71</v>
      </c>
      <c r="L27" s="667">
        <v>1188.27</v>
      </c>
      <c r="N27" s="668"/>
    </row>
    <row r="28" spans="1:14" s="4" customFormat="1" ht="15" customHeight="1">
      <c r="A28" s="17" t="s">
        <v>573</v>
      </c>
      <c r="B28" s="667">
        <v>806.92</v>
      </c>
      <c r="C28" s="667">
        <v>805.21</v>
      </c>
      <c r="D28" s="667">
        <v>807.44</v>
      </c>
      <c r="E28" s="667">
        <v>813.39</v>
      </c>
      <c r="F28" s="667">
        <v>830.83</v>
      </c>
      <c r="G28" s="667">
        <v>854.15</v>
      </c>
      <c r="H28" s="667">
        <v>874.15</v>
      </c>
      <c r="I28" s="667">
        <v>908.53</v>
      </c>
      <c r="J28" s="667">
        <v>942.08</v>
      </c>
      <c r="K28" s="667">
        <v>988.91</v>
      </c>
      <c r="L28" s="667">
        <v>1053.06</v>
      </c>
      <c r="N28" s="668"/>
    </row>
    <row r="29" spans="1:14" s="4" customFormat="1" ht="15" customHeight="1">
      <c r="A29" s="661" t="s">
        <v>574</v>
      </c>
      <c r="B29" s="385">
        <v>908.99</v>
      </c>
      <c r="C29" s="385">
        <v>893.32</v>
      </c>
      <c r="D29" s="385">
        <v>884.28</v>
      </c>
      <c r="E29" s="385">
        <v>882.81</v>
      </c>
      <c r="F29" s="385">
        <v>894.34</v>
      </c>
      <c r="G29" s="385">
        <v>914.74</v>
      </c>
      <c r="H29" s="385">
        <v>916.54</v>
      </c>
      <c r="I29" s="385">
        <v>952</v>
      </c>
      <c r="J29" s="385">
        <v>976.17</v>
      </c>
      <c r="K29" s="385">
        <v>1023.18</v>
      </c>
      <c r="L29" s="385">
        <v>1108.18</v>
      </c>
      <c r="N29" s="668"/>
    </row>
    <row r="30" spans="1:14" s="4" customFormat="1" ht="15" customHeight="1">
      <c r="A30" s="661" t="s">
        <v>575</v>
      </c>
      <c r="B30" s="385">
        <v>786.72</v>
      </c>
      <c r="C30" s="385">
        <v>786.13</v>
      </c>
      <c r="D30" s="385">
        <v>793.32</v>
      </c>
      <c r="E30" s="385">
        <v>797.44</v>
      </c>
      <c r="F30" s="385">
        <v>822.89</v>
      </c>
      <c r="G30" s="385">
        <v>852.59</v>
      </c>
      <c r="H30" s="385">
        <v>885.25</v>
      </c>
      <c r="I30" s="385">
        <v>911.63</v>
      </c>
      <c r="J30" s="385">
        <v>950.68</v>
      </c>
      <c r="K30" s="385">
        <v>994.2</v>
      </c>
      <c r="L30" s="385">
        <v>1044.58</v>
      </c>
      <c r="N30" s="668"/>
    </row>
    <row r="31" spans="1:14" s="4" customFormat="1" ht="15" customHeight="1">
      <c r="A31" s="661" t="s">
        <v>576</v>
      </c>
      <c r="B31" s="385">
        <v>750.15</v>
      </c>
      <c r="C31" s="385">
        <v>754.22</v>
      </c>
      <c r="D31" s="385">
        <v>755.71</v>
      </c>
      <c r="E31" s="385">
        <v>767.83</v>
      </c>
      <c r="F31" s="385">
        <v>783.59</v>
      </c>
      <c r="G31" s="385">
        <v>805.96</v>
      </c>
      <c r="H31" s="385">
        <v>828.76</v>
      </c>
      <c r="I31" s="385">
        <v>863.38</v>
      </c>
      <c r="J31" s="385">
        <v>899.36</v>
      </c>
      <c r="K31" s="385">
        <v>939.13</v>
      </c>
      <c r="L31" s="385">
        <v>990.36</v>
      </c>
      <c r="N31" s="668"/>
    </row>
    <row r="32" spans="1:14" s="4" customFormat="1" ht="15" customHeight="1">
      <c r="A32" s="661" t="s">
        <v>577</v>
      </c>
      <c r="B32" s="385">
        <v>789.17</v>
      </c>
      <c r="C32" s="385">
        <v>791.91</v>
      </c>
      <c r="D32" s="385">
        <v>796.55</v>
      </c>
      <c r="E32" s="385">
        <v>804.02</v>
      </c>
      <c r="F32" s="385">
        <v>819.6</v>
      </c>
      <c r="G32" s="385">
        <v>839.16</v>
      </c>
      <c r="H32" s="385">
        <v>861.13</v>
      </c>
      <c r="I32" s="385">
        <v>898.01</v>
      </c>
      <c r="J32" s="385">
        <v>931.83</v>
      </c>
      <c r="K32" s="385">
        <v>984.11</v>
      </c>
      <c r="L32" s="385">
        <v>1049.8499999999999</v>
      </c>
      <c r="N32" s="668"/>
    </row>
    <row r="33" spans="1:14" s="20" customFormat="1" ht="15" customHeight="1">
      <c r="A33" s="19" t="s">
        <v>578</v>
      </c>
      <c r="B33" s="669">
        <v>785.87</v>
      </c>
      <c r="C33" s="669">
        <v>780.52</v>
      </c>
      <c r="D33" s="669">
        <v>781.12</v>
      </c>
      <c r="E33" s="669">
        <v>793.76</v>
      </c>
      <c r="F33" s="669">
        <v>810.99</v>
      </c>
      <c r="G33" s="669">
        <v>836.09</v>
      </c>
      <c r="H33" s="669">
        <v>861.15</v>
      </c>
      <c r="I33" s="669">
        <v>897.18</v>
      </c>
      <c r="J33" s="669">
        <v>928.44</v>
      </c>
      <c r="K33" s="669">
        <v>965.83</v>
      </c>
      <c r="L33" s="669">
        <v>1031.25</v>
      </c>
      <c r="N33" s="668"/>
    </row>
    <row r="34" spans="1:14" s="4" customFormat="1" ht="15" customHeight="1">
      <c r="A34" s="222" t="s">
        <v>138</v>
      </c>
      <c r="B34" s="309"/>
      <c r="C34" s="309"/>
      <c r="D34" s="143"/>
      <c r="E34" s="143"/>
      <c r="F34" s="143"/>
      <c r="G34" s="143"/>
      <c r="H34" s="143"/>
      <c r="I34" s="143"/>
      <c r="J34" s="143"/>
      <c r="K34" s="143"/>
      <c r="L34" s="143"/>
    </row>
    <row r="35" spans="1:14" s="4" customFormat="1" ht="25.5" customHeight="1">
      <c r="A35" s="803" t="s">
        <v>130</v>
      </c>
      <c r="B35" s="803"/>
      <c r="C35" s="803"/>
      <c r="D35" s="803"/>
      <c r="E35" s="803"/>
      <c r="F35" s="803"/>
      <c r="G35" s="803"/>
      <c r="H35" s="803"/>
      <c r="I35" s="803"/>
      <c r="J35" s="803"/>
      <c r="K35" s="803"/>
      <c r="L35" s="803"/>
    </row>
    <row r="36" spans="1:14" s="670" customFormat="1" ht="15.75" customHeight="1">
      <c r="B36" s="671"/>
      <c r="C36" s="671"/>
    </row>
    <row r="37" spans="1:14" s="670" customFormat="1" ht="15.75" customHeight="1">
      <c r="B37" s="671"/>
      <c r="C37" s="671"/>
    </row>
    <row r="38" spans="1:14" s="670" customFormat="1" ht="15.75" customHeight="1">
      <c r="B38" s="671"/>
      <c r="C38" s="671"/>
    </row>
    <row r="39" spans="1:14" s="670" customFormat="1" ht="15.75" customHeight="1">
      <c r="B39" s="671"/>
      <c r="C39" s="671"/>
    </row>
    <row r="40" spans="1:14" s="670" customFormat="1" ht="15.75" customHeight="1">
      <c r="B40" s="671"/>
      <c r="C40" s="671"/>
    </row>
    <row r="41" spans="1:14" s="670" customFormat="1" ht="15.75" customHeight="1">
      <c r="B41" s="671"/>
      <c r="C41" s="671"/>
    </row>
    <row r="42" spans="1:14" s="670" customFormat="1" ht="15.75" customHeight="1">
      <c r="B42" s="671"/>
      <c r="C42" s="671"/>
    </row>
  </sheetData>
  <mergeCells count="2">
    <mergeCell ref="A1:L1"/>
    <mergeCell ref="A35:L35"/>
  </mergeCells>
  <conditionalFormatting sqref="A1 A35 H3 M6:M7 M1:N5 A2:D2 A36:D1048576 A4:C4 A3:B3 B34:D34 M8:N61 B5:L33 O1:XFD61 M62:XFD1048576">
    <cfRule type="cellIs" dxfId="563" priority="22" operator="equal">
      <formula>0</formula>
    </cfRule>
  </conditionalFormatting>
  <conditionalFormatting sqref="A34">
    <cfRule type="cellIs" dxfId="562" priority="21" operator="equal">
      <formula>0</formula>
    </cfRule>
  </conditionalFormatting>
  <conditionalFormatting sqref="D4">
    <cfRule type="cellIs" dxfId="561" priority="20" operator="equal">
      <formula>0</formula>
    </cfRule>
  </conditionalFormatting>
  <conditionalFormatting sqref="G2 G34 G36:G1048576">
    <cfRule type="cellIs" dxfId="560" priority="19" operator="equal">
      <formula>0</formula>
    </cfRule>
  </conditionalFormatting>
  <conditionalFormatting sqref="E2 E34 E36:E1048576">
    <cfRule type="cellIs" dxfId="559" priority="18" operator="equal">
      <formula>0</formula>
    </cfRule>
  </conditionalFormatting>
  <conditionalFormatting sqref="E4:G4">
    <cfRule type="cellIs" dxfId="558" priority="17" operator="equal">
      <formula>0</formula>
    </cfRule>
  </conditionalFormatting>
  <conditionalFormatting sqref="F2 F34 F36:F1048576">
    <cfRule type="cellIs" dxfId="557" priority="16" operator="equal">
      <formula>0</formula>
    </cfRule>
  </conditionalFormatting>
  <conditionalFormatting sqref="H2 H34 H36:H1048576">
    <cfRule type="cellIs" dxfId="556" priority="15" operator="equal">
      <formula>0</formula>
    </cfRule>
  </conditionalFormatting>
  <conditionalFormatting sqref="H4">
    <cfRule type="cellIs" dxfId="555" priority="14" operator="equal">
      <formula>0</formula>
    </cfRule>
  </conditionalFormatting>
  <conditionalFormatting sqref="I3">
    <cfRule type="cellIs" dxfId="554" priority="13" operator="equal">
      <formula>0</formula>
    </cfRule>
  </conditionalFormatting>
  <conditionalFormatting sqref="I2 I34 I36:I1048576">
    <cfRule type="cellIs" dxfId="553" priority="12" operator="equal">
      <formula>0</formula>
    </cfRule>
  </conditionalFormatting>
  <conditionalFormatting sqref="I4">
    <cfRule type="cellIs" dxfId="552" priority="11" operator="equal">
      <formula>0</formula>
    </cfRule>
  </conditionalFormatting>
  <conditionalFormatting sqref="N6">
    <cfRule type="cellIs" dxfId="551" priority="10" operator="equal">
      <formula>0</formula>
    </cfRule>
  </conditionalFormatting>
  <conditionalFormatting sqref="J3">
    <cfRule type="cellIs" dxfId="550" priority="9" operator="equal">
      <formula>0</formula>
    </cfRule>
  </conditionalFormatting>
  <conditionalFormatting sqref="J2 J34 J36:J1048576">
    <cfRule type="cellIs" dxfId="549" priority="8" operator="equal">
      <formula>0</formula>
    </cfRule>
  </conditionalFormatting>
  <conditionalFormatting sqref="J4">
    <cfRule type="cellIs" dxfId="548" priority="7" operator="equal">
      <formula>0</formula>
    </cfRule>
  </conditionalFormatting>
  <conditionalFormatting sqref="K3">
    <cfRule type="cellIs" dxfId="547" priority="6" operator="equal">
      <formula>0</formula>
    </cfRule>
  </conditionalFormatting>
  <conditionalFormatting sqref="K2 K34 K36:K1048576">
    <cfRule type="cellIs" dxfId="546" priority="5" operator="equal">
      <formula>0</formula>
    </cfRule>
  </conditionalFormatting>
  <conditionalFormatting sqref="K4">
    <cfRule type="cellIs" dxfId="545" priority="4" operator="equal">
      <formula>0</formula>
    </cfRule>
  </conditionalFormatting>
  <conditionalFormatting sqref="L3">
    <cfRule type="cellIs" dxfId="544" priority="3" operator="equal">
      <formula>0</formula>
    </cfRule>
  </conditionalFormatting>
  <conditionalFormatting sqref="L2 L34 L36:L1048576">
    <cfRule type="cellIs" dxfId="543" priority="2" operator="equal">
      <formula>0</formula>
    </cfRule>
  </conditionalFormatting>
  <conditionalFormatting sqref="L4">
    <cfRule type="cellIs" dxfId="542"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3">
    <tabColor indexed="26"/>
    <pageSetUpPr fitToPage="1"/>
  </sheetPr>
  <dimension ref="A1:O45"/>
  <sheetViews>
    <sheetView showGridLines="0" workbookViewId="0">
      <selection sqref="A1:M1"/>
    </sheetView>
  </sheetViews>
  <sheetFormatPr defaultColWidth="9.140625" defaultRowHeight="15" customHeight="1"/>
  <cols>
    <col min="1" max="1" width="17.140625" style="132" customWidth="1"/>
    <col min="2" max="2" width="2.42578125" style="141" customWidth="1"/>
    <col min="3" max="13" width="6.42578125" style="132" customWidth="1"/>
    <col min="14" max="14" width="9.140625" style="230"/>
    <col min="15" max="16384" width="9.140625" style="132"/>
  </cols>
  <sheetData>
    <row r="1" spans="1:15" s="137" customFormat="1" ht="28.5" customHeight="1">
      <c r="A1" s="767" t="s">
        <v>718</v>
      </c>
      <c r="B1" s="767"/>
      <c r="C1" s="767"/>
      <c r="D1" s="767"/>
      <c r="E1" s="767"/>
      <c r="F1" s="767"/>
      <c r="G1" s="767"/>
      <c r="H1" s="767"/>
      <c r="I1" s="767"/>
      <c r="J1" s="767"/>
      <c r="K1" s="767"/>
      <c r="L1" s="767"/>
      <c r="M1" s="767"/>
      <c r="N1" s="228"/>
    </row>
    <row r="2" spans="1:15" s="274" customFormat="1" ht="15" customHeight="1">
      <c r="A2" s="254"/>
      <c r="B2" s="255"/>
      <c r="C2" s="254"/>
      <c r="D2" s="254"/>
      <c r="E2" s="254"/>
      <c r="F2" s="254"/>
      <c r="G2" s="254"/>
      <c r="H2" s="254"/>
      <c r="I2" s="254"/>
      <c r="J2" s="254"/>
      <c r="K2" s="254"/>
      <c r="L2" s="254"/>
      <c r="M2" s="254"/>
      <c r="N2" s="273"/>
    </row>
    <row r="3" spans="1:15" s="274" customFormat="1" ht="15" customHeight="1">
      <c r="A3" s="254" t="s">
        <v>14</v>
      </c>
      <c r="B3" s="255"/>
      <c r="C3" s="235"/>
      <c r="E3" s="235"/>
      <c r="G3" s="332"/>
      <c r="H3" s="332"/>
      <c r="I3" s="332"/>
      <c r="J3" s="332"/>
      <c r="K3" s="332"/>
      <c r="L3" s="332"/>
      <c r="M3" s="332" t="s">
        <v>68</v>
      </c>
      <c r="N3" s="273"/>
    </row>
    <row r="4" spans="1:15" s="260" customFormat="1" ht="28.5" customHeight="1" thickBot="1">
      <c r="A4" s="258"/>
      <c r="B4" s="258"/>
      <c r="C4" s="258">
        <v>2013</v>
      </c>
      <c r="D4" s="258">
        <v>2014</v>
      </c>
      <c r="E4" s="258">
        <v>2015</v>
      </c>
      <c r="F4" s="258">
        <v>2016</v>
      </c>
      <c r="G4" s="258">
        <v>2017</v>
      </c>
      <c r="H4" s="258">
        <v>2018</v>
      </c>
      <c r="I4" s="258">
        <v>2019</v>
      </c>
      <c r="J4" s="258">
        <v>2020</v>
      </c>
      <c r="K4" s="258">
        <v>2021</v>
      </c>
      <c r="L4" s="258">
        <v>2022</v>
      </c>
      <c r="M4" s="258">
        <v>2023</v>
      </c>
      <c r="N4" s="275"/>
    </row>
    <row r="5" spans="1:15" s="262" customFormat="1" ht="16.5" customHeight="1" thickTop="1">
      <c r="A5" s="248" t="s">
        <v>12</v>
      </c>
      <c r="B5" s="440" t="s">
        <v>45</v>
      </c>
      <c r="C5" s="379">
        <v>912.18</v>
      </c>
      <c r="D5" s="379">
        <v>909.49</v>
      </c>
      <c r="E5" s="379">
        <v>913.93</v>
      </c>
      <c r="F5" s="379">
        <v>924.94</v>
      </c>
      <c r="G5" s="379">
        <v>943</v>
      </c>
      <c r="H5" s="379">
        <v>970.42</v>
      </c>
      <c r="I5" s="379">
        <v>1005.09</v>
      </c>
      <c r="J5" s="379">
        <v>1041.99</v>
      </c>
      <c r="K5" s="379">
        <v>1082.77</v>
      </c>
      <c r="L5" s="379">
        <v>1143.45</v>
      </c>
      <c r="M5" s="379">
        <v>1219.8699999999999</v>
      </c>
      <c r="N5" s="276"/>
      <c r="O5" s="260"/>
    </row>
    <row r="6" spans="1:15" s="262" customFormat="1" ht="12.75" customHeight="1">
      <c r="A6" s="238"/>
      <c r="B6" s="440" t="s">
        <v>53</v>
      </c>
      <c r="C6" s="380">
        <v>993.79</v>
      </c>
      <c r="D6" s="380">
        <v>985.02</v>
      </c>
      <c r="E6" s="380">
        <v>990.05</v>
      </c>
      <c r="F6" s="380">
        <v>997.38</v>
      </c>
      <c r="G6" s="380">
        <v>1012.25</v>
      </c>
      <c r="H6" s="380">
        <v>1039.08</v>
      </c>
      <c r="I6" s="380">
        <v>1073.82</v>
      </c>
      <c r="J6" s="380">
        <v>1109.21</v>
      </c>
      <c r="K6" s="380">
        <v>1152.24</v>
      </c>
      <c r="L6" s="380">
        <v>1217.33</v>
      </c>
      <c r="M6" s="380">
        <v>1294.03</v>
      </c>
      <c r="N6" s="276"/>
      <c r="O6" s="260"/>
    </row>
    <row r="7" spans="1:15" s="262" customFormat="1" ht="12.75" customHeight="1">
      <c r="A7" s="238"/>
      <c r="B7" s="440" t="s">
        <v>54</v>
      </c>
      <c r="C7" s="380">
        <v>816.21</v>
      </c>
      <c r="D7" s="380">
        <v>820.25</v>
      </c>
      <c r="E7" s="380">
        <v>824.99</v>
      </c>
      <c r="F7" s="380">
        <v>840.26</v>
      </c>
      <c r="G7" s="380">
        <v>861.17</v>
      </c>
      <c r="H7" s="380">
        <v>888.56</v>
      </c>
      <c r="I7" s="380">
        <v>922.63</v>
      </c>
      <c r="J7" s="380">
        <v>960.27</v>
      </c>
      <c r="K7" s="380">
        <v>999.33</v>
      </c>
      <c r="L7" s="380">
        <v>1054.3599999999999</v>
      </c>
      <c r="M7" s="380">
        <v>1129.6400000000001</v>
      </c>
      <c r="N7" s="276"/>
      <c r="O7" s="260"/>
    </row>
    <row r="8" spans="1:15" s="124" customFormat="1" ht="16.5" customHeight="1">
      <c r="A8" s="56" t="s">
        <v>55</v>
      </c>
      <c r="B8" s="54" t="s">
        <v>45</v>
      </c>
      <c r="C8" s="389">
        <v>553.22</v>
      </c>
      <c r="D8" s="389">
        <v>673.39</v>
      </c>
      <c r="E8" s="389">
        <v>645.97</v>
      </c>
      <c r="F8" s="389">
        <v>688.29</v>
      </c>
      <c r="G8" s="389">
        <v>682.82</v>
      </c>
      <c r="H8" s="389">
        <v>693.22</v>
      </c>
      <c r="I8" s="389">
        <v>939.88</v>
      </c>
      <c r="J8" s="389">
        <v>1150.33</v>
      </c>
      <c r="K8" s="389">
        <v>1101.01</v>
      </c>
      <c r="L8" s="389">
        <v>1066.3</v>
      </c>
      <c r="M8" s="389">
        <v>1101.81</v>
      </c>
      <c r="N8" s="226"/>
      <c r="O8" s="260"/>
    </row>
    <row r="9" spans="1:15" s="124" customFormat="1" ht="12.75" customHeight="1">
      <c r="A9" s="57"/>
      <c r="B9" s="58" t="s">
        <v>53</v>
      </c>
      <c r="C9" s="391">
        <v>573.76</v>
      </c>
      <c r="D9" s="391">
        <v>751.18</v>
      </c>
      <c r="E9" s="391">
        <v>701.72</v>
      </c>
      <c r="F9" s="391">
        <v>744.59</v>
      </c>
      <c r="G9" s="391">
        <v>727.96</v>
      </c>
      <c r="H9" s="391">
        <v>733.3</v>
      </c>
      <c r="I9" s="391">
        <v>1031.6600000000001</v>
      </c>
      <c r="J9" s="391">
        <v>1255.5999999999999</v>
      </c>
      <c r="K9" s="391">
        <v>1222.71</v>
      </c>
      <c r="L9" s="391">
        <v>1184.3699999999999</v>
      </c>
      <c r="M9" s="391">
        <v>1204.42</v>
      </c>
      <c r="N9" s="226"/>
      <c r="O9" s="298"/>
    </row>
    <row r="10" spans="1:15" s="124" customFormat="1" ht="12.75" customHeight="1">
      <c r="A10" s="56"/>
      <c r="B10" s="58" t="s">
        <v>54</v>
      </c>
      <c r="C10" s="391">
        <v>511.82</v>
      </c>
      <c r="D10" s="391">
        <v>523.85</v>
      </c>
      <c r="E10" s="391">
        <v>525.66</v>
      </c>
      <c r="F10" s="391">
        <v>546.78</v>
      </c>
      <c r="G10" s="391">
        <v>564.61</v>
      </c>
      <c r="H10" s="391">
        <v>609.04999999999995</v>
      </c>
      <c r="I10" s="391">
        <v>698</v>
      </c>
      <c r="J10" s="391">
        <v>662.49</v>
      </c>
      <c r="K10" s="391">
        <v>686.48</v>
      </c>
      <c r="L10" s="391">
        <v>743.66</v>
      </c>
      <c r="M10" s="391">
        <v>801.79</v>
      </c>
      <c r="N10" s="226"/>
      <c r="O10" s="298"/>
    </row>
    <row r="11" spans="1:15" s="124" customFormat="1" ht="16.5" customHeight="1">
      <c r="A11" s="56" t="s">
        <v>56</v>
      </c>
      <c r="B11" s="54" t="s">
        <v>45</v>
      </c>
      <c r="C11" s="389">
        <v>602.54999999999995</v>
      </c>
      <c r="D11" s="389">
        <v>607.62</v>
      </c>
      <c r="E11" s="389">
        <v>621.04999999999995</v>
      </c>
      <c r="F11" s="389">
        <v>639.49</v>
      </c>
      <c r="G11" s="389">
        <v>664.29</v>
      </c>
      <c r="H11" s="389">
        <v>693.67</v>
      </c>
      <c r="I11" s="389">
        <v>727.92</v>
      </c>
      <c r="J11" s="389">
        <v>762.02</v>
      </c>
      <c r="K11" s="389">
        <v>799.28</v>
      </c>
      <c r="L11" s="389">
        <v>857.95</v>
      </c>
      <c r="M11" s="389">
        <v>925.26</v>
      </c>
      <c r="N11" s="226"/>
      <c r="O11" s="298"/>
    </row>
    <row r="12" spans="1:15" s="124" customFormat="1" ht="12.75" customHeight="1">
      <c r="A12" s="57"/>
      <c r="B12" s="58" t="s">
        <v>53</v>
      </c>
      <c r="C12" s="391">
        <v>629.21</v>
      </c>
      <c r="D12" s="391">
        <v>629.14</v>
      </c>
      <c r="E12" s="391">
        <v>644.54999999999995</v>
      </c>
      <c r="F12" s="391">
        <v>660.61</v>
      </c>
      <c r="G12" s="391">
        <v>682.81</v>
      </c>
      <c r="H12" s="391">
        <v>713.13</v>
      </c>
      <c r="I12" s="391">
        <v>749.74</v>
      </c>
      <c r="J12" s="391">
        <v>781.78</v>
      </c>
      <c r="K12" s="391">
        <v>817.96</v>
      </c>
      <c r="L12" s="391">
        <v>881.22</v>
      </c>
      <c r="M12" s="391">
        <v>950.5</v>
      </c>
      <c r="N12" s="226"/>
      <c r="O12" s="298"/>
    </row>
    <row r="13" spans="1:15" s="124" customFormat="1" ht="12.75" customHeight="1">
      <c r="A13" s="56"/>
      <c r="B13" s="58" t="s">
        <v>54</v>
      </c>
      <c r="C13" s="391">
        <v>567.97</v>
      </c>
      <c r="D13" s="391">
        <v>579.35</v>
      </c>
      <c r="E13" s="391">
        <v>590.6</v>
      </c>
      <c r="F13" s="391">
        <v>612.13</v>
      </c>
      <c r="G13" s="391">
        <v>640.24</v>
      </c>
      <c r="H13" s="391">
        <v>667.73</v>
      </c>
      <c r="I13" s="391">
        <v>698.92</v>
      </c>
      <c r="J13" s="391">
        <v>734.65</v>
      </c>
      <c r="K13" s="391">
        <v>774.37</v>
      </c>
      <c r="L13" s="391">
        <v>827.2</v>
      </c>
      <c r="M13" s="391">
        <v>891.28</v>
      </c>
      <c r="N13" s="226"/>
      <c r="O13" s="298"/>
    </row>
    <row r="14" spans="1:15" s="124" customFormat="1" ht="16.5" customHeight="1">
      <c r="A14" s="56" t="s">
        <v>57</v>
      </c>
      <c r="B14" s="54" t="s">
        <v>45</v>
      </c>
      <c r="C14" s="389">
        <v>727.86</v>
      </c>
      <c r="D14" s="389">
        <v>726.43</v>
      </c>
      <c r="E14" s="389">
        <v>735.23</v>
      </c>
      <c r="F14" s="389">
        <v>756.47</v>
      </c>
      <c r="G14" s="389">
        <v>788.46</v>
      </c>
      <c r="H14" s="389">
        <v>822.43</v>
      </c>
      <c r="I14" s="389">
        <v>863.94</v>
      </c>
      <c r="J14" s="389">
        <v>902.1</v>
      </c>
      <c r="K14" s="389">
        <v>951.35</v>
      </c>
      <c r="L14" s="389">
        <v>1019.31</v>
      </c>
      <c r="M14" s="389">
        <v>1081.18</v>
      </c>
      <c r="N14" s="226"/>
      <c r="O14" s="298"/>
    </row>
    <row r="15" spans="1:15" s="124" customFormat="1" ht="12.75" customHeight="1">
      <c r="A15" s="57"/>
      <c r="B15" s="58" t="s">
        <v>53</v>
      </c>
      <c r="C15" s="391">
        <v>752.13</v>
      </c>
      <c r="D15" s="391">
        <v>749.18</v>
      </c>
      <c r="E15" s="391">
        <v>763.39</v>
      </c>
      <c r="F15" s="391">
        <v>785.23</v>
      </c>
      <c r="G15" s="391">
        <v>819.22</v>
      </c>
      <c r="H15" s="391">
        <v>854.04</v>
      </c>
      <c r="I15" s="391">
        <v>896.09</v>
      </c>
      <c r="J15" s="391">
        <v>930.39</v>
      </c>
      <c r="K15" s="391">
        <v>984.62</v>
      </c>
      <c r="L15" s="391">
        <v>1055.55</v>
      </c>
      <c r="M15" s="391">
        <v>1111.71</v>
      </c>
      <c r="N15" s="226"/>
      <c r="O15" s="298"/>
    </row>
    <row r="16" spans="1:15" s="124" customFormat="1" ht="12.75" customHeight="1">
      <c r="A16" s="56"/>
      <c r="B16" s="58" t="s">
        <v>54</v>
      </c>
      <c r="C16" s="391">
        <v>701.7</v>
      </c>
      <c r="D16" s="391">
        <v>701.29</v>
      </c>
      <c r="E16" s="391">
        <v>704.39</v>
      </c>
      <c r="F16" s="391">
        <v>724.54</v>
      </c>
      <c r="G16" s="391">
        <v>753.87</v>
      </c>
      <c r="H16" s="391">
        <v>786.45</v>
      </c>
      <c r="I16" s="391">
        <v>827.03</v>
      </c>
      <c r="J16" s="391">
        <v>868.82</v>
      </c>
      <c r="K16" s="391">
        <v>912.5</v>
      </c>
      <c r="L16" s="391">
        <v>975.99</v>
      </c>
      <c r="M16" s="391">
        <v>1043.8499999999999</v>
      </c>
      <c r="N16" s="226"/>
      <c r="O16" s="298"/>
    </row>
    <row r="17" spans="1:15" s="124" customFormat="1" ht="16.5" customHeight="1">
      <c r="A17" s="56" t="s">
        <v>58</v>
      </c>
      <c r="B17" s="54" t="s">
        <v>45</v>
      </c>
      <c r="C17" s="389">
        <v>837.55</v>
      </c>
      <c r="D17" s="389">
        <v>829.87</v>
      </c>
      <c r="E17" s="389">
        <v>834.19</v>
      </c>
      <c r="F17" s="389">
        <v>845.29</v>
      </c>
      <c r="G17" s="389">
        <v>867.5</v>
      </c>
      <c r="H17" s="389">
        <v>902.93</v>
      </c>
      <c r="I17" s="389">
        <v>948.01</v>
      </c>
      <c r="J17" s="389">
        <v>986.98</v>
      </c>
      <c r="K17" s="389">
        <v>1040.01</v>
      </c>
      <c r="L17" s="389">
        <v>1112.7</v>
      </c>
      <c r="M17" s="389">
        <v>1185.97</v>
      </c>
      <c r="N17" s="226"/>
      <c r="O17" s="298"/>
    </row>
    <row r="18" spans="1:15" s="124" customFormat="1" ht="12.75" customHeight="1">
      <c r="A18" s="57"/>
      <c r="B18" s="58" t="s">
        <v>53</v>
      </c>
      <c r="C18" s="391">
        <v>870.42</v>
      </c>
      <c r="D18" s="391">
        <v>857.08</v>
      </c>
      <c r="E18" s="391">
        <v>864.51</v>
      </c>
      <c r="F18" s="391">
        <v>873.35</v>
      </c>
      <c r="G18" s="391">
        <v>898.33</v>
      </c>
      <c r="H18" s="391">
        <v>942.25</v>
      </c>
      <c r="I18" s="391">
        <v>988.77</v>
      </c>
      <c r="J18" s="391">
        <v>1026.54</v>
      </c>
      <c r="K18" s="391">
        <v>1081.76</v>
      </c>
      <c r="L18" s="391">
        <v>1155.03</v>
      </c>
      <c r="M18" s="391">
        <v>1226.97</v>
      </c>
      <c r="N18" s="226"/>
      <c r="O18" s="298"/>
    </row>
    <row r="19" spans="1:15" s="124" customFormat="1" ht="12.75" customHeight="1">
      <c r="A19" s="56"/>
      <c r="B19" s="58" t="s">
        <v>54</v>
      </c>
      <c r="C19" s="391">
        <v>801.57</v>
      </c>
      <c r="D19" s="391">
        <v>799.66</v>
      </c>
      <c r="E19" s="391">
        <v>800.73</v>
      </c>
      <c r="F19" s="391">
        <v>813.95</v>
      </c>
      <c r="G19" s="391">
        <v>832.36</v>
      </c>
      <c r="H19" s="391">
        <v>856.99</v>
      </c>
      <c r="I19" s="391">
        <v>899.5</v>
      </c>
      <c r="J19" s="391">
        <v>938.62</v>
      </c>
      <c r="K19" s="391">
        <v>988.96</v>
      </c>
      <c r="L19" s="391">
        <v>1059.5999999999999</v>
      </c>
      <c r="M19" s="391">
        <v>1133.8</v>
      </c>
      <c r="N19" s="226"/>
      <c r="O19" s="298"/>
    </row>
    <row r="20" spans="1:15" s="124" customFormat="1" ht="16.5" customHeight="1">
      <c r="A20" s="56" t="s">
        <v>59</v>
      </c>
      <c r="B20" s="54" t="s">
        <v>45</v>
      </c>
      <c r="C20" s="389">
        <v>951.11</v>
      </c>
      <c r="D20" s="389">
        <v>940.3</v>
      </c>
      <c r="E20" s="389">
        <v>935.92</v>
      </c>
      <c r="F20" s="389">
        <v>943.39</v>
      </c>
      <c r="G20" s="389">
        <v>956.28</v>
      </c>
      <c r="H20" s="389">
        <v>979.27</v>
      </c>
      <c r="I20" s="389">
        <v>1016.51</v>
      </c>
      <c r="J20" s="389">
        <v>1049.22</v>
      </c>
      <c r="K20" s="389">
        <v>1092.93</v>
      </c>
      <c r="L20" s="389">
        <v>1163.1300000000001</v>
      </c>
      <c r="M20" s="389">
        <v>1240.07</v>
      </c>
      <c r="N20" s="229"/>
      <c r="O20" s="298"/>
    </row>
    <row r="21" spans="1:15" s="124" customFormat="1" ht="12.75" customHeight="1">
      <c r="A21" s="57"/>
      <c r="B21" s="58" t="s">
        <v>53</v>
      </c>
      <c r="C21" s="391">
        <v>1010.17</v>
      </c>
      <c r="D21" s="391">
        <v>993.54</v>
      </c>
      <c r="E21" s="391">
        <v>987.57</v>
      </c>
      <c r="F21" s="391">
        <v>992.66</v>
      </c>
      <c r="G21" s="391">
        <v>1003.76</v>
      </c>
      <c r="H21" s="391">
        <v>1027.18</v>
      </c>
      <c r="I21" s="391">
        <v>1066.02</v>
      </c>
      <c r="J21" s="391">
        <v>1097.29</v>
      </c>
      <c r="K21" s="391">
        <v>1149.93</v>
      </c>
      <c r="L21" s="391">
        <v>1230.6099999999999</v>
      </c>
      <c r="M21" s="391">
        <v>1309.3</v>
      </c>
      <c r="N21" s="226"/>
      <c r="O21" s="298"/>
    </row>
    <row r="22" spans="1:15" s="124" customFormat="1" ht="12.75" customHeight="1">
      <c r="A22" s="56"/>
      <c r="B22" s="58" t="s">
        <v>54</v>
      </c>
      <c r="C22" s="391">
        <v>885.52</v>
      </c>
      <c r="D22" s="391">
        <v>880.87</v>
      </c>
      <c r="E22" s="391">
        <v>879.09</v>
      </c>
      <c r="F22" s="391">
        <v>889.01</v>
      </c>
      <c r="G22" s="391">
        <v>903.49</v>
      </c>
      <c r="H22" s="391">
        <v>925.19</v>
      </c>
      <c r="I22" s="391">
        <v>959.68</v>
      </c>
      <c r="J22" s="391">
        <v>992.67</v>
      </c>
      <c r="K22" s="391">
        <v>1025.23</v>
      </c>
      <c r="L22" s="391">
        <v>1081.47</v>
      </c>
      <c r="M22" s="391">
        <v>1154.72</v>
      </c>
      <c r="N22" s="226"/>
      <c r="O22" s="298"/>
    </row>
    <row r="23" spans="1:15" s="124" customFormat="1" ht="16.5" customHeight="1">
      <c r="A23" s="56" t="s">
        <v>60</v>
      </c>
      <c r="B23" s="54" t="s">
        <v>45</v>
      </c>
      <c r="C23" s="389">
        <v>988.37</v>
      </c>
      <c r="D23" s="389">
        <v>994.63</v>
      </c>
      <c r="E23" s="389">
        <v>999.49</v>
      </c>
      <c r="F23" s="389">
        <v>1009.31</v>
      </c>
      <c r="G23" s="389">
        <v>1025.8399999999999</v>
      </c>
      <c r="H23" s="389">
        <v>1053.27</v>
      </c>
      <c r="I23" s="389">
        <v>1087.6099999999999</v>
      </c>
      <c r="J23" s="389">
        <v>1112.6099999999999</v>
      </c>
      <c r="K23" s="389">
        <v>1153.31</v>
      </c>
      <c r="L23" s="389">
        <v>1212.3499999999999</v>
      </c>
      <c r="M23" s="389">
        <v>1290.51</v>
      </c>
      <c r="N23" s="226"/>
      <c r="O23" s="298"/>
    </row>
    <row r="24" spans="1:15" s="124" customFormat="1" ht="12.75" customHeight="1">
      <c r="A24" s="57"/>
      <c r="B24" s="58" t="s">
        <v>53</v>
      </c>
      <c r="C24" s="391">
        <v>1081.29</v>
      </c>
      <c r="D24" s="391">
        <v>1080.48</v>
      </c>
      <c r="E24" s="391">
        <v>1083.3800000000001</v>
      </c>
      <c r="F24" s="391">
        <v>1087.28</v>
      </c>
      <c r="G24" s="391">
        <v>1097.33</v>
      </c>
      <c r="H24" s="391">
        <v>1124.75</v>
      </c>
      <c r="I24" s="391">
        <v>1160.19</v>
      </c>
      <c r="J24" s="391">
        <v>1180.1400000000001</v>
      </c>
      <c r="K24" s="391">
        <v>1224.8</v>
      </c>
      <c r="L24" s="391">
        <v>1290.67</v>
      </c>
      <c r="M24" s="391">
        <v>1369.84</v>
      </c>
      <c r="N24" s="226"/>
      <c r="O24" s="298"/>
    </row>
    <row r="25" spans="1:15" s="124" customFormat="1" ht="12.75" customHeight="1">
      <c r="A25" s="56"/>
      <c r="B25" s="58" t="s">
        <v>54</v>
      </c>
      <c r="C25" s="391">
        <v>882.78</v>
      </c>
      <c r="D25" s="391">
        <v>897.33</v>
      </c>
      <c r="E25" s="391">
        <v>905.82</v>
      </c>
      <c r="F25" s="391">
        <v>923</v>
      </c>
      <c r="G25" s="391">
        <v>946.44</v>
      </c>
      <c r="H25" s="391">
        <v>973.68</v>
      </c>
      <c r="I25" s="391">
        <v>1005.91</v>
      </c>
      <c r="J25" s="391">
        <v>1036.0899999999999</v>
      </c>
      <c r="K25" s="391">
        <v>1072.97</v>
      </c>
      <c r="L25" s="391">
        <v>1124.06</v>
      </c>
      <c r="M25" s="391">
        <v>1199.78</v>
      </c>
      <c r="N25" s="226"/>
      <c r="O25" s="298"/>
    </row>
    <row r="26" spans="1:15" s="124" customFormat="1" ht="16.5" customHeight="1">
      <c r="A26" s="56" t="s">
        <v>61</v>
      </c>
      <c r="B26" s="54" t="s">
        <v>45</v>
      </c>
      <c r="C26" s="389">
        <v>977.01</v>
      </c>
      <c r="D26" s="389">
        <v>972.14</v>
      </c>
      <c r="E26" s="389">
        <v>978.89</v>
      </c>
      <c r="F26" s="389">
        <v>995.05</v>
      </c>
      <c r="G26" s="389">
        <v>1021.83</v>
      </c>
      <c r="H26" s="389">
        <v>1057.7</v>
      </c>
      <c r="I26" s="389">
        <v>1104.3499999999999</v>
      </c>
      <c r="J26" s="389">
        <v>1141.78</v>
      </c>
      <c r="K26" s="389">
        <v>1180.92</v>
      </c>
      <c r="L26" s="389">
        <v>1242.54</v>
      </c>
      <c r="M26" s="389">
        <v>1329.67</v>
      </c>
      <c r="N26" s="226"/>
      <c r="O26" s="298"/>
    </row>
    <row r="27" spans="1:15" s="124" customFormat="1" ht="12.75" customHeight="1">
      <c r="A27" s="57"/>
      <c r="B27" s="58" t="s">
        <v>53</v>
      </c>
      <c r="C27" s="391">
        <v>1091.1199999999999</v>
      </c>
      <c r="D27" s="391">
        <v>1076.23</v>
      </c>
      <c r="E27" s="391">
        <v>1082.27</v>
      </c>
      <c r="F27" s="391">
        <v>1093.83</v>
      </c>
      <c r="G27" s="391">
        <v>1116.73</v>
      </c>
      <c r="H27" s="391">
        <v>1150.45</v>
      </c>
      <c r="I27" s="391">
        <v>1199.77</v>
      </c>
      <c r="J27" s="391">
        <v>1236.26</v>
      </c>
      <c r="K27" s="391">
        <v>1275.57</v>
      </c>
      <c r="L27" s="391">
        <v>1340.51</v>
      </c>
      <c r="M27" s="391">
        <v>1429.47</v>
      </c>
      <c r="N27" s="226"/>
      <c r="O27" s="298"/>
    </row>
    <row r="28" spans="1:15" s="124" customFormat="1" ht="12.75" customHeight="1">
      <c r="A28" s="56"/>
      <c r="B28" s="58" t="s">
        <v>54</v>
      </c>
      <c r="C28" s="391">
        <v>843.44</v>
      </c>
      <c r="D28" s="391">
        <v>850.93</v>
      </c>
      <c r="E28" s="391">
        <v>860.36</v>
      </c>
      <c r="F28" s="391">
        <v>882.31</v>
      </c>
      <c r="G28" s="391">
        <v>912.79</v>
      </c>
      <c r="H28" s="391">
        <v>951.03</v>
      </c>
      <c r="I28" s="391">
        <v>994.55</v>
      </c>
      <c r="J28" s="391">
        <v>1033.07</v>
      </c>
      <c r="K28" s="391">
        <v>1074.32</v>
      </c>
      <c r="L28" s="391">
        <v>1133.06</v>
      </c>
      <c r="M28" s="391">
        <v>1218.1199999999999</v>
      </c>
      <c r="N28" s="226"/>
      <c r="O28" s="298"/>
    </row>
    <row r="29" spans="1:15" s="124" customFormat="1" ht="16.5" customHeight="1">
      <c r="A29" s="56" t="s">
        <v>62</v>
      </c>
      <c r="B29" s="54" t="s">
        <v>45</v>
      </c>
      <c r="C29" s="389">
        <v>988.1</v>
      </c>
      <c r="D29" s="389">
        <v>978.4</v>
      </c>
      <c r="E29" s="389">
        <v>979.79</v>
      </c>
      <c r="F29" s="389">
        <v>986.96</v>
      </c>
      <c r="G29" s="389">
        <v>1000</v>
      </c>
      <c r="H29" s="389">
        <v>1025.5</v>
      </c>
      <c r="I29" s="389">
        <v>1054.3599999999999</v>
      </c>
      <c r="J29" s="389">
        <v>1089.8499999999999</v>
      </c>
      <c r="K29" s="389">
        <v>1131.56</v>
      </c>
      <c r="L29" s="389">
        <v>1202.0999999999999</v>
      </c>
      <c r="M29" s="389">
        <v>1295.8499999999999</v>
      </c>
      <c r="N29" s="226"/>
      <c r="O29" s="298"/>
    </row>
    <row r="30" spans="1:15" s="124" customFormat="1" ht="12.75" customHeight="1">
      <c r="A30" s="57"/>
      <c r="B30" s="58" t="s">
        <v>53</v>
      </c>
      <c r="C30" s="391">
        <v>1114.07</v>
      </c>
      <c r="D30" s="391">
        <v>1098.48</v>
      </c>
      <c r="E30" s="391">
        <v>1097.54</v>
      </c>
      <c r="F30" s="391">
        <v>1097.47</v>
      </c>
      <c r="G30" s="391">
        <v>1104.9000000000001</v>
      </c>
      <c r="H30" s="391">
        <v>1126.51</v>
      </c>
      <c r="I30" s="391">
        <v>1153.17</v>
      </c>
      <c r="J30" s="391">
        <v>1187.74</v>
      </c>
      <c r="K30" s="391">
        <v>1230.9000000000001</v>
      </c>
      <c r="L30" s="391">
        <v>1309.68</v>
      </c>
      <c r="M30" s="391">
        <v>1407.92</v>
      </c>
      <c r="N30" s="226"/>
      <c r="O30" s="298"/>
    </row>
    <row r="31" spans="1:15" s="124" customFormat="1" ht="12.75" customHeight="1">
      <c r="A31" s="56"/>
      <c r="B31" s="58" t="s">
        <v>54</v>
      </c>
      <c r="C31" s="391">
        <v>829.44</v>
      </c>
      <c r="D31" s="391">
        <v>828.43</v>
      </c>
      <c r="E31" s="391">
        <v>834.62</v>
      </c>
      <c r="F31" s="391">
        <v>851.7</v>
      </c>
      <c r="G31" s="391">
        <v>871.22</v>
      </c>
      <c r="H31" s="391">
        <v>901.7</v>
      </c>
      <c r="I31" s="391">
        <v>934.28</v>
      </c>
      <c r="J31" s="391">
        <v>970.6</v>
      </c>
      <c r="K31" s="391">
        <v>1013.97</v>
      </c>
      <c r="L31" s="391">
        <v>1076.23</v>
      </c>
      <c r="M31" s="391">
        <v>1165.96</v>
      </c>
      <c r="N31" s="226"/>
      <c r="O31" s="298"/>
    </row>
    <row r="32" spans="1:15" s="124" customFormat="1" ht="16.5" customHeight="1">
      <c r="A32" s="56" t="s">
        <v>63</v>
      </c>
      <c r="B32" s="54" t="s">
        <v>45</v>
      </c>
      <c r="C32" s="389">
        <v>1043.6600000000001</v>
      </c>
      <c r="D32" s="389">
        <v>1018.84</v>
      </c>
      <c r="E32" s="389">
        <v>1012.16</v>
      </c>
      <c r="F32" s="389">
        <v>1007.4</v>
      </c>
      <c r="G32" s="389">
        <v>1005.95</v>
      </c>
      <c r="H32" s="389">
        <v>1021.53</v>
      </c>
      <c r="I32" s="389">
        <v>1037.1300000000001</v>
      </c>
      <c r="J32" s="389">
        <v>1071.18</v>
      </c>
      <c r="K32" s="389">
        <v>1100.1400000000001</v>
      </c>
      <c r="L32" s="389">
        <v>1152.24</v>
      </c>
      <c r="M32" s="389">
        <v>1236.27</v>
      </c>
      <c r="N32" s="226"/>
      <c r="O32" s="298"/>
    </row>
    <row r="33" spans="1:15" s="124" customFormat="1" ht="12.75" customHeight="1">
      <c r="A33" s="57"/>
      <c r="B33" s="58" t="s">
        <v>53</v>
      </c>
      <c r="C33" s="391">
        <v>1184.69</v>
      </c>
      <c r="D33" s="391">
        <v>1145.02</v>
      </c>
      <c r="E33" s="391">
        <v>1133.47</v>
      </c>
      <c r="F33" s="391">
        <v>1123.44</v>
      </c>
      <c r="G33" s="391">
        <v>1112.03</v>
      </c>
      <c r="H33" s="391">
        <v>1125.8</v>
      </c>
      <c r="I33" s="391">
        <v>1142.6500000000001</v>
      </c>
      <c r="J33" s="391">
        <v>1177.1400000000001</v>
      </c>
      <c r="K33" s="391">
        <v>1202.8699999999999</v>
      </c>
      <c r="L33" s="391">
        <v>1262.48</v>
      </c>
      <c r="M33" s="391">
        <v>1350.02</v>
      </c>
      <c r="N33" s="226"/>
      <c r="O33" s="298"/>
    </row>
    <row r="34" spans="1:15" s="124" customFormat="1" ht="12.75" customHeight="1">
      <c r="A34" s="56"/>
      <c r="B34" s="58" t="s">
        <v>54</v>
      </c>
      <c r="C34" s="391">
        <v>841.95</v>
      </c>
      <c r="D34" s="391">
        <v>843.61</v>
      </c>
      <c r="E34" s="391">
        <v>847.77</v>
      </c>
      <c r="F34" s="391">
        <v>852.56</v>
      </c>
      <c r="G34" s="391">
        <v>863</v>
      </c>
      <c r="H34" s="391">
        <v>881.97</v>
      </c>
      <c r="I34" s="391">
        <v>896.93</v>
      </c>
      <c r="J34" s="391">
        <v>931</v>
      </c>
      <c r="K34" s="391">
        <v>967.95</v>
      </c>
      <c r="L34" s="391">
        <v>1014.33</v>
      </c>
      <c r="M34" s="391">
        <v>1094.8399999999999</v>
      </c>
      <c r="N34" s="226"/>
      <c r="O34" s="298"/>
    </row>
    <row r="35" spans="1:15" s="124" customFormat="1" ht="16.5" customHeight="1">
      <c r="A35" s="56" t="s">
        <v>64</v>
      </c>
      <c r="B35" s="54" t="s">
        <v>45</v>
      </c>
      <c r="C35" s="389">
        <v>1051.71</v>
      </c>
      <c r="D35" s="389">
        <v>1050.3900000000001</v>
      </c>
      <c r="E35" s="389">
        <v>1059.06</v>
      </c>
      <c r="F35" s="389">
        <v>1057.99</v>
      </c>
      <c r="G35" s="389">
        <v>1062.26</v>
      </c>
      <c r="H35" s="389">
        <v>1075.3</v>
      </c>
      <c r="I35" s="389">
        <v>1087.1300000000001</v>
      </c>
      <c r="J35" s="389">
        <v>1112.21</v>
      </c>
      <c r="K35" s="389">
        <v>1124.0899999999999</v>
      </c>
      <c r="L35" s="389">
        <v>1158.8699999999999</v>
      </c>
      <c r="M35" s="389">
        <v>1222.78</v>
      </c>
      <c r="N35" s="226"/>
      <c r="O35" s="298"/>
    </row>
    <row r="36" spans="1:15" s="124" customFormat="1" ht="12.75" customHeight="1">
      <c r="A36" s="57"/>
      <c r="B36" s="58" t="s">
        <v>53</v>
      </c>
      <c r="C36" s="391">
        <v>1211.8699999999999</v>
      </c>
      <c r="D36" s="391">
        <v>1205.1300000000001</v>
      </c>
      <c r="E36" s="391">
        <v>1214.8499999999999</v>
      </c>
      <c r="F36" s="391">
        <v>1207.74</v>
      </c>
      <c r="G36" s="391">
        <v>1195.4000000000001</v>
      </c>
      <c r="H36" s="391">
        <v>1199.92</v>
      </c>
      <c r="I36" s="391">
        <v>1200.5999999999999</v>
      </c>
      <c r="J36" s="391">
        <v>1222.19</v>
      </c>
      <c r="K36" s="391">
        <v>1227.8599999999999</v>
      </c>
      <c r="L36" s="391">
        <v>1264.96</v>
      </c>
      <c r="M36" s="391">
        <v>1334.18</v>
      </c>
      <c r="N36" s="226"/>
      <c r="O36" s="298"/>
    </row>
    <row r="37" spans="1:15" s="124" customFormat="1" ht="12.75" customHeight="1">
      <c r="A37" s="56"/>
      <c r="B37" s="58" t="s">
        <v>54</v>
      </c>
      <c r="C37" s="391">
        <v>815.12</v>
      </c>
      <c r="D37" s="391">
        <v>821.21</v>
      </c>
      <c r="E37" s="391">
        <v>830.73</v>
      </c>
      <c r="F37" s="391">
        <v>843.02</v>
      </c>
      <c r="G37" s="391">
        <v>869.83</v>
      </c>
      <c r="H37" s="391">
        <v>900.03</v>
      </c>
      <c r="I37" s="391">
        <v>930.38</v>
      </c>
      <c r="J37" s="391">
        <v>960.84</v>
      </c>
      <c r="K37" s="391">
        <v>983.37</v>
      </c>
      <c r="L37" s="391">
        <v>1016.72</v>
      </c>
      <c r="M37" s="391">
        <v>1075.74</v>
      </c>
      <c r="N37" s="226"/>
      <c r="O37" s="298"/>
    </row>
    <row r="38" spans="1:15" s="124" customFormat="1" ht="16.5" customHeight="1">
      <c r="A38" s="56" t="s">
        <v>65</v>
      </c>
      <c r="B38" s="54" t="s">
        <v>45</v>
      </c>
      <c r="C38" s="389">
        <v>1220.43</v>
      </c>
      <c r="D38" s="389">
        <v>1170.01</v>
      </c>
      <c r="E38" s="389">
        <v>1185.02</v>
      </c>
      <c r="F38" s="389">
        <v>1181.94</v>
      </c>
      <c r="G38" s="389">
        <v>1181.47</v>
      </c>
      <c r="H38" s="389">
        <v>1177.69</v>
      </c>
      <c r="I38" s="389">
        <v>1219.73</v>
      </c>
      <c r="J38" s="389">
        <v>1280.79</v>
      </c>
      <c r="K38" s="389">
        <v>1291.3499999999999</v>
      </c>
      <c r="L38" s="389">
        <v>1298</v>
      </c>
      <c r="M38" s="389">
        <v>1345.46</v>
      </c>
      <c r="N38" s="226"/>
      <c r="O38" s="298"/>
    </row>
    <row r="39" spans="1:15" s="124" customFormat="1" ht="12.75" customHeight="1">
      <c r="A39" s="57"/>
      <c r="B39" s="58" t="s">
        <v>53</v>
      </c>
      <c r="C39" s="391">
        <v>1379.79</v>
      </c>
      <c r="D39" s="391">
        <v>1342.71</v>
      </c>
      <c r="E39" s="391">
        <v>1365.22</v>
      </c>
      <c r="F39" s="391">
        <v>1356.01</v>
      </c>
      <c r="G39" s="391">
        <v>1353.73</v>
      </c>
      <c r="H39" s="391">
        <v>1329.78</v>
      </c>
      <c r="I39" s="391">
        <v>1356.39</v>
      </c>
      <c r="J39" s="391">
        <v>1428.29</v>
      </c>
      <c r="K39" s="391">
        <v>1426.24</v>
      </c>
      <c r="L39" s="391">
        <v>1419.42</v>
      </c>
      <c r="M39" s="391">
        <v>1456.5</v>
      </c>
      <c r="N39" s="226"/>
      <c r="O39" s="298"/>
    </row>
    <row r="40" spans="1:15" s="124" customFormat="1" ht="12.75" customHeight="1">
      <c r="A40" s="56"/>
      <c r="B40" s="58" t="s">
        <v>54</v>
      </c>
      <c r="C40" s="391">
        <v>915.48</v>
      </c>
      <c r="D40" s="391">
        <v>875.04</v>
      </c>
      <c r="E40" s="391">
        <v>894.55</v>
      </c>
      <c r="F40" s="391">
        <v>909.95</v>
      </c>
      <c r="G40" s="391">
        <v>899.85</v>
      </c>
      <c r="H40" s="391">
        <v>929.87</v>
      </c>
      <c r="I40" s="391">
        <v>982.74</v>
      </c>
      <c r="J40" s="391">
        <v>1024.3399999999999</v>
      </c>
      <c r="K40" s="391">
        <v>1065.1300000000001</v>
      </c>
      <c r="L40" s="391">
        <v>1093.93</v>
      </c>
      <c r="M40" s="391">
        <v>1157.69</v>
      </c>
      <c r="N40" s="226"/>
      <c r="O40" s="298"/>
    </row>
    <row r="41" spans="1:15" s="124" customFormat="1" ht="16.5" customHeight="1">
      <c r="A41" s="56" t="s">
        <v>13</v>
      </c>
      <c r="B41" s="54" t="s">
        <v>45</v>
      </c>
      <c r="C41" s="389">
        <v>1469.55</v>
      </c>
      <c r="D41" s="389">
        <v>1473.79</v>
      </c>
      <c r="E41" s="389">
        <v>1438.46</v>
      </c>
      <c r="F41" s="389">
        <v>1460.64</v>
      </c>
      <c r="G41" s="389">
        <v>1507.09</v>
      </c>
      <c r="H41" s="389">
        <v>1538.69</v>
      </c>
      <c r="I41" s="389">
        <v>919.63</v>
      </c>
      <c r="J41" s="389">
        <v>1018.58</v>
      </c>
      <c r="K41" s="389">
        <v>961.42</v>
      </c>
      <c r="L41" s="389">
        <v>1084.8599999999999</v>
      </c>
      <c r="M41" s="389">
        <v>765</v>
      </c>
      <c r="N41" s="226"/>
      <c r="O41" s="298"/>
    </row>
    <row r="42" spans="1:15" s="124" customFormat="1" ht="12.75" customHeight="1">
      <c r="A42" s="57"/>
      <c r="B42" s="58" t="s">
        <v>53</v>
      </c>
      <c r="C42" s="391">
        <v>1631.24</v>
      </c>
      <c r="D42" s="391">
        <v>1670.25</v>
      </c>
      <c r="E42" s="391">
        <v>1597.76</v>
      </c>
      <c r="F42" s="391">
        <v>1632.89</v>
      </c>
      <c r="G42" s="391">
        <v>1681.05</v>
      </c>
      <c r="H42" s="391">
        <v>1715.21</v>
      </c>
      <c r="I42" s="391">
        <v>937.33</v>
      </c>
      <c r="J42" s="391">
        <v>1041.0899999999999</v>
      </c>
      <c r="K42" s="391">
        <v>988.09</v>
      </c>
      <c r="L42" s="391">
        <v>1133.52</v>
      </c>
      <c r="M42" s="391">
        <v>765</v>
      </c>
      <c r="N42" s="226"/>
      <c r="O42" s="298"/>
    </row>
    <row r="43" spans="1:15" s="124" customFormat="1" ht="12.75" customHeight="1">
      <c r="A43" s="19"/>
      <c r="B43" s="60" t="s">
        <v>54</v>
      </c>
      <c r="C43" s="387">
        <v>1098.3</v>
      </c>
      <c r="D43" s="387">
        <v>1081.3</v>
      </c>
      <c r="E43" s="387">
        <v>1130.6600000000001</v>
      </c>
      <c r="F43" s="387">
        <v>1108.42</v>
      </c>
      <c r="G43" s="387">
        <v>1155.74</v>
      </c>
      <c r="H43" s="387">
        <v>1159.8499999999999</v>
      </c>
      <c r="I43" s="387">
        <v>904.54</v>
      </c>
      <c r="J43" s="387">
        <v>988.36</v>
      </c>
      <c r="K43" s="387">
        <v>934.2</v>
      </c>
      <c r="L43" s="387">
        <v>1021.53</v>
      </c>
      <c r="M43" s="387">
        <v>0</v>
      </c>
      <c r="N43" s="226"/>
      <c r="O43" s="298"/>
    </row>
    <row r="44" spans="1:15" s="265" customFormat="1" ht="15" customHeight="1">
      <c r="A44" s="21" t="s">
        <v>138</v>
      </c>
      <c r="B44" s="255"/>
      <c r="C44" s="238"/>
      <c r="D44" s="87"/>
      <c r="E44" s="87"/>
      <c r="F44" s="87"/>
      <c r="G44" s="231"/>
      <c r="H44" s="231"/>
      <c r="I44" s="231"/>
      <c r="J44" s="231"/>
      <c r="K44" s="231"/>
      <c r="L44" s="231"/>
      <c r="M44" s="231"/>
      <c r="N44" s="277"/>
    </row>
    <row r="45" spans="1:15" s="252" customFormat="1" ht="21.75" customHeight="1">
      <c r="A45" s="779" t="s">
        <v>100</v>
      </c>
      <c r="B45" s="779"/>
      <c r="C45" s="779"/>
      <c r="D45" s="779"/>
      <c r="E45" s="779"/>
      <c r="F45" s="779"/>
      <c r="G45" s="779"/>
      <c r="H45" s="779"/>
      <c r="I45" s="779"/>
      <c r="J45" s="779"/>
      <c r="K45" s="779"/>
      <c r="L45" s="779"/>
      <c r="M45" s="779"/>
      <c r="N45" s="278"/>
    </row>
  </sheetData>
  <mergeCells count="2">
    <mergeCell ref="A1:M1"/>
    <mergeCell ref="A45:M45"/>
  </mergeCells>
  <conditionalFormatting sqref="A45 E3 A1 I44 A5:B42 A46:D1048576 A2:D2 A4:D4 A3:C3 B44:D44 C5:F43 N1:XFD1048576">
    <cfRule type="cellIs" dxfId="541" priority="173" operator="equal">
      <formula>0</formula>
    </cfRule>
  </conditionalFormatting>
  <conditionalFormatting sqref="E2 E46:E1048576 E4 E44">
    <cfRule type="cellIs" dxfId="540" priority="172" operator="equal">
      <formula>0</formula>
    </cfRule>
  </conditionalFormatting>
  <conditionalFormatting sqref="A43">
    <cfRule type="cellIs" dxfId="539" priority="160" operator="equal">
      <formula>0</formula>
    </cfRule>
  </conditionalFormatting>
  <conditionalFormatting sqref="B43">
    <cfRule type="cellIs" dxfId="538" priority="159" operator="equal">
      <formula>0</formula>
    </cfRule>
  </conditionalFormatting>
  <conditionalFormatting sqref="A44">
    <cfRule type="cellIs" dxfId="537" priority="157" operator="equal">
      <formula>0</formula>
    </cfRule>
  </conditionalFormatting>
  <conditionalFormatting sqref="J3">
    <cfRule type="cellIs" dxfId="536" priority="156" operator="equal">
      <formula>0</formula>
    </cfRule>
  </conditionalFormatting>
  <conditionalFormatting sqref="F2 F46:F1048576 F4 F44">
    <cfRule type="cellIs" dxfId="535" priority="155" operator="equal">
      <formula>0</formula>
    </cfRule>
  </conditionalFormatting>
  <conditionalFormatting sqref="I2 I46:I1048576">
    <cfRule type="cellIs" dxfId="534" priority="154" operator="equal">
      <formula>0</formula>
    </cfRule>
  </conditionalFormatting>
  <conditionalFormatting sqref="G44">
    <cfRule type="cellIs" dxfId="533" priority="139" operator="equal">
      <formula>0</formula>
    </cfRule>
  </conditionalFormatting>
  <conditionalFormatting sqref="G2 G46:G1048576 G4:I4">
    <cfRule type="cellIs" dxfId="532" priority="138" operator="equal">
      <formula>0</formula>
    </cfRule>
  </conditionalFormatting>
  <conditionalFormatting sqref="G8:I10">
    <cfRule type="cellIs" dxfId="531" priority="137" operator="equal">
      <formula>0</formula>
    </cfRule>
  </conditionalFormatting>
  <conditionalFormatting sqref="G5:I7">
    <cfRule type="cellIs" dxfId="530" priority="136" operator="equal">
      <formula>0</formula>
    </cfRule>
  </conditionalFormatting>
  <conditionalFormatting sqref="G11:I13">
    <cfRule type="cellIs" dxfId="529" priority="135" operator="equal">
      <formula>0</formula>
    </cfRule>
  </conditionalFormatting>
  <conditionalFormatting sqref="G14:I16">
    <cfRule type="cellIs" dxfId="528" priority="134" operator="equal">
      <formula>0</formula>
    </cfRule>
  </conditionalFormatting>
  <conditionalFormatting sqref="G17:I19">
    <cfRule type="cellIs" dxfId="527" priority="133" operator="equal">
      <formula>0</formula>
    </cfRule>
  </conditionalFormatting>
  <conditionalFormatting sqref="G20:I22">
    <cfRule type="cellIs" dxfId="526" priority="132" operator="equal">
      <formula>0</formula>
    </cfRule>
  </conditionalFormatting>
  <conditionalFormatting sqref="G23:I25">
    <cfRule type="cellIs" dxfId="525" priority="131" operator="equal">
      <formula>0</formula>
    </cfRule>
  </conditionalFormatting>
  <conditionalFormatting sqref="G26:I28">
    <cfRule type="cellIs" dxfId="524" priority="130" operator="equal">
      <formula>0</formula>
    </cfRule>
  </conditionalFormatting>
  <conditionalFormatting sqref="G29:I31">
    <cfRule type="cellIs" dxfId="523" priority="129" operator="equal">
      <formula>0</formula>
    </cfRule>
  </conditionalFormatting>
  <conditionalFormatting sqref="G32:I34">
    <cfRule type="cellIs" dxfId="522" priority="128" operator="equal">
      <formula>0</formula>
    </cfRule>
  </conditionalFormatting>
  <conditionalFormatting sqref="G35:I37">
    <cfRule type="cellIs" dxfId="521" priority="127" operator="equal">
      <formula>0</formula>
    </cfRule>
  </conditionalFormatting>
  <conditionalFormatting sqref="G38:I40">
    <cfRule type="cellIs" dxfId="520" priority="126" operator="equal">
      <formula>0</formula>
    </cfRule>
  </conditionalFormatting>
  <conditionalFormatting sqref="G41:I42">
    <cfRule type="cellIs" dxfId="519" priority="125" operator="equal">
      <formula>0</formula>
    </cfRule>
  </conditionalFormatting>
  <conditionalFormatting sqref="G43:I43">
    <cfRule type="cellIs" dxfId="518" priority="124" operator="equal">
      <formula>0</formula>
    </cfRule>
  </conditionalFormatting>
  <conditionalFormatting sqref="H44">
    <cfRule type="cellIs" dxfId="517" priority="107" operator="equal">
      <formula>0</formula>
    </cfRule>
  </conditionalFormatting>
  <conditionalFormatting sqref="H2 H46:H1048576">
    <cfRule type="cellIs" dxfId="516" priority="106" operator="equal">
      <formula>0</formula>
    </cfRule>
  </conditionalFormatting>
  <conditionalFormatting sqref="J44">
    <cfRule type="cellIs" dxfId="515" priority="91" operator="equal">
      <formula>0</formula>
    </cfRule>
  </conditionalFormatting>
  <conditionalFormatting sqref="J2 J46:J1048576">
    <cfRule type="cellIs" dxfId="514" priority="90" operator="equal">
      <formula>0</formula>
    </cfRule>
  </conditionalFormatting>
  <conditionalFormatting sqref="J4">
    <cfRule type="cellIs" dxfId="513" priority="89" operator="equal">
      <formula>0</formula>
    </cfRule>
  </conditionalFormatting>
  <conditionalFormatting sqref="J8:J10">
    <cfRule type="cellIs" dxfId="512" priority="88" operator="equal">
      <formula>0</formula>
    </cfRule>
  </conditionalFormatting>
  <conditionalFormatting sqref="J5:J7">
    <cfRule type="cellIs" dxfId="511" priority="87" operator="equal">
      <formula>0</formula>
    </cfRule>
  </conditionalFormatting>
  <conditionalFormatting sqref="J11:J13">
    <cfRule type="cellIs" dxfId="510" priority="86" operator="equal">
      <formula>0</formula>
    </cfRule>
  </conditionalFormatting>
  <conditionalFormatting sqref="J14:J16">
    <cfRule type="cellIs" dxfId="509" priority="85" operator="equal">
      <formula>0</formula>
    </cfRule>
  </conditionalFormatting>
  <conditionalFormatting sqref="J17:J19">
    <cfRule type="cellIs" dxfId="508" priority="84" operator="equal">
      <formula>0</formula>
    </cfRule>
  </conditionalFormatting>
  <conditionalFormatting sqref="J20:J22">
    <cfRule type="cellIs" dxfId="507" priority="83" operator="equal">
      <formula>0</formula>
    </cfRule>
  </conditionalFormatting>
  <conditionalFormatting sqref="J23:J25">
    <cfRule type="cellIs" dxfId="506" priority="82" operator="equal">
      <formula>0</formula>
    </cfRule>
  </conditionalFormatting>
  <conditionalFormatting sqref="J26:J28">
    <cfRule type="cellIs" dxfId="505" priority="81" operator="equal">
      <formula>0</formula>
    </cfRule>
  </conditionalFormatting>
  <conditionalFormatting sqref="J29:J31">
    <cfRule type="cellIs" dxfId="504" priority="80" operator="equal">
      <formula>0</formula>
    </cfRule>
  </conditionalFormatting>
  <conditionalFormatting sqref="J32:J34">
    <cfRule type="cellIs" dxfId="503" priority="79" operator="equal">
      <formula>0</formula>
    </cfRule>
  </conditionalFormatting>
  <conditionalFormatting sqref="J35:J37">
    <cfRule type="cellIs" dxfId="502" priority="78" operator="equal">
      <formula>0</formula>
    </cfRule>
  </conditionalFormatting>
  <conditionalFormatting sqref="J38:J40">
    <cfRule type="cellIs" dxfId="501" priority="77" operator="equal">
      <formula>0</formula>
    </cfRule>
  </conditionalFormatting>
  <conditionalFormatting sqref="J41:J42">
    <cfRule type="cellIs" dxfId="500" priority="76" operator="equal">
      <formula>0</formula>
    </cfRule>
  </conditionalFormatting>
  <conditionalFormatting sqref="J43">
    <cfRule type="cellIs" dxfId="499" priority="75" operator="equal">
      <formula>0</formula>
    </cfRule>
  </conditionalFormatting>
  <conditionalFormatting sqref="K3">
    <cfRule type="cellIs" dxfId="498" priority="74" operator="equal">
      <formula>0</formula>
    </cfRule>
  </conditionalFormatting>
  <conditionalFormatting sqref="K44">
    <cfRule type="cellIs" dxfId="497" priority="73" operator="equal">
      <formula>0</formula>
    </cfRule>
  </conditionalFormatting>
  <conditionalFormatting sqref="K2 K46:K1048576">
    <cfRule type="cellIs" dxfId="496" priority="72" operator="equal">
      <formula>0</formula>
    </cfRule>
  </conditionalFormatting>
  <conditionalFormatting sqref="K4">
    <cfRule type="cellIs" dxfId="495" priority="71" operator="equal">
      <formula>0</formula>
    </cfRule>
  </conditionalFormatting>
  <conditionalFormatting sqref="K8:K10">
    <cfRule type="cellIs" dxfId="494" priority="70" operator="equal">
      <formula>0</formula>
    </cfRule>
  </conditionalFormatting>
  <conditionalFormatting sqref="K5:K7">
    <cfRule type="cellIs" dxfId="493" priority="69" operator="equal">
      <formula>0</formula>
    </cfRule>
  </conditionalFormatting>
  <conditionalFormatting sqref="K11:K13">
    <cfRule type="cellIs" dxfId="492" priority="68" operator="equal">
      <formula>0</formula>
    </cfRule>
  </conditionalFormatting>
  <conditionalFormatting sqref="K14:K16">
    <cfRule type="cellIs" dxfId="491" priority="67" operator="equal">
      <formula>0</formula>
    </cfRule>
  </conditionalFormatting>
  <conditionalFormatting sqref="K17:K19">
    <cfRule type="cellIs" dxfId="490" priority="66" operator="equal">
      <formula>0</formula>
    </cfRule>
  </conditionalFormatting>
  <conditionalFormatting sqref="K20:K22">
    <cfRule type="cellIs" dxfId="489" priority="65" operator="equal">
      <formula>0</formula>
    </cfRule>
  </conditionalFormatting>
  <conditionalFormatting sqref="K23:K25">
    <cfRule type="cellIs" dxfId="488" priority="64" operator="equal">
      <formula>0</formula>
    </cfRule>
  </conditionalFormatting>
  <conditionalFormatting sqref="K26:K28">
    <cfRule type="cellIs" dxfId="487" priority="63" operator="equal">
      <formula>0</formula>
    </cfRule>
  </conditionalFormatting>
  <conditionalFormatting sqref="K29:K31">
    <cfRule type="cellIs" dxfId="486" priority="62" operator="equal">
      <formula>0</formula>
    </cfRule>
  </conditionalFormatting>
  <conditionalFormatting sqref="K32:K34">
    <cfRule type="cellIs" dxfId="485" priority="61" operator="equal">
      <formula>0</formula>
    </cfRule>
  </conditionalFormatting>
  <conditionalFormatting sqref="K35:K37">
    <cfRule type="cellIs" dxfId="484" priority="60" operator="equal">
      <formula>0</formula>
    </cfRule>
  </conditionalFormatting>
  <conditionalFormatting sqref="K38:K40">
    <cfRule type="cellIs" dxfId="483" priority="59" operator="equal">
      <formula>0</formula>
    </cfRule>
  </conditionalFormatting>
  <conditionalFormatting sqref="K41:K42">
    <cfRule type="cellIs" dxfId="482" priority="58" operator="equal">
      <formula>0</formula>
    </cfRule>
  </conditionalFormatting>
  <conditionalFormatting sqref="K43">
    <cfRule type="cellIs" dxfId="481" priority="57" operator="equal">
      <formula>0</formula>
    </cfRule>
  </conditionalFormatting>
  <conditionalFormatting sqref="L3">
    <cfRule type="cellIs" dxfId="480" priority="54" operator="equal">
      <formula>0</formula>
    </cfRule>
  </conditionalFormatting>
  <conditionalFormatting sqref="L44">
    <cfRule type="cellIs" dxfId="479" priority="53" operator="equal">
      <formula>0</formula>
    </cfRule>
  </conditionalFormatting>
  <conditionalFormatting sqref="L2 L46:L1048576">
    <cfRule type="cellIs" dxfId="478" priority="52" operator="equal">
      <formula>0</formula>
    </cfRule>
  </conditionalFormatting>
  <conditionalFormatting sqref="L4">
    <cfRule type="cellIs" dxfId="477" priority="51" operator="equal">
      <formula>0</formula>
    </cfRule>
  </conditionalFormatting>
  <conditionalFormatting sqref="L8:L10">
    <cfRule type="cellIs" dxfId="476" priority="50" operator="equal">
      <formula>0</formula>
    </cfRule>
  </conditionalFormatting>
  <conditionalFormatting sqref="L5:L7">
    <cfRule type="cellIs" dxfId="475" priority="49" operator="equal">
      <formula>0</formula>
    </cfRule>
  </conditionalFormatting>
  <conditionalFormatting sqref="L11:L13">
    <cfRule type="cellIs" dxfId="474" priority="48" operator="equal">
      <formula>0</formula>
    </cfRule>
  </conditionalFormatting>
  <conditionalFormatting sqref="L14:L16">
    <cfRule type="cellIs" dxfId="473" priority="47" operator="equal">
      <formula>0</formula>
    </cfRule>
  </conditionalFormatting>
  <conditionalFormatting sqref="L17:L19">
    <cfRule type="cellIs" dxfId="472" priority="46" operator="equal">
      <formula>0</formula>
    </cfRule>
  </conditionalFormatting>
  <conditionalFormatting sqref="L20:L22">
    <cfRule type="cellIs" dxfId="471" priority="45" operator="equal">
      <formula>0</formula>
    </cfRule>
  </conditionalFormatting>
  <conditionalFormatting sqref="L23:L25">
    <cfRule type="cellIs" dxfId="470" priority="44" operator="equal">
      <formula>0</formula>
    </cfRule>
  </conditionalFormatting>
  <conditionalFormatting sqref="L26:L28">
    <cfRule type="cellIs" dxfId="469" priority="43" operator="equal">
      <formula>0</formula>
    </cfRule>
  </conditionalFormatting>
  <conditionalFormatting sqref="L29:L31">
    <cfRule type="cellIs" dxfId="468" priority="42" operator="equal">
      <formula>0</formula>
    </cfRule>
  </conditionalFormatting>
  <conditionalFormatting sqref="L32:L34">
    <cfRule type="cellIs" dxfId="467" priority="41" operator="equal">
      <formula>0</formula>
    </cfRule>
  </conditionalFormatting>
  <conditionalFormatting sqref="L35:L37">
    <cfRule type="cellIs" dxfId="466" priority="40" operator="equal">
      <formula>0</formula>
    </cfRule>
  </conditionalFormatting>
  <conditionalFormatting sqref="L38:L40">
    <cfRule type="cellIs" dxfId="465" priority="39" operator="equal">
      <formula>0</formula>
    </cfRule>
  </conditionalFormatting>
  <conditionalFormatting sqref="L41:L42">
    <cfRule type="cellIs" dxfId="464" priority="38" operator="equal">
      <formula>0</formula>
    </cfRule>
  </conditionalFormatting>
  <conditionalFormatting sqref="L43">
    <cfRule type="cellIs" dxfId="463" priority="37" operator="equal">
      <formula>0</formula>
    </cfRule>
  </conditionalFormatting>
  <conditionalFormatting sqref="M3">
    <cfRule type="cellIs" dxfId="462" priority="31" operator="equal">
      <formula>0</formula>
    </cfRule>
  </conditionalFormatting>
  <conditionalFormatting sqref="M44">
    <cfRule type="cellIs" dxfId="461" priority="30" operator="equal">
      <formula>0</formula>
    </cfRule>
  </conditionalFormatting>
  <conditionalFormatting sqref="M2 M46:M1048576">
    <cfRule type="cellIs" dxfId="460" priority="29" operator="equal">
      <formula>0</formula>
    </cfRule>
  </conditionalFormatting>
  <conditionalFormatting sqref="M4">
    <cfRule type="cellIs" dxfId="459" priority="28" operator="equal">
      <formula>0</formula>
    </cfRule>
  </conditionalFormatting>
  <conditionalFormatting sqref="M8:M10">
    <cfRule type="cellIs" dxfId="458" priority="27" operator="equal">
      <formula>0</formula>
    </cfRule>
  </conditionalFormatting>
  <conditionalFormatting sqref="M5:M7">
    <cfRule type="cellIs" dxfId="457" priority="26" operator="equal">
      <formula>0</formula>
    </cfRule>
  </conditionalFormatting>
  <conditionalFormatting sqref="M11:M13">
    <cfRule type="cellIs" dxfId="456" priority="25" operator="equal">
      <formula>0</formula>
    </cfRule>
  </conditionalFormatting>
  <conditionalFormatting sqref="M14:M16">
    <cfRule type="cellIs" dxfId="455" priority="24" operator="equal">
      <formula>0</formula>
    </cfRule>
  </conditionalFormatting>
  <conditionalFormatting sqref="M17:M19">
    <cfRule type="cellIs" dxfId="454" priority="23" operator="equal">
      <formula>0</formula>
    </cfRule>
  </conditionalFormatting>
  <conditionalFormatting sqref="M20:M22">
    <cfRule type="cellIs" dxfId="453" priority="22" operator="equal">
      <formula>0</formula>
    </cfRule>
  </conditionalFormatting>
  <conditionalFormatting sqref="M23:M25">
    <cfRule type="cellIs" dxfId="452" priority="21" operator="equal">
      <formula>0</formula>
    </cfRule>
  </conditionalFormatting>
  <conditionalFormatting sqref="M26:M28">
    <cfRule type="cellIs" dxfId="451" priority="20" operator="equal">
      <formula>0</formula>
    </cfRule>
  </conditionalFormatting>
  <conditionalFormatting sqref="M29:M31">
    <cfRule type="cellIs" dxfId="450" priority="19" operator="equal">
      <formula>0</formula>
    </cfRule>
  </conditionalFormatting>
  <conditionalFormatting sqref="M32:M34">
    <cfRule type="cellIs" dxfId="449" priority="18" operator="equal">
      <formula>0</formula>
    </cfRule>
  </conditionalFormatting>
  <conditionalFormatting sqref="M35:M37">
    <cfRule type="cellIs" dxfId="448" priority="17" operator="equal">
      <formula>0</formula>
    </cfRule>
  </conditionalFormatting>
  <conditionalFormatting sqref="M38:M40">
    <cfRule type="cellIs" dxfId="447" priority="16" operator="equal">
      <formula>0</formula>
    </cfRule>
  </conditionalFormatting>
  <conditionalFormatting sqref="M41:M42">
    <cfRule type="cellIs" dxfId="446" priority="15" operator="equal">
      <formula>0</formula>
    </cfRule>
  </conditionalFormatting>
  <conditionalFormatting sqref="M43">
    <cfRule type="cellIs" dxfId="445" priority="14"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4">
    <tabColor indexed="26"/>
    <pageSetUpPr fitToPage="1"/>
  </sheetPr>
  <dimension ref="A1:O33"/>
  <sheetViews>
    <sheetView showGridLines="0" zoomScaleNormal="100" workbookViewId="0">
      <selection sqref="A1:M1"/>
    </sheetView>
  </sheetViews>
  <sheetFormatPr defaultColWidth="9.140625" defaultRowHeight="11.25"/>
  <cols>
    <col min="1" max="1" width="24.28515625" style="132" customWidth="1"/>
    <col min="2" max="2" width="2.140625" style="141" customWidth="1"/>
    <col min="3" max="13" width="6.42578125" style="142" customWidth="1"/>
    <col min="14" max="16384" width="9.140625" style="132"/>
  </cols>
  <sheetData>
    <row r="1" spans="1:15" s="279" customFormat="1" ht="28.5" customHeight="1">
      <c r="A1" s="805" t="s">
        <v>720</v>
      </c>
      <c r="B1" s="805"/>
      <c r="C1" s="805"/>
      <c r="D1" s="805"/>
      <c r="E1" s="805"/>
      <c r="F1" s="805"/>
      <c r="G1" s="805"/>
      <c r="H1" s="805"/>
      <c r="I1" s="805"/>
      <c r="J1" s="805"/>
      <c r="K1" s="805"/>
      <c r="L1" s="805"/>
      <c r="M1" s="805"/>
    </row>
    <row r="2" spans="1:15" s="274" customFormat="1" ht="15" customHeight="1">
      <c r="A2" s="254"/>
      <c r="B2" s="280"/>
      <c r="C2" s="254"/>
      <c r="D2" s="254"/>
      <c r="E2" s="254"/>
      <c r="F2" s="254"/>
      <c r="G2" s="254"/>
      <c r="H2" s="254"/>
      <c r="I2" s="254"/>
      <c r="J2" s="254"/>
      <c r="K2" s="254"/>
      <c r="L2" s="254"/>
      <c r="M2" s="254"/>
    </row>
    <row r="3" spans="1:15" s="274" customFormat="1" ht="15" customHeight="1">
      <c r="A3" s="254" t="s">
        <v>14</v>
      </c>
      <c r="B3" s="280"/>
      <c r="C3" s="235"/>
      <c r="E3" s="235"/>
      <c r="F3" s="235"/>
      <c r="G3" s="235"/>
      <c r="H3" s="320"/>
      <c r="I3" s="235"/>
      <c r="J3" s="327"/>
      <c r="K3" s="427"/>
      <c r="L3" s="427"/>
      <c r="M3" s="427" t="s">
        <v>68</v>
      </c>
    </row>
    <row r="4" spans="1:15" s="274" customFormat="1" ht="28.5" customHeight="1" thickBot="1">
      <c r="A4" s="107"/>
      <c r="B4" s="281"/>
      <c r="C4" s="258">
        <v>2013</v>
      </c>
      <c r="D4" s="258">
        <v>2014</v>
      </c>
      <c r="E4" s="258">
        <v>2015</v>
      </c>
      <c r="F4" s="258">
        <v>2016</v>
      </c>
      <c r="G4" s="258">
        <v>2017</v>
      </c>
      <c r="H4" s="258">
        <v>2018</v>
      </c>
      <c r="I4" s="258">
        <v>2019</v>
      </c>
      <c r="J4" s="258">
        <v>2020</v>
      </c>
      <c r="K4" s="258">
        <v>2021</v>
      </c>
      <c r="L4" s="258">
        <v>2022</v>
      </c>
      <c r="M4" s="258">
        <v>2023</v>
      </c>
    </row>
    <row r="5" spans="1:15" s="274" customFormat="1" ht="20.25" customHeight="1" thickTop="1">
      <c r="A5" s="248" t="s">
        <v>12</v>
      </c>
      <c r="B5" s="441" t="s">
        <v>45</v>
      </c>
      <c r="C5" s="392">
        <v>912.18</v>
      </c>
      <c r="D5" s="392">
        <v>909.49</v>
      </c>
      <c r="E5" s="392">
        <v>913.93</v>
      </c>
      <c r="F5" s="392">
        <v>924.94</v>
      </c>
      <c r="G5" s="392">
        <v>943</v>
      </c>
      <c r="H5" s="392">
        <v>970.42</v>
      </c>
      <c r="I5" s="392">
        <v>1005.09</v>
      </c>
      <c r="J5" s="392">
        <v>1041.99</v>
      </c>
      <c r="K5" s="392">
        <v>1082.77</v>
      </c>
      <c r="L5" s="392">
        <v>1143.45</v>
      </c>
      <c r="M5" s="392">
        <v>1219.8699999999999</v>
      </c>
    </row>
    <row r="6" spans="1:15" s="274" customFormat="1" ht="15" customHeight="1">
      <c r="A6" s="254"/>
      <c r="B6" s="441" t="s">
        <v>53</v>
      </c>
      <c r="C6" s="393">
        <v>993.79</v>
      </c>
      <c r="D6" s="393">
        <v>985.02</v>
      </c>
      <c r="E6" s="393">
        <v>990.05</v>
      </c>
      <c r="F6" s="393">
        <v>997.38</v>
      </c>
      <c r="G6" s="393">
        <v>1012.25</v>
      </c>
      <c r="H6" s="393">
        <v>1039.08</v>
      </c>
      <c r="I6" s="393">
        <v>1073.82</v>
      </c>
      <c r="J6" s="393">
        <v>1109.21</v>
      </c>
      <c r="K6" s="393">
        <v>1152.24</v>
      </c>
      <c r="L6" s="393">
        <v>1217.33</v>
      </c>
      <c r="M6" s="393">
        <v>1294.03</v>
      </c>
    </row>
    <row r="7" spans="1:15" s="274" customFormat="1" ht="15" customHeight="1">
      <c r="A7" s="254"/>
      <c r="B7" s="441" t="s">
        <v>54</v>
      </c>
      <c r="C7" s="393">
        <v>816.21</v>
      </c>
      <c r="D7" s="393">
        <v>820.25</v>
      </c>
      <c r="E7" s="393">
        <v>824.99</v>
      </c>
      <c r="F7" s="393">
        <v>840.26</v>
      </c>
      <c r="G7" s="393">
        <v>861.17</v>
      </c>
      <c r="H7" s="393">
        <v>888.56</v>
      </c>
      <c r="I7" s="393">
        <v>922.63</v>
      </c>
      <c r="J7" s="393">
        <v>960.27</v>
      </c>
      <c r="K7" s="393">
        <v>999.33</v>
      </c>
      <c r="L7" s="393">
        <v>1054.3599999999999</v>
      </c>
      <c r="M7" s="393">
        <v>1129.6400000000001</v>
      </c>
    </row>
    <row r="8" spans="1:15" s="274" customFormat="1" ht="20.25" customHeight="1">
      <c r="A8" s="254" t="s">
        <v>48</v>
      </c>
      <c r="B8" s="441" t="s">
        <v>45</v>
      </c>
      <c r="C8" s="394">
        <v>2060.3200000000002</v>
      </c>
      <c r="D8" s="394">
        <v>2040.59</v>
      </c>
      <c r="E8" s="394">
        <v>2042.63</v>
      </c>
      <c r="F8" s="394">
        <v>2042.11</v>
      </c>
      <c r="G8" s="394">
        <v>2057.33</v>
      </c>
      <c r="H8" s="394">
        <v>2079.73</v>
      </c>
      <c r="I8" s="394">
        <v>2104.34</v>
      </c>
      <c r="J8" s="394">
        <v>2116.66</v>
      </c>
      <c r="K8" s="394">
        <v>2148.96</v>
      </c>
      <c r="L8" s="394">
        <v>2260.27</v>
      </c>
      <c r="M8" s="394">
        <v>2373.94</v>
      </c>
      <c r="O8" s="299"/>
    </row>
    <row r="9" spans="1:15" s="249" customFormat="1" ht="15" customHeight="1">
      <c r="A9" s="257"/>
      <c r="B9" s="442" t="s">
        <v>53</v>
      </c>
      <c r="C9" s="395">
        <v>2330.2199999999998</v>
      </c>
      <c r="D9" s="395">
        <v>2309.1799999999998</v>
      </c>
      <c r="E9" s="395">
        <v>2316.87</v>
      </c>
      <c r="F9" s="395">
        <v>2318.81</v>
      </c>
      <c r="G9" s="395">
        <v>2339.4699999999998</v>
      </c>
      <c r="H9" s="395">
        <v>2364.11</v>
      </c>
      <c r="I9" s="395">
        <v>2384.6799999999998</v>
      </c>
      <c r="J9" s="395">
        <v>2391.21</v>
      </c>
      <c r="K9" s="395">
        <v>2428.31</v>
      </c>
      <c r="L9" s="395">
        <v>2558.3000000000002</v>
      </c>
      <c r="M9" s="395">
        <v>2702.18</v>
      </c>
      <c r="O9" s="299"/>
    </row>
    <row r="10" spans="1:15" s="249" customFormat="1" ht="15" customHeight="1">
      <c r="A10" s="257"/>
      <c r="B10" s="442" t="s">
        <v>54</v>
      </c>
      <c r="C10" s="395">
        <v>1714.71</v>
      </c>
      <c r="D10" s="395">
        <v>1702.62</v>
      </c>
      <c r="E10" s="395">
        <v>1705.89</v>
      </c>
      <c r="F10" s="395">
        <v>1710.84</v>
      </c>
      <c r="G10" s="395">
        <v>1722.33</v>
      </c>
      <c r="H10" s="395">
        <v>1746.3</v>
      </c>
      <c r="I10" s="395">
        <v>1777.19</v>
      </c>
      <c r="J10" s="395">
        <v>1799.18</v>
      </c>
      <c r="K10" s="395">
        <v>1832.68</v>
      </c>
      <c r="L10" s="395">
        <v>1914.19</v>
      </c>
      <c r="M10" s="395">
        <v>1999.71</v>
      </c>
      <c r="O10" s="299"/>
    </row>
    <row r="11" spans="1:15" s="274" customFormat="1" ht="20.25" customHeight="1">
      <c r="A11" s="254" t="s">
        <v>49</v>
      </c>
      <c r="B11" s="441" t="s">
        <v>45</v>
      </c>
      <c r="C11" s="394">
        <v>1425.22</v>
      </c>
      <c r="D11" s="394">
        <v>1411.9</v>
      </c>
      <c r="E11" s="394">
        <v>1422.35</v>
      </c>
      <c r="F11" s="394">
        <v>1428.87</v>
      </c>
      <c r="G11" s="394">
        <v>1439.33</v>
      </c>
      <c r="H11" s="394">
        <v>1460.73</v>
      </c>
      <c r="I11" s="394">
        <v>1484.6</v>
      </c>
      <c r="J11" s="394">
        <v>1490.62</v>
      </c>
      <c r="K11" s="394">
        <v>1519.56</v>
      </c>
      <c r="L11" s="394">
        <v>1620.26</v>
      </c>
      <c r="M11" s="394">
        <v>1735.82</v>
      </c>
      <c r="O11" s="299"/>
    </row>
    <row r="12" spans="1:15" s="249" customFormat="1" ht="15" customHeight="1">
      <c r="A12" s="257"/>
      <c r="B12" s="442" t="s">
        <v>53</v>
      </c>
      <c r="C12" s="395">
        <v>1531.98</v>
      </c>
      <c r="D12" s="395">
        <v>1510.77</v>
      </c>
      <c r="E12" s="395">
        <v>1523.32</v>
      </c>
      <c r="F12" s="395">
        <v>1525.48</v>
      </c>
      <c r="G12" s="395">
        <v>1538.7</v>
      </c>
      <c r="H12" s="395">
        <v>1560.48</v>
      </c>
      <c r="I12" s="395">
        <v>1591.61</v>
      </c>
      <c r="J12" s="395">
        <v>1597.2</v>
      </c>
      <c r="K12" s="395">
        <v>1632.07</v>
      </c>
      <c r="L12" s="395">
        <v>1748.11</v>
      </c>
      <c r="M12" s="395">
        <v>1872.23</v>
      </c>
      <c r="O12" s="299"/>
    </row>
    <row r="13" spans="1:15" s="249" customFormat="1" ht="15" customHeight="1">
      <c r="A13" s="257"/>
      <c r="B13" s="442" t="s">
        <v>54</v>
      </c>
      <c r="C13" s="395">
        <v>1304.94</v>
      </c>
      <c r="D13" s="395">
        <v>1300.3499999999999</v>
      </c>
      <c r="E13" s="395">
        <v>1311.12</v>
      </c>
      <c r="F13" s="395">
        <v>1323.46</v>
      </c>
      <c r="G13" s="395">
        <v>1330.76</v>
      </c>
      <c r="H13" s="395">
        <v>1351.69</v>
      </c>
      <c r="I13" s="395">
        <v>1371.16</v>
      </c>
      <c r="J13" s="395">
        <v>1377.46</v>
      </c>
      <c r="K13" s="395">
        <v>1399.77</v>
      </c>
      <c r="L13" s="395">
        <v>1481.46</v>
      </c>
      <c r="M13" s="395">
        <v>1585.82</v>
      </c>
      <c r="O13" s="299"/>
    </row>
    <row r="14" spans="1:15" s="274" customFormat="1" ht="20.25" customHeight="1">
      <c r="A14" s="254" t="s">
        <v>70</v>
      </c>
      <c r="B14" s="441" t="s">
        <v>45</v>
      </c>
      <c r="C14" s="394">
        <v>1278.81</v>
      </c>
      <c r="D14" s="394">
        <v>1286.72</v>
      </c>
      <c r="E14" s="394">
        <v>1298.54</v>
      </c>
      <c r="F14" s="394">
        <v>1318.37</v>
      </c>
      <c r="G14" s="394">
        <v>1335.53</v>
      </c>
      <c r="H14" s="394">
        <v>1356.05</v>
      </c>
      <c r="I14" s="394">
        <v>1405.33</v>
      </c>
      <c r="J14" s="394">
        <v>1444.54</v>
      </c>
      <c r="K14" s="394">
        <v>1489.21</v>
      </c>
      <c r="L14" s="394">
        <v>1561.37</v>
      </c>
      <c r="M14" s="394">
        <v>1651.96</v>
      </c>
      <c r="O14" s="299"/>
    </row>
    <row r="15" spans="1:15" s="249" customFormat="1" ht="15" customHeight="1">
      <c r="A15" s="257"/>
      <c r="B15" s="442" t="s">
        <v>53</v>
      </c>
      <c r="C15" s="395">
        <v>1316.52</v>
      </c>
      <c r="D15" s="395">
        <v>1324.49</v>
      </c>
      <c r="E15" s="395">
        <v>1337.21</v>
      </c>
      <c r="F15" s="395">
        <v>1360.2</v>
      </c>
      <c r="G15" s="395">
        <v>1373.74</v>
      </c>
      <c r="H15" s="395">
        <v>1400.55</v>
      </c>
      <c r="I15" s="395">
        <v>1449.64</v>
      </c>
      <c r="J15" s="395">
        <v>1490.41</v>
      </c>
      <c r="K15" s="395">
        <v>1535.87</v>
      </c>
      <c r="L15" s="395">
        <v>1609.69</v>
      </c>
      <c r="M15" s="395">
        <v>1701.91</v>
      </c>
      <c r="O15" s="299"/>
    </row>
    <row r="16" spans="1:15" s="249" customFormat="1" ht="15" customHeight="1">
      <c r="A16" s="257"/>
      <c r="B16" s="442" t="s">
        <v>54</v>
      </c>
      <c r="C16" s="395">
        <v>1210.3900000000001</v>
      </c>
      <c r="D16" s="395">
        <v>1219.03</v>
      </c>
      <c r="E16" s="395">
        <v>1230.75</v>
      </c>
      <c r="F16" s="395">
        <v>1247.82</v>
      </c>
      <c r="G16" s="395">
        <v>1272.5999999999999</v>
      </c>
      <c r="H16" s="395">
        <v>1283.8699999999999</v>
      </c>
      <c r="I16" s="395">
        <v>1330.71</v>
      </c>
      <c r="J16" s="395">
        <v>1366.73</v>
      </c>
      <c r="K16" s="395">
        <v>1411.97</v>
      </c>
      <c r="L16" s="395">
        <v>1484.75</v>
      </c>
      <c r="M16" s="395">
        <v>1574.82</v>
      </c>
      <c r="O16" s="299"/>
    </row>
    <row r="17" spans="1:15" s="274" customFormat="1" ht="20.25" customHeight="1">
      <c r="A17" s="254" t="s">
        <v>69</v>
      </c>
      <c r="B17" s="441" t="s">
        <v>45</v>
      </c>
      <c r="C17" s="394">
        <v>1156.99</v>
      </c>
      <c r="D17" s="394">
        <v>1139.3499999999999</v>
      </c>
      <c r="E17" s="394">
        <v>1149.42</v>
      </c>
      <c r="F17" s="394">
        <v>1144.23</v>
      </c>
      <c r="G17" s="394">
        <v>1150.46</v>
      </c>
      <c r="H17" s="394">
        <v>1170.1199999999999</v>
      </c>
      <c r="I17" s="394">
        <v>1165.3699999999999</v>
      </c>
      <c r="J17" s="394">
        <v>1182.19</v>
      </c>
      <c r="K17" s="394">
        <v>1197.56</v>
      </c>
      <c r="L17" s="394">
        <v>1245.69</v>
      </c>
      <c r="M17" s="394">
        <v>1334.45</v>
      </c>
      <c r="O17" s="299"/>
    </row>
    <row r="18" spans="1:15" s="249" customFormat="1" ht="15" customHeight="1">
      <c r="A18" s="257"/>
      <c r="B18" s="442" t="s">
        <v>53</v>
      </c>
      <c r="C18" s="395">
        <v>1255.2</v>
      </c>
      <c r="D18" s="395">
        <v>1228.08</v>
      </c>
      <c r="E18" s="395">
        <v>1255.19</v>
      </c>
      <c r="F18" s="395">
        <v>1253.52</v>
      </c>
      <c r="G18" s="395">
        <v>1259.5999999999999</v>
      </c>
      <c r="H18" s="395">
        <v>1281.42</v>
      </c>
      <c r="I18" s="395">
        <v>1260.44</v>
      </c>
      <c r="J18" s="395">
        <v>1284.72</v>
      </c>
      <c r="K18" s="395">
        <v>1304.53</v>
      </c>
      <c r="L18" s="395">
        <v>1348.41</v>
      </c>
      <c r="M18" s="395">
        <v>1437.35</v>
      </c>
      <c r="O18" s="299"/>
    </row>
    <row r="19" spans="1:15" s="249" customFormat="1" ht="15" customHeight="1">
      <c r="A19" s="257"/>
      <c r="B19" s="442" t="s">
        <v>54</v>
      </c>
      <c r="C19" s="395">
        <v>1052.32</v>
      </c>
      <c r="D19" s="395">
        <v>1046.44</v>
      </c>
      <c r="E19" s="395">
        <v>1041.9100000000001</v>
      </c>
      <c r="F19" s="395">
        <v>1033.3499999999999</v>
      </c>
      <c r="G19" s="395">
        <v>1038.5</v>
      </c>
      <c r="H19" s="395">
        <v>1056.81</v>
      </c>
      <c r="I19" s="395">
        <v>1066</v>
      </c>
      <c r="J19" s="395">
        <v>1075.79</v>
      </c>
      <c r="K19" s="395">
        <v>1089.94</v>
      </c>
      <c r="L19" s="395">
        <v>1138.8</v>
      </c>
      <c r="M19" s="395">
        <v>1225.3</v>
      </c>
      <c r="O19" s="299"/>
    </row>
    <row r="20" spans="1:15" s="274" customFormat="1" ht="20.25" customHeight="1">
      <c r="A20" s="254" t="s">
        <v>50</v>
      </c>
      <c r="B20" s="441" t="s">
        <v>45</v>
      </c>
      <c r="C20" s="394">
        <v>723.83</v>
      </c>
      <c r="D20" s="394">
        <v>725.06</v>
      </c>
      <c r="E20" s="394">
        <v>729.84</v>
      </c>
      <c r="F20" s="394">
        <v>737.74</v>
      </c>
      <c r="G20" s="394">
        <v>742.75</v>
      </c>
      <c r="H20" s="394">
        <v>765.76</v>
      </c>
      <c r="I20" s="394">
        <v>809.49</v>
      </c>
      <c r="J20" s="394">
        <v>837.73</v>
      </c>
      <c r="K20" s="394">
        <v>867.55</v>
      </c>
      <c r="L20" s="394">
        <v>914.26</v>
      </c>
      <c r="M20" s="394">
        <v>976.9</v>
      </c>
      <c r="O20" s="299"/>
    </row>
    <row r="21" spans="1:15" s="249" customFormat="1" ht="15" customHeight="1">
      <c r="A21" s="257"/>
      <c r="B21" s="442" t="s">
        <v>53</v>
      </c>
      <c r="C21" s="395">
        <v>756.74</v>
      </c>
      <c r="D21" s="395">
        <v>755.75</v>
      </c>
      <c r="E21" s="395">
        <v>762.14</v>
      </c>
      <c r="F21" s="395">
        <v>768.86</v>
      </c>
      <c r="G21" s="395">
        <v>774.33</v>
      </c>
      <c r="H21" s="395">
        <v>798.21</v>
      </c>
      <c r="I21" s="395">
        <v>840.48</v>
      </c>
      <c r="J21" s="395">
        <v>866.46</v>
      </c>
      <c r="K21" s="395">
        <v>897.9</v>
      </c>
      <c r="L21" s="395">
        <v>944.17</v>
      </c>
      <c r="M21" s="395">
        <v>1006.52</v>
      </c>
      <c r="O21" s="299"/>
    </row>
    <row r="22" spans="1:15" s="249" customFormat="1" ht="15" customHeight="1">
      <c r="A22" s="257"/>
      <c r="B22" s="442" t="s">
        <v>54</v>
      </c>
      <c r="C22" s="395">
        <v>676.15</v>
      </c>
      <c r="D22" s="395">
        <v>680.56</v>
      </c>
      <c r="E22" s="395">
        <v>682.7</v>
      </c>
      <c r="F22" s="395">
        <v>692.64</v>
      </c>
      <c r="G22" s="395">
        <v>698.75</v>
      </c>
      <c r="H22" s="395">
        <v>720.02</v>
      </c>
      <c r="I22" s="395">
        <v>764.19</v>
      </c>
      <c r="J22" s="395">
        <v>794.98</v>
      </c>
      <c r="K22" s="395">
        <v>823.41</v>
      </c>
      <c r="L22" s="395">
        <v>871.09</v>
      </c>
      <c r="M22" s="395">
        <v>933.93</v>
      </c>
      <c r="O22" s="299"/>
    </row>
    <row r="23" spans="1:15" s="274" customFormat="1" ht="20.25" customHeight="1">
      <c r="A23" s="254" t="s">
        <v>71</v>
      </c>
      <c r="B23" s="441" t="s">
        <v>45</v>
      </c>
      <c r="C23" s="394">
        <v>588.35</v>
      </c>
      <c r="D23" s="394">
        <v>599.25</v>
      </c>
      <c r="E23" s="394">
        <v>599.55999999999995</v>
      </c>
      <c r="F23" s="394">
        <v>613.83000000000004</v>
      </c>
      <c r="G23" s="394">
        <v>645.88</v>
      </c>
      <c r="H23" s="394">
        <v>669.7</v>
      </c>
      <c r="I23" s="394">
        <v>697.76</v>
      </c>
      <c r="J23" s="394">
        <v>724.7</v>
      </c>
      <c r="K23" s="394">
        <v>762.49</v>
      </c>
      <c r="L23" s="394">
        <v>805.44</v>
      </c>
      <c r="M23" s="394">
        <v>852.76</v>
      </c>
      <c r="O23" s="299"/>
    </row>
    <row r="24" spans="1:15" s="249" customFormat="1" ht="15" customHeight="1">
      <c r="A24" s="257"/>
      <c r="B24" s="442" t="s">
        <v>53</v>
      </c>
      <c r="C24" s="395">
        <v>629.96</v>
      </c>
      <c r="D24" s="395">
        <v>640.07000000000005</v>
      </c>
      <c r="E24" s="395">
        <v>635.4</v>
      </c>
      <c r="F24" s="395">
        <v>647.95000000000005</v>
      </c>
      <c r="G24" s="395">
        <v>682.16</v>
      </c>
      <c r="H24" s="395">
        <v>706.7</v>
      </c>
      <c r="I24" s="395">
        <v>739.94</v>
      </c>
      <c r="J24" s="395">
        <v>766.71</v>
      </c>
      <c r="K24" s="395">
        <v>807.22</v>
      </c>
      <c r="L24" s="395">
        <v>851.03</v>
      </c>
      <c r="M24" s="395">
        <v>890.82</v>
      </c>
      <c r="O24" s="299"/>
    </row>
    <row r="25" spans="1:15" s="249" customFormat="1" ht="15" customHeight="1">
      <c r="A25" s="257"/>
      <c r="B25" s="442" t="s">
        <v>54</v>
      </c>
      <c r="C25" s="395">
        <v>556.03</v>
      </c>
      <c r="D25" s="395">
        <v>566.28</v>
      </c>
      <c r="E25" s="395">
        <v>571.28</v>
      </c>
      <c r="F25" s="395">
        <v>586.14</v>
      </c>
      <c r="G25" s="395">
        <v>614.77</v>
      </c>
      <c r="H25" s="395">
        <v>637.49</v>
      </c>
      <c r="I25" s="395">
        <v>662.35</v>
      </c>
      <c r="J25" s="395">
        <v>688.8</v>
      </c>
      <c r="K25" s="395">
        <v>724.31</v>
      </c>
      <c r="L25" s="395">
        <v>766.5</v>
      </c>
      <c r="M25" s="395">
        <v>820.02</v>
      </c>
      <c r="O25" s="299"/>
    </row>
    <row r="26" spans="1:15" s="274" customFormat="1" ht="20.25" customHeight="1">
      <c r="A26" s="254" t="s">
        <v>51</v>
      </c>
      <c r="B26" s="441" t="s">
        <v>45</v>
      </c>
      <c r="C26" s="394">
        <v>557.4</v>
      </c>
      <c r="D26" s="394">
        <v>566.11</v>
      </c>
      <c r="E26" s="394">
        <v>567.04</v>
      </c>
      <c r="F26" s="394">
        <v>583.67999999999995</v>
      </c>
      <c r="G26" s="394">
        <v>606.53</v>
      </c>
      <c r="H26" s="394">
        <v>627.78</v>
      </c>
      <c r="I26" s="394">
        <v>646.65</v>
      </c>
      <c r="J26" s="394">
        <v>680.49</v>
      </c>
      <c r="K26" s="394">
        <v>710.22</v>
      </c>
      <c r="L26" s="394">
        <v>746.19</v>
      </c>
      <c r="M26" s="394">
        <v>805.63</v>
      </c>
      <c r="O26" s="299"/>
    </row>
    <row r="27" spans="1:15" s="249" customFormat="1" ht="15" customHeight="1">
      <c r="A27" s="257"/>
      <c r="B27" s="442" t="s">
        <v>53</v>
      </c>
      <c r="C27" s="395">
        <v>592.20000000000005</v>
      </c>
      <c r="D27" s="395">
        <v>597.67999999999995</v>
      </c>
      <c r="E27" s="395">
        <v>598.42999999999995</v>
      </c>
      <c r="F27" s="395">
        <v>610.32000000000005</v>
      </c>
      <c r="G27" s="395">
        <v>629.11</v>
      </c>
      <c r="H27" s="395">
        <v>648.84</v>
      </c>
      <c r="I27" s="395">
        <v>667.65</v>
      </c>
      <c r="J27" s="395">
        <v>702.96</v>
      </c>
      <c r="K27" s="395">
        <v>730.65</v>
      </c>
      <c r="L27" s="395">
        <v>762.66</v>
      </c>
      <c r="M27" s="395">
        <v>820.99</v>
      </c>
      <c r="O27" s="299"/>
    </row>
    <row r="28" spans="1:15" s="249" customFormat="1" ht="15" customHeight="1">
      <c r="A28" s="257"/>
      <c r="B28" s="442" t="s">
        <v>54</v>
      </c>
      <c r="C28" s="395">
        <v>522.21</v>
      </c>
      <c r="D28" s="395">
        <v>534.14</v>
      </c>
      <c r="E28" s="395">
        <v>535.83000000000004</v>
      </c>
      <c r="F28" s="395">
        <v>556.63</v>
      </c>
      <c r="G28" s="395">
        <v>581.58000000000004</v>
      </c>
      <c r="H28" s="395">
        <v>604.03</v>
      </c>
      <c r="I28" s="395">
        <v>622.26</v>
      </c>
      <c r="J28" s="395">
        <v>653.70000000000005</v>
      </c>
      <c r="K28" s="395">
        <v>685.46</v>
      </c>
      <c r="L28" s="395">
        <v>725.85</v>
      </c>
      <c r="M28" s="395">
        <v>785.16</v>
      </c>
      <c r="O28" s="299"/>
    </row>
    <row r="29" spans="1:15" s="274" customFormat="1" ht="20.25" customHeight="1">
      <c r="A29" s="254" t="s">
        <v>52</v>
      </c>
      <c r="B29" s="441" t="s">
        <v>45</v>
      </c>
      <c r="C29" s="394">
        <v>552.87</v>
      </c>
      <c r="D29" s="394">
        <v>562.79</v>
      </c>
      <c r="E29" s="394">
        <v>563.92999999999995</v>
      </c>
      <c r="F29" s="394">
        <v>580.29999999999995</v>
      </c>
      <c r="G29" s="394">
        <v>605.47</v>
      </c>
      <c r="H29" s="394">
        <v>632.38</v>
      </c>
      <c r="I29" s="394">
        <v>656.07</v>
      </c>
      <c r="J29" s="394">
        <v>688.77</v>
      </c>
      <c r="K29" s="394">
        <v>722.49</v>
      </c>
      <c r="L29" s="394">
        <v>764.34</v>
      </c>
      <c r="M29" s="394">
        <v>824.83</v>
      </c>
      <c r="O29" s="299"/>
    </row>
    <row r="30" spans="1:15" s="249" customFormat="1" ht="15" customHeight="1">
      <c r="A30" s="257"/>
      <c r="B30" s="442" t="s">
        <v>53</v>
      </c>
      <c r="C30" s="395">
        <v>567.36</v>
      </c>
      <c r="D30" s="395">
        <v>576.71</v>
      </c>
      <c r="E30" s="395">
        <v>577.57000000000005</v>
      </c>
      <c r="F30" s="395">
        <v>591.55999999999995</v>
      </c>
      <c r="G30" s="395">
        <v>616.5</v>
      </c>
      <c r="H30" s="395">
        <v>643.97</v>
      </c>
      <c r="I30" s="395">
        <v>668.26</v>
      </c>
      <c r="J30" s="395">
        <v>700.41</v>
      </c>
      <c r="K30" s="395">
        <v>734</v>
      </c>
      <c r="L30" s="395">
        <v>775.21</v>
      </c>
      <c r="M30" s="395">
        <v>832.8</v>
      </c>
      <c r="O30" s="299"/>
    </row>
    <row r="31" spans="1:15" s="249" customFormat="1" ht="15" customHeight="1">
      <c r="A31" s="283"/>
      <c r="B31" s="284" t="s">
        <v>54</v>
      </c>
      <c r="C31" s="396">
        <v>538.07000000000005</v>
      </c>
      <c r="D31" s="396">
        <v>548.47</v>
      </c>
      <c r="E31" s="396">
        <v>549.49</v>
      </c>
      <c r="F31" s="396">
        <v>567.96</v>
      </c>
      <c r="G31" s="396">
        <v>593.07000000000005</v>
      </c>
      <c r="H31" s="396">
        <v>619.01</v>
      </c>
      <c r="I31" s="396">
        <v>640.91</v>
      </c>
      <c r="J31" s="396">
        <v>672.36</v>
      </c>
      <c r="K31" s="396">
        <v>706.34</v>
      </c>
      <c r="L31" s="396">
        <v>749.2</v>
      </c>
      <c r="M31" s="396">
        <v>812.84</v>
      </c>
      <c r="O31" s="299"/>
    </row>
    <row r="32" spans="1:15" s="274" customFormat="1" ht="15" customHeight="1">
      <c r="A32" s="21" t="s">
        <v>138</v>
      </c>
      <c r="B32" s="280"/>
      <c r="C32" s="282"/>
      <c r="D32" s="282"/>
      <c r="E32" s="282"/>
      <c r="F32" s="282"/>
      <c r="G32" s="282"/>
      <c r="H32" s="282"/>
      <c r="I32" s="282"/>
      <c r="J32" s="282"/>
      <c r="K32" s="282"/>
      <c r="L32" s="282"/>
      <c r="M32" s="282"/>
    </row>
    <row r="33" spans="1:13" s="274" customFormat="1" ht="15.75" customHeight="1">
      <c r="A33" s="768" t="s">
        <v>3</v>
      </c>
      <c r="B33" s="768"/>
      <c r="C33" s="768"/>
      <c r="D33" s="768"/>
      <c r="E33" s="768"/>
      <c r="F33" s="768"/>
      <c r="G33" s="768"/>
      <c r="H33" s="768"/>
      <c r="I33" s="768"/>
      <c r="J33" s="768"/>
      <c r="K33" s="768"/>
      <c r="L33" s="768"/>
      <c r="M33" s="768"/>
    </row>
  </sheetData>
  <mergeCells count="2">
    <mergeCell ref="A1:M1"/>
    <mergeCell ref="A33:M33"/>
  </mergeCells>
  <conditionalFormatting sqref="E3 A1 A33 A2:E2 A3:C3 B32:E32 A4:E4 A34:E1048576 A5:F31 N1:XFD1048576">
    <cfRule type="cellIs" dxfId="444" priority="50" operator="equal">
      <formula>0</formula>
    </cfRule>
  </conditionalFormatting>
  <conditionalFormatting sqref="A32">
    <cfRule type="cellIs" dxfId="443" priority="49" operator="equal">
      <formula>0</formula>
    </cfRule>
  </conditionalFormatting>
  <conditionalFormatting sqref="F32 F2:F4 F34:F1048576">
    <cfRule type="cellIs" dxfId="442" priority="48" operator="equal">
      <formula>0</formula>
    </cfRule>
  </conditionalFormatting>
  <conditionalFormatting sqref="I32 I2:I3 I34:I1048576">
    <cfRule type="cellIs" dxfId="441" priority="47" operator="equal">
      <formula>0</formula>
    </cfRule>
  </conditionalFormatting>
  <conditionalFormatting sqref="G5:I31">
    <cfRule type="cellIs" dxfId="440" priority="46" operator="equal">
      <formula>0</formula>
    </cfRule>
  </conditionalFormatting>
  <conditionalFormatting sqref="G32 G2:G4 G34:G1048576 H4:I4">
    <cfRule type="cellIs" dxfId="439" priority="45" operator="equal">
      <formula>0</formula>
    </cfRule>
  </conditionalFormatting>
  <conditionalFormatting sqref="H32 H2:H3 H34:H1048576">
    <cfRule type="cellIs" dxfId="438" priority="40" operator="equal">
      <formula>0</formula>
    </cfRule>
  </conditionalFormatting>
  <conditionalFormatting sqref="J32 J2:J3 J34:J1048576">
    <cfRule type="cellIs" dxfId="437" priority="36" operator="equal">
      <formula>0</formula>
    </cfRule>
  </conditionalFormatting>
  <conditionalFormatting sqref="J5:J31">
    <cfRule type="cellIs" dxfId="436" priority="35" operator="equal">
      <formula>0</formula>
    </cfRule>
  </conditionalFormatting>
  <conditionalFormatting sqref="J4">
    <cfRule type="cellIs" dxfId="435" priority="34" operator="equal">
      <formula>0</formula>
    </cfRule>
  </conditionalFormatting>
  <conditionalFormatting sqref="K32 K2:K3 K34:K1048576">
    <cfRule type="cellIs" dxfId="434" priority="33" operator="equal">
      <formula>0</formula>
    </cfRule>
  </conditionalFormatting>
  <conditionalFormatting sqref="K5:K31">
    <cfRule type="cellIs" dxfId="433" priority="32" operator="equal">
      <formula>0</formula>
    </cfRule>
  </conditionalFormatting>
  <conditionalFormatting sqref="K4">
    <cfRule type="cellIs" dxfId="432" priority="31" operator="equal">
      <formula>0</formula>
    </cfRule>
  </conditionalFormatting>
  <conditionalFormatting sqref="L32 L2:L3 L34:L1048576">
    <cfRule type="cellIs" dxfId="431" priority="16" operator="equal">
      <formula>0</formula>
    </cfRule>
  </conditionalFormatting>
  <conditionalFormatting sqref="L5:L31">
    <cfRule type="cellIs" dxfId="430" priority="15" operator="equal">
      <formula>0</formula>
    </cfRule>
  </conditionalFormatting>
  <conditionalFormatting sqref="L4">
    <cfRule type="cellIs" dxfId="429" priority="14" operator="equal">
      <formula>0</formula>
    </cfRule>
  </conditionalFormatting>
  <conditionalFormatting sqref="M32 M2:M3 M34:M1048576">
    <cfRule type="cellIs" dxfId="428" priority="3" operator="equal">
      <formula>0</formula>
    </cfRule>
  </conditionalFormatting>
  <conditionalFormatting sqref="M5:M31">
    <cfRule type="cellIs" dxfId="427" priority="2" operator="equal">
      <formula>0</formula>
    </cfRule>
  </conditionalFormatting>
  <conditionalFormatting sqref="M4">
    <cfRule type="cellIs" dxfId="426"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F6D46-AF31-4C03-99C2-A94CA00D2F8C}">
  <sheetPr>
    <tabColor rgb="FFE1EAEF"/>
    <pageSetUpPr fitToPage="1"/>
  </sheetPr>
  <dimension ref="A1:M58"/>
  <sheetViews>
    <sheetView showGridLines="0" topLeftCell="A19" workbookViewId="0">
      <selection sqref="A1:M1"/>
    </sheetView>
  </sheetViews>
  <sheetFormatPr defaultColWidth="9.140625" defaultRowHeight="11.25"/>
  <cols>
    <col min="1" max="1" width="3" style="718" customWidth="1"/>
    <col min="2" max="2" width="45.28515625" style="719" customWidth="1"/>
    <col min="3" max="13" width="6.28515625" style="696" customWidth="1"/>
    <col min="14" max="16384" width="9.140625" style="696"/>
  </cols>
  <sheetData>
    <row r="1" spans="1:13" s="693" customFormat="1" ht="28.5" customHeight="1">
      <c r="A1" s="797" t="s">
        <v>722</v>
      </c>
      <c r="B1" s="797"/>
      <c r="C1" s="797"/>
      <c r="D1" s="797"/>
      <c r="E1" s="797"/>
      <c r="F1" s="797"/>
      <c r="G1" s="797"/>
      <c r="H1" s="797"/>
      <c r="I1" s="797"/>
      <c r="J1" s="797"/>
      <c r="K1" s="797"/>
      <c r="L1" s="797"/>
      <c r="M1" s="797"/>
    </row>
    <row r="2" spans="1:13" ht="15" customHeight="1">
      <c r="A2" s="694"/>
      <c r="B2" s="695"/>
      <c r="C2" s="695"/>
      <c r="D2" s="695"/>
      <c r="E2" s="695"/>
      <c r="F2" s="695"/>
      <c r="G2" s="695"/>
      <c r="H2" s="695"/>
      <c r="I2" s="695"/>
      <c r="J2" s="695"/>
      <c r="K2" s="695"/>
      <c r="L2" s="695"/>
      <c r="M2" s="695"/>
    </row>
    <row r="3" spans="1:13" s="118" customFormat="1" ht="15" customHeight="1">
      <c r="A3" s="30" t="s">
        <v>42</v>
      </c>
      <c r="B3" s="698"/>
      <c r="C3" s="31"/>
      <c r="D3" s="31"/>
      <c r="E3" s="31"/>
      <c r="F3" s="31"/>
      <c r="G3" s="31"/>
      <c r="H3" s="31"/>
      <c r="I3" s="31"/>
      <c r="J3" s="31"/>
      <c r="K3" s="31"/>
      <c r="L3" s="31"/>
      <c r="M3" s="31" t="s">
        <v>68</v>
      </c>
    </row>
    <row r="4" spans="1:13" s="118" customFormat="1" ht="28.5" customHeight="1" thickBot="1">
      <c r="A4" s="107" t="s">
        <v>723</v>
      </c>
      <c r="B4" s="699"/>
      <c r="C4" s="204">
        <v>2013</v>
      </c>
      <c r="D4" s="204">
        <v>2014</v>
      </c>
      <c r="E4" s="204">
        <v>2015</v>
      </c>
      <c r="F4" s="204">
        <v>2016</v>
      </c>
      <c r="G4" s="204">
        <v>2017</v>
      </c>
      <c r="H4" s="204">
        <v>2018</v>
      </c>
      <c r="I4" s="204">
        <v>2019</v>
      </c>
      <c r="J4" s="204">
        <v>2020</v>
      </c>
      <c r="K4" s="204">
        <v>2021</v>
      </c>
      <c r="L4" s="204">
        <v>2022</v>
      </c>
      <c r="M4" s="204">
        <v>2023</v>
      </c>
    </row>
    <row r="5" spans="1:13" s="118" customFormat="1" ht="21" customHeight="1" thickTop="1">
      <c r="A5" s="720"/>
      <c r="B5" s="721" t="s">
        <v>12</v>
      </c>
      <c r="C5" s="722">
        <v>912.18</v>
      </c>
      <c r="D5" s="722">
        <v>909.49</v>
      </c>
      <c r="E5" s="722">
        <v>913.93</v>
      </c>
      <c r="F5" s="722">
        <v>924.94</v>
      </c>
      <c r="G5" s="722">
        <v>943</v>
      </c>
      <c r="H5" s="722">
        <v>970.42</v>
      </c>
      <c r="I5" s="722">
        <v>1005.09</v>
      </c>
      <c r="J5" s="722">
        <v>1041.99</v>
      </c>
      <c r="K5" s="722">
        <v>1082.77</v>
      </c>
      <c r="L5" s="722">
        <v>1143.45</v>
      </c>
      <c r="M5" s="722">
        <v>1219.8699999999999</v>
      </c>
    </row>
    <row r="6" spans="1:13" s="118" customFormat="1" ht="24" customHeight="1">
      <c r="A6" s="700">
        <v>1</v>
      </c>
      <c r="B6" s="703" t="s">
        <v>654</v>
      </c>
      <c r="C6" s="723">
        <v>2065.27</v>
      </c>
      <c r="D6" s="723">
        <v>2052.4499999999998</v>
      </c>
      <c r="E6" s="723">
        <v>2079.75</v>
      </c>
      <c r="F6" s="723">
        <v>2107.9899999999998</v>
      </c>
      <c r="G6" s="723">
        <v>2146.0500000000002</v>
      </c>
      <c r="H6" s="723">
        <v>2200.1999999999998</v>
      </c>
      <c r="I6" s="723">
        <v>2261.4</v>
      </c>
      <c r="J6" s="723">
        <v>2333.06</v>
      </c>
      <c r="K6" s="723">
        <v>2403.16</v>
      </c>
      <c r="L6" s="723">
        <v>2518.79</v>
      </c>
      <c r="M6" s="723">
        <v>2657.57</v>
      </c>
    </row>
    <row r="7" spans="1:13" s="118" customFormat="1" ht="21" customHeight="1">
      <c r="A7" s="704">
        <v>11</v>
      </c>
      <c r="B7" s="710" t="s">
        <v>655</v>
      </c>
      <c r="C7" s="724">
        <v>2856.44</v>
      </c>
      <c r="D7" s="724">
        <v>2829.32</v>
      </c>
      <c r="E7" s="724">
        <v>2844.52</v>
      </c>
      <c r="F7" s="724">
        <v>2837.07</v>
      </c>
      <c r="G7" s="724">
        <v>2985.77</v>
      </c>
      <c r="H7" s="724">
        <v>3034.36</v>
      </c>
      <c r="I7" s="724">
        <v>3144.47</v>
      </c>
      <c r="J7" s="724">
        <v>3230.47</v>
      </c>
      <c r="K7" s="724">
        <v>3257.92</v>
      </c>
      <c r="L7" s="724">
        <v>3344.35</v>
      </c>
      <c r="M7" s="724">
        <v>3556.46</v>
      </c>
    </row>
    <row r="8" spans="1:13" s="118" customFormat="1" ht="12.75" customHeight="1">
      <c r="A8" s="704">
        <v>12</v>
      </c>
      <c r="B8" s="710" t="s">
        <v>656</v>
      </c>
      <c r="C8" s="724">
        <v>2399.77</v>
      </c>
      <c r="D8" s="724">
        <v>2366.84</v>
      </c>
      <c r="E8" s="724">
        <v>2383.54</v>
      </c>
      <c r="F8" s="724">
        <v>2401.41</v>
      </c>
      <c r="G8" s="724">
        <v>2416.9299999999998</v>
      </c>
      <c r="H8" s="724">
        <v>2495.6799999999998</v>
      </c>
      <c r="I8" s="724">
        <v>2513.67</v>
      </c>
      <c r="J8" s="724">
        <v>2579.35</v>
      </c>
      <c r="K8" s="724">
        <v>2647.82</v>
      </c>
      <c r="L8" s="724">
        <v>2814.89</v>
      </c>
      <c r="M8" s="724">
        <v>2947.49</v>
      </c>
    </row>
    <row r="9" spans="1:13" s="118" customFormat="1" ht="12.75" customHeight="1">
      <c r="A9" s="704">
        <v>13</v>
      </c>
      <c r="B9" s="710" t="s">
        <v>657</v>
      </c>
      <c r="C9" s="724">
        <v>2003.44</v>
      </c>
      <c r="D9" s="724">
        <v>1993.41</v>
      </c>
      <c r="E9" s="724">
        <v>2030.3</v>
      </c>
      <c r="F9" s="724">
        <v>2039.4</v>
      </c>
      <c r="G9" s="724">
        <v>2080</v>
      </c>
      <c r="H9" s="724">
        <v>2142.36</v>
      </c>
      <c r="I9" s="724">
        <v>2199.9299999999998</v>
      </c>
      <c r="J9" s="724">
        <v>2261.5500000000002</v>
      </c>
      <c r="K9" s="724">
        <v>2321.1</v>
      </c>
      <c r="L9" s="724">
        <v>2455.1</v>
      </c>
      <c r="M9" s="724">
        <v>2602.0500000000002</v>
      </c>
    </row>
    <row r="10" spans="1:13" s="118" customFormat="1" ht="12.75" customHeight="1">
      <c r="A10" s="704">
        <v>14</v>
      </c>
      <c r="B10" s="710" t="s">
        <v>658</v>
      </c>
      <c r="C10" s="724">
        <v>1323.95</v>
      </c>
      <c r="D10" s="724">
        <v>1321.2</v>
      </c>
      <c r="E10" s="724">
        <v>1354.17</v>
      </c>
      <c r="F10" s="724">
        <v>1416.68</v>
      </c>
      <c r="G10" s="724">
        <v>1387.88</v>
      </c>
      <c r="H10" s="724">
        <v>1410.05</v>
      </c>
      <c r="I10" s="724">
        <v>1516.2</v>
      </c>
      <c r="J10" s="724">
        <v>1556.53</v>
      </c>
      <c r="K10" s="724">
        <v>1643.94</v>
      </c>
      <c r="L10" s="724">
        <v>1707.88</v>
      </c>
      <c r="M10" s="724">
        <v>1835.51</v>
      </c>
    </row>
    <row r="11" spans="1:13" s="468" customFormat="1" ht="12.75" customHeight="1">
      <c r="A11" s="707">
        <v>2</v>
      </c>
      <c r="B11" s="725" t="s">
        <v>659</v>
      </c>
      <c r="C11" s="723">
        <v>1567.9</v>
      </c>
      <c r="D11" s="723">
        <v>1541.53</v>
      </c>
      <c r="E11" s="723">
        <v>1539.36</v>
      </c>
      <c r="F11" s="723">
        <v>1552.11</v>
      </c>
      <c r="G11" s="723">
        <v>1562.24</v>
      </c>
      <c r="H11" s="723">
        <v>1587.78</v>
      </c>
      <c r="I11" s="723">
        <v>1623</v>
      </c>
      <c r="J11" s="723">
        <v>1656.71</v>
      </c>
      <c r="K11" s="723">
        <v>1713.38</v>
      </c>
      <c r="L11" s="723">
        <v>1802.5</v>
      </c>
      <c r="M11" s="723">
        <v>1907.03</v>
      </c>
    </row>
    <row r="12" spans="1:13" s="118" customFormat="1" ht="16.5" customHeight="1">
      <c r="A12" s="709">
        <v>21</v>
      </c>
      <c r="B12" s="710" t="s">
        <v>660</v>
      </c>
      <c r="C12" s="724">
        <v>1723.14</v>
      </c>
      <c r="D12" s="724">
        <v>1668.71</v>
      </c>
      <c r="E12" s="724">
        <v>1653.08</v>
      </c>
      <c r="F12" s="724">
        <v>1646.83</v>
      </c>
      <c r="G12" s="724">
        <v>1626.45</v>
      </c>
      <c r="H12" s="724">
        <v>1654.98</v>
      </c>
      <c r="I12" s="724">
        <v>1703.31</v>
      </c>
      <c r="J12" s="724">
        <v>1743.21</v>
      </c>
      <c r="K12" s="724">
        <v>1782.5</v>
      </c>
      <c r="L12" s="724">
        <v>1869.17</v>
      </c>
      <c r="M12" s="724">
        <v>1976.08</v>
      </c>
    </row>
    <row r="13" spans="1:13" s="118" customFormat="1" ht="12.75" customHeight="1">
      <c r="A13" s="709">
        <v>22</v>
      </c>
      <c r="B13" s="710" t="s">
        <v>661</v>
      </c>
      <c r="C13" s="724">
        <v>1433.63</v>
      </c>
      <c r="D13" s="724">
        <v>1422.95</v>
      </c>
      <c r="E13" s="724">
        <v>1430.67</v>
      </c>
      <c r="F13" s="724">
        <v>1456.39</v>
      </c>
      <c r="G13" s="724">
        <v>1454.55</v>
      </c>
      <c r="H13" s="724">
        <v>1483.55</v>
      </c>
      <c r="I13" s="724">
        <v>1502.71</v>
      </c>
      <c r="J13" s="724">
        <v>1507.91</v>
      </c>
      <c r="K13" s="724">
        <v>1547.7</v>
      </c>
      <c r="L13" s="724">
        <v>1572.94</v>
      </c>
      <c r="M13" s="724">
        <v>1612.29</v>
      </c>
    </row>
    <row r="14" spans="1:13" s="118" customFormat="1" ht="12.75" customHeight="1">
      <c r="A14" s="709">
        <v>23</v>
      </c>
      <c r="B14" s="710" t="s">
        <v>662</v>
      </c>
      <c r="C14" s="724">
        <v>1461.14</v>
      </c>
      <c r="D14" s="724">
        <v>1437.21</v>
      </c>
      <c r="E14" s="724">
        <v>1444.89</v>
      </c>
      <c r="F14" s="724">
        <v>1445.89</v>
      </c>
      <c r="G14" s="724">
        <v>1454.69</v>
      </c>
      <c r="H14" s="724">
        <v>1481.62</v>
      </c>
      <c r="I14" s="724">
        <v>1504.15</v>
      </c>
      <c r="J14" s="724">
        <v>1539.01</v>
      </c>
      <c r="K14" s="724">
        <v>1570.52</v>
      </c>
      <c r="L14" s="724">
        <v>1625.73</v>
      </c>
      <c r="M14" s="724">
        <v>1716.9</v>
      </c>
    </row>
    <row r="15" spans="1:13" s="118" customFormat="1" ht="20.25" customHeight="1">
      <c r="A15" s="709">
        <v>24</v>
      </c>
      <c r="B15" s="710" t="s">
        <v>663</v>
      </c>
      <c r="C15" s="724">
        <v>1634.89</v>
      </c>
      <c r="D15" s="724">
        <v>1604.52</v>
      </c>
      <c r="E15" s="724">
        <v>1608.21</v>
      </c>
      <c r="F15" s="724">
        <v>1623.17</v>
      </c>
      <c r="G15" s="724">
        <v>1665.99</v>
      </c>
      <c r="H15" s="724">
        <v>1671.62</v>
      </c>
      <c r="I15" s="724">
        <v>1686.52</v>
      </c>
      <c r="J15" s="724">
        <v>1696.26</v>
      </c>
      <c r="K15" s="724">
        <v>1751.64</v>
      </c>
      <c r="L15" s="724">
        <v>1803.15</v>
      </c>
      <c r="M15" s="724">
        <v>1906.46</v>
      </c>
    </row>
    <row r="16" spans="1:13" s="118" customFormat="1" ht="18" customHeight="1">
      <c r="A16" s="709">
        <v>25</v>
      </c>
      <c r="B16" s="710" t="s">
        <v>664</v>
      </c>
      <c r="C16" s="724">
        <v>1565.62</v>
      </c>
      <c r="D16" s="724">
        <v>1556.95</v>
      </c>
      <c r="E16" s="724">
        <v>1551.55</v>
      </c>
      <c r="F16" s="724">
        <v>1582.61</v>
      </c>
      <c r="G16" s="724">
        <v>1601.22</v>
      </c>
      <c r="H16" s="724">
        <v>1648.1</v>
      </c>
      <c r="I16" s="724">
        <v>1720</v>
      </c>
      <c r="J16" s="724">
        <v>1796.68</v>
      </c>
      <c r="K16" s="724">
        <v>1906.2</v>
      </c>
      <c r="L16" s="724">
        <v>2104.9</v>
      </c>
      <c r="M16" s="724">
        <v>2258.27</v>
      </c>
    </row>
    <row r="17" spans="1:13" s="118" customFormat="1" ht="18" customHeight="1">
      <c r="A17" s="709">
        <v>26</v>
      </c>
      <c r="B17" s="710" t="s">
        <v>665</v>
      </c>
      <c r="C17" s="724">
        <v>1462.97</v>
      </c>
      <c r="D17" s="724">
        <v>1441.37</v>
      </c>
      <c r="E17" s="724">
        <v>1423.52</v>
      </c>
      <c r="F17" s="724">
        <v>1432.85</v>
      </c>
      <c r="G17" s="724">
        <v>1420.9</v>
      </c>
      <c r="H17" s="724">
        <v>1429.52</v>
      </c>
      <c r="I17" s="724">
        <v>1460.99</v>
      </c>
      <c r="J17" s="724">
        <v>1494.77</v>
      </c>
      <c r="K17" s="724">
        <v>1516.64</v>
      </c>
      <c r="L17" s="724">
        <v>1535.94</v>
      </c>
      <c r="M17" s="724">
        <v>1607.45</v>
      </c>
    </row>
    <row r="18" spans="1:13" s="468" customFormat="1" ht="12.75" customHeight="1">
      <c r="A18" s="707">
        <v>3</v>
      </c>
      <c r="B18" s="725" t="s">
        <v>666</v>
      </c>
      <c r="C18" s="723">
        <v>1214.27</v>
      </c>
      <c r="D18" s="723">
        <v>1199.6500000000001</v>
      </c>
      <c r="E18" s="723">
        <v>1216.57</v>
      </c>
      <c r="F18" s="723">
        <v>1225.94</v>
      </c>
      <c r="G18" s="723">
        <v>1243.8599999999999</v>
      </c>
      <c r="H18" s="723">
        <v>1266.67</v>
      </c>
      <c r="I18" s="723">
        <v>1300.04</v>
      </c>
      <c r="J18" s="723">
        <v>1309.53</v>
      </c>
      <c r="K18" s="723">
        <v>1334.13</v>
      </c>
      <c r="L18" s="723">
        <v>1409.43</v>
      </c>
      <c r="M18" s="723">
        <v>1506.33</v>
      </c>
    </row>
    <row r="19" spans="1:13" s="118" customFormat="1" ht="18.600000000000001" customHeight="1">
      <c r="A19" s="709">
        <v>31</v>
      </c>
      <c r="B19" s="710" t="s">
        <v>667</v>
      </c>
      <c r="C19" s="724">
        <v>1180.79</v>
      </c>
      <c r="D19" s="724">
        <v>1176.25</v>
      </c>
      <c r="E19" s="724">
        <v>1193.19</v>
      </c>
      <c r="F19" s="724">
        <v>1201.68</v>
      </c>
      <c r="G19" s="724">
        <v>1215.48</v>
      </c>
      <c r="H19" s="724">
        <v>1247.06</v>
      </c>
      <c r="I19" s="724">
        <v>1289.8</v>
      </c>
      <c r="J19" s="724">
        <v>1249</v>
      </c>
      <c r="K19" s="724">
        <v>1271.55</v>
      </c>
      <c r="L19" s="724">
        <v>1400.11</v>
      </c>
      <c r="M19" s="724">
        <v>1509.67</v>
      </c>
    </row>
    <row r="20" spans="1:13" s="118" customFormat="1" ht="12.75" customHeight="1">
      <c r="A20" s="709">
        <v>32</v>
      </c>
      <c r="B20" s="710" t="s">
        <v>668</v>
      </c>
      <c r="C20" s="724">
        <v>906.59</v>
      </c>
      <c r="D20" s="724">
        <v>899.99</v>
      </c>
      <c r="E20" s="724">
        <v>892.15</v>
      </c>
      <c r="F20" s="724">
        <v>902.74</v>
      </c>
      <c r="G20" s="724">
        <v>918.74</v>
      </c>
      <c r="H20" s="724">
        <v>926.88</v>
      </c>
      <c r="I20" s="724">
        <v>961.67</v>
      </c>
      <c r="J20" s="724">
        <v>985.81</v>
      </c>
      <c r="K20" s="724">
        <v>1001.93</v>
      </c>
      <c r="L20" s="724">
        <v>1042.96</v>
      </c>
      <c r="M20" s="724">
        <v>1105.6300000000001</v>
      </c>
    </row>
    <row r="21" spans="1:13" s="118" customFormat="1" ht="17.100000000000001" customHeight="1">
      <c r="A21" s="709">
        <v>33</v>
      </c>
      <c r="B21" s="710" t="s">
        <v>669</v>
      </c>
      <c r="C21" s="724">
        <v>1273.1600000000001</v>
      </c>
      <c r="D21" s="724">
        <v>1270.6600000000001</v>
      </c>
      <c r="E21" s="724">
        <v>1269.81</v>
      </c>
      <c r="F21" s="724">
        <v>1274.78</v>
      </c>
      <c r="G21" s="724">
        <v>1278.74</v>
      </c>
      <c r="H21" s="724">
        <v>1296.96</v>
      </c>
      <c r="I21" s="724">
        <v>1326.82</v>
      </c>
      <c r="J21" s="724">
        <v>1355.4</v>
      </c>
      <c r="K21" s="724">
        <v>1377.25</v>
      </c>
      <c r="L21" s="724">
        <v>1434.09</v>
      </c>
      <c r="M21" s="724">
        <v>1518.77</v>
      </c>
    </row>
    <row r="22" spans="1:13" s="118" customFormat="1" ht="21.75" customHeight="1">
      <c r="A22" s="709">
        <v>34</v>
      </c>
      <c r="B22" s="710" t="s">
        <v>670</v>
      </c>
      <c r="C22" s="724">
        <v>1695.94</v>
      </c>
      <c r="D22" s="724">
        <v>1532.03</v>
      </c>
      <c r="E22" s="724">
        <v>1770.8</v>
      </c>
      <c r="F22" s="724">
        <v>1826.11</v>
      </c>
      <c r="G22" s="724">
        <v>1949.31</v>
      </c>
      <c r="H22" s="724">
        <v>1961.57</v>
      </c>
      <c r="I22" s="724">
        <v>2035.97</v>
      </c>
      <c r="J22" s="724">
        <v>2137.66</v>
      </c>
      <c r="K22" s="724">
        <v>2170.54</v>
      </c>
      <c r="L22" s="724">
        <v>2143.36</v>
      </c>
      <c r="M22" s="724">
        <v>2325.09</v>
      </c>
    </row>
    <row r="23" spans="1:13" s="118" customFormat="1" ht="12.75" customHeight="1">
      <c r="A23" s="709">
        <v>35</v>
      </c>
      <c r="B23" s="710" t="s">
        <v>671</v>
      </c>
      <c r="C23" s="724">
        <v>1173.27</v>
      </c>
      <c r="D23" s="724">
        <v>1141.27</v>
      </c>
      <c r="E23" s="724">
        <v>1148.6300000000001</v>
      </c>
      <c r="F23" s="724">
        <v>1164.2</v>
      </c>
      <c r="G23" s="724">
        <v>1194.02</v>
      </c>
      <c r="H23" s="724">
        <v>1223.53</v>
      </c>
      <c r="I23" s="724">
        <v>1223.02</v>
      </c>
      <c r="J23" s="724">
        <v>1272.67</v>
      </c>
      <c r="K23" s="724">
        <v>1305.26</v>
      </c>
      <c r="L23" s="724">
        <v>1362.8</v>
      </c>
      <c r="M23" s="724">
        <v>1458.22</v>
      </c>
    </row>
    <row r="24" spans="1:13" s="468" customFormat="1" ht="12.75" customHeight="1">
      <c r="A24" s="707">
        <v>4</v>
      </c>
      <c r="B24" s="725" t="s">
        <v>672</v>
      </c>
      <c r="C24" s="723">
        <v>851.95</v>
      </c>
      <c r="D24" s="723">
        <v>853.64</v>
      </c>
      <c r="E24" s="723">
        <v>850.24</v>
      </c>
      <c r="F24" s="723">
        <v>858.62</v>
      </c>
      <c r="G24" s="723">
        <v>871.79</v>
      </c>
      <c r="H24" s="723">
        <v>892.08</v>
      </c>
      <c r="I24" s="723">
        <v>915.53</v>
      </c>
      <c r="J24" s="723">
        <v>939.99</v>
      </c>
      <c r="K24" s="723">
        <v>974.11</v>
      </c>
      <c r="L24" s="723">
        <v>1012.3</v>
      </c>
      <c r="M24" s="723">
        <v>1075.58</v>
      </c>
    </row>
    <row r="25" spans="1:13" s="118" customFormat="1" ht="17.100000000000001" customHeight="1">
      <c r="A25" s="709">
        <v>41</v>
      </c>
      <c r="B25" s="710" t="s">
        <v>673</v>
      </c>
      <c r="C25" s="724">
        <v>864.75</v>
      </c>
      <c r="D25" s="724">
        <v>867.5</v>
      </c>
      <c r="E25" s="724">
        <v>869.73</v>
      </c>
      <c r="F25" s="724">
        <v>883.18</v>
      </c>
      <c r="G25" s="724">
        <v>903.58</v>
      </c>
      <c r="H25" s="724">
        <v>926.61</v>
      </c>
      <c r="I25" s="724">
        <v>958.31</v>
      </c>
      <c r="J25" s="724">
        <v>983.65</v>
      </c>
      <c r="K25" s="724">
        <v>1018.9</v>
      </c>
      <c r="L25" s="724">
        <v>1056.6600000000001</v>
      </c>
      <c r="M25" s="724">
        <v>1129.6400000000001</v>
      </c>
    </row>
    <row r="26" spans="1:13" s="118" customFormat="1" ht="12.75" customHeight="1">
      <c r="A26" s="709">
        <v>42</v>
      </c>
      <c r="B26" s="710" t="s">
        <v>674</v>
      </c>
      <c r="C26" s="724">
        <v>819.45</v>
      </c>
      <c r="D26" s="724">
        <v>833.33</v>
      </c>
      <c r="E26" s="724">
        <v>818.33</v>
      </c>
      <c r="F26" s="724">
        <v>820</v>
      </c>
      <c r="G26" s="724">
        <v>831.38</v>
      </c>
      <c r="H26" s="724">
        <v>846.81</v>
      </c>
      <c r="I26" s="724">
        <v>847.7</v>
      </c>
      <c r="J26" s="724">
        <v>866.14</v>
      </c>
      <c r="K26" s="724">
        <v>896.5</v>
      </c>
      <c r="L26" s="724">
        <v>932.25</v>
      </c>
      <c r="M26" s="724">
        <v>988.46</v>
      </c>
    </row>
    <row r="27" spans="1:13" s="118" customFormat="1" ht="24.75" customHeight="1">
      <c r="A27" s="709">
        <v>43</v>
      </c>
      <c r="B27" s="710" t="s">
        <v>675</v>
      </c>
      <c r="C27" s="724">
        <v>839.11</v>
      </c>
      <c r="D27" s="724">
        <v>832.2</v>
      </c>
      <c r="E27" s="724">
        <v>826.38</v>
      </c>
      <c r="F27" s="724">
        <v>838.07</v>
      </c>
      <c r="G27" s="724">
        <v>846.16</v>
      </c>
      <c r="H27" s="724">
        <v>866.73</v>
      </c>
      <c r="I27" s="724">
        <v>892.44</v>
      </c>
      <c r="J27" s="724">
        <v>920.04</v>
      </c>
      <c r="K27" s="724">
        <v>956.11</v>
      </c>
      <c r="L27" s="724">
        <v>997.96</v>
      </c>
      <c r="M27" s="724">
        <v>1064.55</v>
      </c>
    </row>
    <row r="28" spans="1:13" s="118" customFormat="1" ht="12.75" customHeight="1">
      <c r="A28" s="709">
        <v>44</v>
      </c>
      <c r="B28" s="710" t="s">
        <v>676</v>
      </c>
      <c r="C28" s="724">
        <v>910.03</v>
      </c>
      <c r="D28" s="724">
        <v>899.2</v>
      </c>
      <c r="E28" s="724">
        <v>905.04</v>
      </c>
      <c r="F28" s="724">
        <v>900.43</v>
      </c>
      <c r="G28" s="724">
        <v>906.87</v>
      </c>
      <c r="H28" s="724">
        <v>924.95</v>
      </c>
      <c r="I28" s="724">
        <v>953.85</v>
      </c>
      <c r="J28" s="724">
        <v>972.48</v>
      </c>
      <c r="K28" s="724">
        <v>1012.17</v>
      </c>
      <c r="L28" s="724">
        <v>1056.6400000000001</v>
      </c>
      <c r="M28" s="724">
        <v>1111.04</v>
      </c>
    </row>
    <row r="29" spans="1:13" s="468" customFormat="1" ht="12.75" customHeight="1">
      <c r="A29" s="707">
        <v>5</v>
      </c>
      <c r="B29" s="712" t="s">
        <v>677</v>
      </c>
      <c r="C29" s="723">
        <v>636.16999999999996</v>
      </c>
      <c r="D29" s="723">
        <v>643.22</v>
      </c>
      <c r="E29" s="723">
        <v>648.69000000000005</v>
      </c>
      <c r="F29" s="723">
        <v>661.51</v>
      </c>
      <c r="G29" s="723">
        <v>679.44</v>
      </c>
      <c r="H29" s="723">
        <v>701.85</v>
      </c>
      <c r="I29" s="723">
        <v>730.64</v>
      </c>
      <c r="J29" s="723">
        <v>754.92</v>
      </c>
      <c r="K29" s="723">
        <v>784.92</v>
      </c>
      <c r="L29" s="723">
        <v>833.64</v>
      </c>
      <c r="M29" s="723">
        <v>897.05</v>
      </c>
    </row>
    <row r="30" spans="1:13" s="118" customFormat="1" ht="12.75" customHeight="1">
      <c r="A30" s="709">
        <v>51</v>
      </c>
      <c r="B30" s="710" t="s">
        <v>678</v>
      </c>
      <c r="C30" s="724">
        <v>623.36</v>
      </c>
      <c r="D30" s="724">
        <v>628.69000000000005</v>
      </c>
      <c r="E30" s="724">
        <v>634.41999999999996</v>
      </c>
      <c r="F30" s="724">
        <v>649.54999999999995</v>
      </c>
      <c r="G30" s="724">
        <v>673.14</v>
      </c>
      <c r="H30" s="724">
        <v>700.29</v>
      </c>
      <c r="I30" s="724">
        <v>726.95</v>
      </c>
      <c r="J30" s="724">
        <v>732.01</v>
      </c>
      <c r="K30" s="724">
        <v>768.97</v>
      </c>
      <c r="L30" s="724">
        <v>831.69</v>
      </c>
      <c r="M30" s="724">
        <v>890.47</v>
      </c>
    </row>
    <row r="31" spans="1:13" s="130" customFormat="1" ht="12.75" customHeight="1">
      <c r="A31" s="709">
        <v>52</v>
      </c>
      <c r="B31" s="710" t="s">
        <v>679</v>
      </c>
      <c r="C31" s="724">
        <v>666.22</v>
      </c>
      <c r="D31" s="724">
        <v>676.49</v>
      </c>
      <c r="E31" s="724">
        <v>682.18</v>
      </c>
      <c r="F31" s="724">
        <v>696.3</v>
      </c>
      <c r="G31" s="724">
        <v>713.23</v>
      </c>
      <c r="H31" s="724">
        <v>734.73</v>
      </c>
      <c r="I31" s="724">
        <v>762.99</v>
      </c>
      <c r="J31" s="724">
        <v>794.16</v>
      </c>
      <c r="K31" s="724">
        <v>825.34</v>
      </c>
      <c r="L31" s="724">
        <v>875.23</v>
      </c>
      <c r="M31" s="724">
        <v>941.93</v>
      </c>
    </row>
    <row r="32" spans="1:13" s="118" customFormat="1" ht="12.75" customHeight="1">
      <c r="A32" s="709">
        <v>53</v>
      </c>
      <c r="B32" s="710" t="s">
        <v>680</v>
      </c>
      <c r="C32" s="724">
        <v>554.65</v>
      </c>
      <c r="D32" s="724">
        <v>561</v>
      </c>
      <c r="E32" s="724">
        <v>567.53</v>
      </c>
      <c r="F32" s="724">
        <v>579.41</v>
      </c>
      <c r="G32" s="724">
        <v>598.97</v>
      </c>
      <c r="H32" s="724">
        <v>618.9</v>
      </c>
      <c r="I32" s="724">
        <v>641.96</v>
      </c>
      <c r="J32" s="724">
        <v>664.77</v>
      </c>
      <c r="K32" s="724">
        <v>694.65</v>
      </c>
      <c r="L32" s="724">
        <v>733.44</v>
      </c>
      <c r="M32" s="724">
        <v>798.32</v>
      </c>
    </row>
    <row r="33" spans="1:13" s="118" customFormat="1" ht="12.75" customHeight="1">
      <c r="A33" s="709">
        <v>54</v>
      </c>
      <c r="B33" s="710" t="s">
        <v>681</v>
      </c>
      <c r="C33" s="724">
        <v>670.05</v>
      </c>
      <c r="D33" s="724">
        <v>670.38</v>
      </c>
      <c r="E33" s="724">
        <v>678.02</v>
      </c>
      <c r="F33" s="724">
        <v>683.44</v>
      </c>
      <c r="G33" s="724">
        <v>687.01</v>
      </c>
      <c r="H33" s="724">
        <v>703.35</v>
      </c>
      <c r="I33" s="724">
        <v>754.13</v>
      </c>
      <c r="J33" s="724">
        <v>807.03</v>
      </c>
      <c r="K33" s="724">
        <v>816.16</v>
      </c>
      <c r="L33" s="724">
        <v>835.2</v>
      </c>
      <c r="M33" s="724">
        <v>892.68</v>
      </c>
    </row>
    <row r="34" spans="1:13" s="118" customFormat="1" ht="16.5" customHeight="1">
      <c r="A34" s="700">
        <v>6</v>
      </c>
      <c r="B34" s="712" t="s">
        <v>682</v>
      </c>
      <c r="C34" s="723">
        <v>651.48</v>
      </c>
      <c r="D34" s="723">
        <v>647.64</v>
      </c>
      <c r="E34" s="723">
        <v>673.53</v>
      </c>
      <c r="F34" s="723">
        <v>705.23</v>
      </c>
      <c r="G34" s="723">
        <v>701.39</v>
      </c>
      <c r="H34" s="723">
        <v>745.46</v>
      </c>
      <c r="I34" s="723">
        <v>800.65</v>
      </c>
      <c r="J34" s="723">
        <v>772.79</v>
      </c>
      <c r="K34" s="723">
        <v>823.03</v>
      </c>
      <c r="L34" s="723">
        <v>868.03</v>
      </c>
      <c r="M34" s="723">
        <v>921.84</v>
      </c>
    </row>
    <row r="35" spans="1:13" s="118" customFormat="1" ht="20.100000000000001" customHeight="1">
      <c r="A35" s="704">
        <v>61</v>
      </c>
      <c r="B35" s="710" t="s">
        <v>683</v>
      </c>
      <c r="C35" s="724">
        <v>601.11</v>
      </c>
      <c r="D35" s="724">
        <v>607.84</v>
      </c>
      <c r="E35" s="724">
        <v>610.79999999999995</v>
      </c>
      <c r="F35" s="724">
        <v>628.86</v>
      </c>
      <c r="G35" s="724">
        <v>649.54999999999995</v>
      </c>
      <c r="H35" s="724">
        <v>674.21</v>
      </c>
      <c r="I35" s="724">
        <v>694.94</v>
      </c>
      <c r="J35" s="724">
        <v>722.71</v>
      </c>
      <c r="K35" s="724">
        <v>759.93</v>
      </c>
      <c r="L35" s="724">
        <v>809.01</v>
      </c>
      <c r="M35" s="724">
        <v>866.88</v>
      </c>
    </row>
    <row r="36" spans="1:13" s="118" customFormat="1" ht="17.100000000000001" customHeight="1">
      <c r="A36" s="704">
        <v>62</v>
      </c>
      <c r="B36" s="710" t="s">
        <v>684</v>
      </c>
      <c r="C36" s="724">
        <v>796.12</v>
      </c>
      <c r="D36" s="724">
        <v>775.83</v>
      </c>
      <c r="E36" s="724">
        <v>876.13</v>
      </c>
      <c r="F36" s="724">
        <v>947.23</v>
      </c>
      <c r="G36" s="724">
        <v>873.96</v>
      </c>
      <c r="H36" s="724">
        <v>970.43</v>
      </c>
      <c r="I36" s="724">
        <v>1153.47</v>
      </c>
      <c r="J36" s="724">
        <v>953.26</v>
      </c>
      <c r="K36" s="724">
        <v>1061.8</v>
      </c>
      <c r="L36" s="724">
        <v>1078.6500000000001</v>
      </c>
      <c r="M36" s="724">
        <v>1123.98</v>
      </c>
    </row>
    <row r="37" spans="1:13" s="118" customFormat="1" ht="12.75" customHeight="1">
      <c r="A37" s="700">
        <v>7</v>
      </c>
      <c r="B37" s="712" t="s">
        <v>685</v>
      </c>
      <c r="C37" s="723">
        <v>689.31</v>
      </c>
      <c r="D37" s="723">
        <v>693.11</v>
      </c>
      <c r="E37" s="723">
        <v>699.07</v>
      </c>
      <c r="F37" s="723">
        <v>710.79</v>
      </c>
      <c r="G37" s="723">
        <v>729.98</v>
      </c>
      <c r="H37" s="723">
        <v>756.88</v>
      </c>
      <c r="I37" s="723">
        <v>782.92</v>
      </c>
      <c r="J37" s="723">
        <v>806.16</v>
      </c>
      <c r="K37" s="723">
        <v>840.13</v>
      </c>
      <c r="L37" s="723">
        <v>887.58</v>
      </c>
      <c r="M37" s="723">
        <v>951.56</v>
      </c>
    </row>
    <row r="38" spans="1:13" s="118" customFormat="1" ht="12.75" customHeight="1">
      <c r="A38" s="704">
        <v>71</v>
      </c>
      <c r="B38" s="710" t="s">
        <v>686</v>
      </c>
      <c r="C38" s="724">
        <v>647.29</v>
      </c>
      <c r="D38" s="724">
        <v>652.82000000000005</v>
      </c>
      <c r="E38" s="724">
        <v>656.41</v>
      </c>
      <c r="F38" s="724">
        <v>663.17</v>
      </c>
      <c r="G38" s="724">
        <v>675.51</v>
      </c>
      <c r="H38" s="724">
        <v>700.58</v>
      </c>
      <c r="I38" s="724">
        <v>726.31</v>
      </c>
      <c r="J38" s="724">
        <v>754.26</v>
      </c>
      <c r="K38" s="724">
        <v>798.66</v>
      </c>
      <c r="L38" s="724">
        <v>834.55</v>
      </c>
      <c r="M38" s="724">
        <v>897.13</v>
      </c>
    </row>
    <row r="39" spans="1:13" s="118" customFormat="1" ht="12.75" customHeight="1">
      <c r="A39" s="704">
        <v>72</v>
      </c>
      <c r="B39" s="710" t="s">
        <v>687</v>
      </c>
      <c r="C39" s="724">
        <v>775.36</v>
      </c>
      <c r="D39" s="724">
        <v>781.04</v>
      </c>
      <c r="E39" s="724">
        <v>788</v>
      </c>
      <c r="F39" s="724">
        <v>798.59</v>
      </c>
      <c r="G39" s="724">
        <v>820.57</v>
      </c>
      <c r="H39" s="724">
        <v>849.72</v>
      </c>
      <c r="I39" s="724">
        <v>878.47</v>
      </c>
      <c r="J39" s="724">
        <v>890.18</v>
      </c>
      <c r="K39" s="724">
        <v>918.35</v>
      </c>
      <c r="L39" s="724">
        <v>977.71</v>
      </c>
      <c r="M39" s="724">
        <v>1043.24</v>
      </c>
    </row>
    <row r="40" spans="1:13" s="118" customFormat="1" ht="23.25" customHeight="1">
      <c r="A40" s="704">
        <v>73</v>
      </c>
      <c r="B40" s="710" t="s">
        <v>688</v>
      </c>
      <c r="C40" s="724">
        <v>679.34</v>
      </c>
      <c r="D40" s="724">
        <v>676.51</v>
      </c>
      <c r="E40" s="724">
        <v>684.73</v>
      </c>
      <c r="F40" s="724">
        <v>695.15</v>
      </c>
      <c r="G40" s="724">
        <v>714.83</v>
      </c>
      <c r="H40" s="724">
        <v>735.72</v>
      </c>
      <c r="I40" s="724">
        <v>749.14</v>
      </c>
      <c r="J40" s="724">
        <v>770.25</v>
      </c>
      <c r="K40" s="724">
        <v>808.29</v>
      </c>
      <c r="L40" s="724">
        <v>843.56</v>
      </c>
      <c r="M40" s="724">
        <v>903.76</v>
      </c>
    </row>
    <row r="41" spans="1:13" s="249" customFormat="1" ht="12.75" customHeight="1">
      <c r="A41" s="704">
        <v>74</v>
      </c>
      <c r="B41" s="710" t="s">
        <v>689</v>
      </c>
      <c r="C41" s="724">
        <v>845.79</v>
      </c>
      <c r="D41" s="724">
        <v>828.15</v>
      </c>
      <c r="E41" s="724">
        <v>836.28</v>
      </c>
      <c r="F41" s="724">
        <v>849.1</v>
      </c>
      <c r="G41" s="724">
        <v>861.32</v>
      </c>
      <c r="H41" s="724">
        <v>882.71</v>
      </c>
      <c r="I41" s="724">
        <v>906.35</v>
      </c>
      <c r="J41" s="724">
        <v>927.56</v>
      </c>
      <c r="K41" s="724">
        <v>956.88</v>
      </c>
      <c r="L41" s="724">
        <v>1001.7</v>
      </c>
      <c r="M41" s="724">
        <v>1059.19</v>
      </c>
    </row>
    <row r="42" spans="1:13" s="249" customFormat="1" ht="19.5" customHeight="1">
      <c r="A42" s="704">
        <v>75</v>
      </c>
      <c r="B42" s="710" t="s">
        <v>690</v>
      </c>
      <c r="C42" s="724">
        <v>594.04</v>
      </c>
      <c r="D42" s="724">
        <v>602.30999999999995</v>
      </c>
      <c r="E42" s="724">
        <v>608.39</v>
      </c>
      <c r="F42" s="724">
        <v>625.51</v>
      </c>
      <c r="G42" s="724">
        <v>650.41</v>
      </c>
      <c r="H42" s="724">
        <v>675.36</v>
      </c>
      <c r="I42" s="724">
        <v>701.57</v>
      </c>
      <c r="J42" s="724">
        <v>733.56</v>
      </c>
      <c r="K42" s="724">
        <v>764.99</v>
      </c>
      <c r="L42" s="724">
        <v>813.35</v>
      </c>
      <c r="M42" s="724">
        <v>875.71</v>
      </c>
    </row>
    <row r="43" spans="1:13" s="249" customFormat="1" ht="12.75" customHeight="1">
      <c r="A43" s="700">
        <v>8</v>
      </c>
      <c r="B43" s="712" t="s">
        <v>691</v>
      </c>
      <c r="C43" s="723">
        <v>647.15</v>
      </c>
      <c r="D43" s="723">
        <v>652.71</v>
      </c>
      <c r="E43" s="723">
        <v>659.28</v>
      </c>
      <c r="F43" s="723">
        <v>670.89</v>
      </c>
      <c r="G43" s="723">
        <v>689.84</v>
      </c>
      <c r="H43" s="723">
        <v>719.5</v>
      </c>
      <c r="I43" s="723">
        <v>749.68</v>
      </c>
      <c r="J43" s="723">
        <v>787.59</v>
      </c>
      <c r="K43" s="723">
        <v>816.4</v>
      </c>
      <c r="L43" s="723">
        <v>866.48</v>
      </c>
      <c r="M43" s="723">
        <v>925.47</v>
      </c>
    </row>
    <row r="44" spans="1:13" s="249" customFormat="1" ht="12.75" customHeight="1">
      <c r="A44" s="704">
        <v>81</v>
      </c>
      <c r="B44" s="710" t="s">
        <v>692</v>
      </c>
      <c r="C44" s="724">
        <v>610.61</v>
      </c>
      <c r="D44" s="724">
        <v>620.71</v>
      </c>
      <c r="E44" s="724">
        <v>628.19000000000005</v>
      </c>
      <c r="F44" s="724">
        <v>643.92999999999995</v>
      </c>
      <c r="G44" s="724">
        <v>668.34</v>
      </c>
      <c r="H44" s="724">
        <v>695.91</v>
      </c>
      <c r="I44" s="724">
        <v>722.75</v>
      </c>
      <c r="J44" s="724">
        <v>755.19</v>
      </c>
      <c r="K44" s="724">
        <v>788.13</v>
      </c>
      <c r="L44" s="724">
        <v>832.68</v>
      </c>
      <c r="M44" s="724">
        <v>895.86</v>
      </c>
    </row>
    <row r="45" spans="1:13" s="249" customFormat="1" ht="12.75" customHeight="1">
      <c r="A45" s="704">
        <v>82</v>
      </c>
      <c r="B45" s="710" t="s">
        <v>693</v>
      </c>
      <c r="C45" s="724">
        <v>728.91</v>
      </c>
      <c r="D45" s="724">
        <v>738.67</v>
      </c>
      <c r="E45" s="724">
        <v>744.41</v>
      </c>
      <c r="F45" s="724">
        <v>744.42</v>
      </c>
      <c r="G45" s="724">
        <v>758.49</v>
      </c>
      <c r="H45" s="724">
        <v>778.21</v>
      </c>
      <c r="I45" s="724">
        <v>810.97</v>
      </c>
      <c r="J45" s="724">
        <v>843.84</v>
      </c>
      <c r="K45" s="724">
        <v>845.1</v>
      </c>
      <c r="L45" s="724">
        <v>924.38</v>
      </c>
      <c r="M45" s="724">
        <v>916.34</v>
      </c>
    </row>
    <row r="46" spans="1:13" s="249" customFormat="1" ht="12.75" customHeight="1">
      <c r="A46" s="704">
        <v>83</v>
      </c>
      <c r="B46" s="710" t="s">
        <v>694</v>
      </c>
      <c r="C46" s="724">
        <v>672.69</v>
      </c>
      <c r="D46" s="724">
        <v>672.11</v>
      </c>
      <c r="E46" s="724">
        <v>676.88</v>
      </c>
      <c r="F46" s="724">
        <v>685.47</v>
      </c>
      <c r="G46" s="724">
        <v>696.64</v>
      </c>
      <c r="H46" s="724">
        <v>730.04</v>
      </c>
      <c r="I46" s="724">
        <v>761.01</v>
      </c>
      <c r="J46" s="724">
        <v>805.1</v>
      </c>
      <c r="K46" s="724">
        <v>837.88</v>
      </c>
      <c r="L46" s="724">
        <v>885.69</v>
      </c>
      <c r="M46" s="724">
        <v>956.53</v>
      </c>
    </row>
    <row r="47" spans="1:13" s="249" customFormat="1" ht="12.75" customHeight="1">
      <c r="A47" s="700">
        <v>9</v>
      </c>
      <c r="B47" s="712" t="s">
        <v>695</v>
      </c>
      <c r="C47" s="723">
        <v>563.61</v>
      </c>
      <c r="D47" s="723">
        <v>575.77</v>
      </c>
      <c r="E47" s="723">
        <v>583.21</v>
      </c>
      <c r="F47" s="723">
        <v>602.21</v>
      </c>
      <c r="G47" s="723">
        <v>628.91999999999996</v>
      </c>
      <c r="H47" s="723">
        <v>660.17</v>
      </c>
      <c r="I47" s="723">
        <v>687.66</v>
      </c>
      <c r="J47" s="723">
        <v>719.43</v>
      </c>
      <c r="K47" s="723">
        <v>758.99</v>
      </c>
      <c r="L47" s="723">
        <v>801.61</v>
      </c>
      <c r="M47" s="723">
        <v>853.75</v>
      </c>
    </row>
    <row r="48" spans="1:13" s="249" customFormat="1" ht="12.75" customHeight="1">
      <c r="A48" s="704">
        <v>91</v>
      </c>
      <c r="B48" s="710" t="s">
        <v>696</v>
      </c>
      <c r="C48" s="724">
        <v>526.24</v>
      </c>
      <c r="D48" s="724">
        <v>537.74</v>
      </c>
      <c r="E48" s="724">
        <v>541.77</v>
      </c>
      <c r="F48" s="724">
        <v>561.80999999999995</v>
      </c>
      <c r="G48" s="724">
        <v>585.85</v>
      </c>
      <c r="H48" s="724">
        <v>609.79999999999995</v>
      </c>
      <c r="I48" s="724">
        <v>630</v>
      </c>
      <c r="J48" s="724">
        <v>658.93</v>
      </c>
      <c r="K48" s="724">
        <v>688.35</v>
      </c>
      <c r="L48" s="724">
        <v>731.3</v>
      </c>
      <c r="M48" s="724">
        <v>790.11</v>
      </c>
    </row>
    <row r="49" spans="1:13" s="249" customFormat="1" ht="12.75" customHeight="1">
      <c r="A49" s="704">
        <v>92</v>
      </c>
      <c r="B49" s="710" t="s">
        <v>697</v>
      </c>
      <c r="C49" s="724">
        <v>555.52</v>
      </c>
      <c r="D49" s="724">
        <v>564.91</v>
      </c>
      <c r="E49" s="724">
        <v>568.49</v>
      </c>
      <c r="F49" s="724">
        <v>585.61</v>
      </c>
      <c r="G49" s="724">
        <v>612.47</v>
      </c>
      <c r="H49" s="724">
        <v>640.83000000000004</v>
      </c>
      <c r="I49" s="724">
        <v>664.29</v>
      </c>
      <c r="J49" s="724">
        <v>696.6</v>
      </c>
      <c r="K49" s="724">
        <v>728.6</v>
      </c>
      <c r="L49" s="724">
        <v>767.29</v>
      </c>
      <c r="M49" s="724">
        <v>817.91</v>
      </c>
    </row>
    <row r="50" spans="1:13" s="249" customFormat="1" ht="12.75" customHeight="1">
      <c r="A50" s="704">
        <v>93</v>
      </c>
      <c r="B50" s="710" t="s">
        <v>698</v>
      </c>
      <c r="C50" s="724">
        <v>581.26</v>
      </c>
      <c r="D50" s="724">
        <v>590.26</v>
      </c>
      <c r="E50" s="724">
        <v>590.25</v>
      </c>
      <c r="F50" s="724">
        <v>607.39</v>
      </c>
      <c r="G50" s="724">
        <v>631.03</v>
      </c>
      <c r="H50" s="724">
        <v>655.97</v>
      </c>
      <c r="I50" s="724">
        <v>680.94</v>
      </c>
      <c r="J50" s="724">
        <v>707.26</v>
      </c>
      <c r="K50" s="724">
        <v>745.34</v>
      </c>
      <c r="L50" s="724">
        <v>781.63</v>
      </c>
      <c r="M50" s="724">
        <v>836.37</v>
      </c>
    </row>
    <row r="51" spans="1:13" s="249" customFormat="1" ht="12.75" customHeight="1">
      <c r="A51" s="704">
        <v>94</v>
      </c>
      <c r="B51" s="710" t="s">
        <v>699</v>
      </c>
      <c r="C51" s="724">
        <v>532.04</v>
      </c>
      <c r="D51" s="724">
        <v>542.97</v>
      </c>
      <c r="E51" s="724">
        <v>547.24</v>
      </c>
      <c r="F51" s="724">
        <v>565.51</v>
      </c>
      <c r="G51" s="724">
        <v>592.15</v>
      </c>
      <c r="H51" s="724">
        <v>617.46</v>
      </c>
      <c r="I51" s="724">
        <v>639.78</v>
      </c>
      <c r="J51" s="724">
        <v>666.92</v>
      </c>
      <c r="K51" s="724">
        <v>698.91</v>
      </c>
      <c r="L51" s="724">
        <v>742.38</v>
      </c>
      <c r="M51" s="724">
        <v>796.33</v>
      </c>
    </row>
    <row r="52" spans="1:13" s="249" customFormat="1" ht="12.75" customHeight="1">
      <c r="A52" s="704">
        <v>95</v>
      </c>
      <c r="B52" s="710" t="s">
        <v>700</v>
      </c>
      <c r="C52" s="724">
        <v>717.24</v>
      </c>
      <c r="D52" s="724">
        <v>724.69</v>
      </c>
      <c r="E52" s="724">
        <v>745.19</v>
      </c>
      <c r="F52" s="724">
        <v>765.54</v>
      </c>
      <c r="G52" s="724">
        <v>795.46</v>
      </c>
      <c r="H52" s="724">
        <v>807.21</v>
      </c>
      <c r="I52" s="724">
        <v>839.13</v>
      </c>
      <c r="J52" s="724">
        <v>884.84</v>
      </c>
      <c r="K52" s="724">
        <v>917.85</v>
      </c>
      <c r="L52" s="724">
        <v>1002.92</v>
      </c>
      <c r="M52" s="724">
        <v>1043.8499999999999</v>
      </c>
    </row>
    <row r="53" spans="1:13" s="249" customFormat="1" ht="12.75" customHeight="1">
      <c r="A53" s="704">
        <v>96</v>
      </c>
      <c r="B53" s="710" t="s">
        <v>701</v>
      </c>
      <c r="C53" s="724">
        <v>604.41</v>
      </c>
      <c r="D53" s="724">
        <v>622.26</v>
      </c>
      <c r="E53" s="724">
        <v>638.65</v>
      </c>
      <c r="F53" s="724">
        <v>656.98</v>
      </c>
      <c r="G53" s="724">
        <v>685.45</v>
      </c>
      <c r="H53" s="724">
        <v>729.29</v>
      </c>
      <c r="I53" s="724">
        <v>769.33</v>
      </c>
      <c r="J53" s="724">
        <v>802.42</v>
      </c>
      <c r="K53" s="724">
        <v>853.73</v>
      </c>
      <c r="L53" s="724">
        <v>909.3</v>
      </c>
      <c r="M53" s="724">
        <v>962.03</v>
      </c>
    </row>
    <row r="54" spans="1:13" s="249" customFormat="1" ht="12.75" customHeight="1">
      <c r="A54" s="711" t="s">
        <v>702</v>
      </c>
      <c r="B54" s="712"/>
      <c r="C54" s="723">
        <v>1729.92</v>
      </c>
      <c r="D54" s="723">
        <v>1665.15</v>
      </c>
      <c r="E54" s="723">
        <v>1962.04</v>
      </c>
      <c r="F54" s="723">
        <v>1816.54</v>
      </c>
      <c r="G54" s="723">
        <v>1986.74</v>
      </c>
      <c r="H54" s="723">
        <v>1694.97</v>
      </c>
      <c r="I54" s="723">
        <v>1909.38</v>
      </c>
      <c r="J54" s="723">
        <v>2041.63</v>
      </c>
      <c r="K54" s="723">
        <v>2131.42</v>
      </c>
      <c r="L54" s="723">
        <v>2254.4699999999998</v>
      </c>
      <c r="M54" s="723">
        <v>2853.07</v>
      </c>
    </row>
    <row r="55" spans="1:13" s="249" customFormat="1" ht="12.75" customHeight="1">
      <c r="A55" s="713"/>
      <c r="B55" s="726" t="s">
        <v>703</v>
      </c>
      <c r="C55" s="727">
        <v>1729.92</v>
      </c>
      <c r="D55" s="727">
        <v>1665.15</v>
      </c>
      <c r="E55" s="727">
        <v>1962.04</v>
      </c>
      <c r="F55" s="727">
        <v>1816.54</v>
      </c>
      <c r="G55" s="727">
        <v>1986.74</v>
      </c>
      <c r="H55" s="727">
        <v>1694.97</v>
      </c>
      <c r="I55" s="727">
        <v>1909.38</v>
      </c>
      <c r="J55" s="727">
        <v>2041.63</v>
      </c>
      <c r="K55" s="727">
        <v>2131.42</v>
      </c>
      <c r="L55" s="727">
        <v>2254.4699999999998</v>
      </c>
      <c r="M55" s="727">
        <v>2853.07</v>
      </c>
    </row>
    <row r="56" spans="1:13" s="249" customFormat="1" ht="15" customHeight="1">
      <c r="A56" s="716" t="s">
        <v>138</v>
      </c>
      <c r="B56" s="717"/>
      <c r="C56" s="97"/>
      <c r="D56" s="97"/>
      <c r="E56" s="98"/>
      <c r="F56" s="98"/>
      <c r="G56" s="98"/>
      <c r="H56" s="98"/>
      <c r="I56" s="98"/>
      <c r="J56" s="98"/>
      <c r="K56" s="98"/>
      <c r="L56" s="98"/>
      <c r="M56" s="98"/>
    </row>
    <row r="57" spans="1:13" ht="10.5" customHeight="1">
      <c r="B57" s="806" t="s">
        <v>4</v>
      </c>
      <c r="C57" s="806"/>
      <c r="D57" s="806"/>
      <c r="E57" s="806"/>
      <c r="F57" s="806"/>
      <c r="G57" s="806"/>
      <c r="H57" s="806"/>
      <c r="I57" s="806"/>
      <c r="J57" s="806"/>
      <c r="K57" s="806"/>
      <c r="L57" s="806"/>
      <c r="M57" s="806"/>
    </row>
    <row r="58" spans="1:13" ht="15" customHeight="1">
      <c r="B58" s="212"/>
    </row>
  </sheetData>
  <mergeCells count="2">
    <mergeCell ref="A1:M1"/>
    <mergeCell ref="B57:M57"/>
  </mergeCells>
  <conditionalFormatting sqref="A1 A57:B57 E56 A2:C3 B56 B4:C4 A58:C1048576 C7:G53 C55:G55 A5:L6 C54:L54 N1:XFD1048576">
    <cfRule type="cellIs" dxfId="425" priority="36" operator="equal">
      <formula>0</formula>
    </cfRule>
  </conditionalFormatting>
  <conditionalFormatting sqref="C56">
    <cfRule type="cellIs" dxfId="424" priority="35" operator="equal">
      <formula>0</formula>
    </cfRule>
  </conditionalFormatting>
  <conditionalFormatting sqref="A56">
    <cfRule type="cellIs" dxfId="423" priority="34" operator="equal">
      <formula>0</formula>
    </cfRule>
  </conditionalFormatting>
  <conditionalFormatting sqref="E2:E4 E58:E1048576 F4:G4">
    <cfRule type="cellIs" dxfId="422" priority="33" operator="equal">
      <formula>0</formula>
    </cfRule>
  </conditionalFormatting>
  <conditionalFormatting sqref="D2:D4 D58:D1048576">
    <cfRule type="cellIs" dxfId="421" priority="32" operator="equal">
      <formula>0</formula>
    </cfRule>
  </conditionalFormatting>
  <conditionalFormatting sqref="D56">
    <cfRule type="cellIs" dxfId="420" priority="31" operator="equal">
      <formula>0</formula>
    </cfRule>
  </conditionalFormatting>
  <conditionalFormatting sqref="G56">
    <cfRule type="cellIs" dxfId="419" priority="30" operator="equal">
      <formula>0</formula>
    </cfRule>
  </conditionalFormatting>
  <conditionalFormatting sqref="G2:G3 G58:G1048576">
    <cfRule type="cellIs" dxfId="418" priority="29" operator="equal">
      <formula>0</formula>
    </cfRule>
  </conditionalFormatting>
  <conditionalFormatting sqref="F56">
    <cfRule type="cellIs" dxfId="417" priority="28" operator="equal">
      <formula>0</formula>
    </cfRule>
  </conditionalFormatting>
  <conditionalFormatting sqref="F2:F3 F58:F1048576">
    <cfRule type="cellIs" dxfId="416" priority="27" operator="equal">
      <formula>0</formula>
    </cfRule>
  </conditionalFormatting>
  <conditionalFormatting sqref="H4">
    <cfRule type="cellIs" dxfId="415" priority="26" operator="equal">
      <formula>0</formula>
    </cfRule>
  </conditionalFormatting>
  <conditionalFormatting sqref="H7:H53 H55">
    <cfRule type="cellIs" dxfId="414" priority="25" operator="equal">
      <formula>0</formula>
    </cfRule>
  </conditionalFormatting>
  <conditionalFormatting sqref="H56">
    <cfRule type="cellIs" dxfId="413" priority="24" operator="equal">
      <formula>0</formula>
    </cfRule>
  </conditionalFormatting>
  <conditionalFormatting sqref="H2:H3 H58:H1048576">
    <cfRule type="cellIs" dxfId="412" priority="23" operator="equal">
      <formula>0</formula>
    </cfRule>
  </conditionalFormatting>
  <conditionalFormatting sqref="I4">
    <cfRule type="cellIs" dxfId="411" priority="22" operator="equal">
      <formula>0</formula>
    </cfRule>
  </conditionalFormatting>
  <conditionalFormatting sqref="I7:I53 I55">
    <cfRule type="cellIs" dxfId="410" priority="21" operator="equal">
      <formula>0</formula>
    </cfRule>
  </conditionalFormatting>
  <conditionalFormatting sqref="I56">
    <cfRule type="cellIs" dxfId="409" priority="20" operator="equal">
      <formula>0</formula>
    </cfRule>
  </conditionalFormatting>
  <conditionalFormatting sqref="I2:I3 I58:I1048576">
    <cfRule type="cellIs" dxfId="408" priority="19" operator="equal">
      <formula>0</formula>
    </cfRule>
  </conditionalFormatting>
  <conditionalFormatting sqref="K4">
    <cfRule type="cellIs" dxfId="407" priority="14" operator="equal">
      <formula>0</formula>
    </cfRule>
  </conditionalFormatting>
  <conditionalFormatting sqref="J4">
    <cfRule type="cellIs" dxfId="406" priority="18" operator="equal">
      <formula>0</formula>
    </cfRule>
  </conditionalFormatting>
  <conditionalFormatting sqref="J7:J53 J55">
    <cfRule type="cellIs" dxfId="405" priority="17" operator="equal">
      <formula>0</formula>
    </cfRule>
  </conditionalFormatting>
  <conditionalFormatting sqref="J56">
    <cfRule type="cellIs" dxfId="404" priority="16" operator="equal">
      <formula>0</formula>
    </cfRule>
  </conditionalFormatting>
  <conditionalFormatting sqref="J2:J3 J58:J1048576">
    <cfRule type="cellIs" dxfId="403" priority="15" operator="equal">
      <formula>0</formula>
    </cfRule>
  </conditionalFormatting>
  <conditionalFormatting sqref="K7:K53 K55">
    <cfRule type="cellIs" dxfId="402" priority="13" operator="equal">
      <formula>0</formula>
    </cfRule>
  </conditionalFormatting>
  <conditionalFormatting sqref="K56">
    <cfRule type="cellIs" dxfId="401" priority="12" operator="equal">
      <formula>0</formula>
    </cfRule>
  </conditionalFormatting>
  <conditionalFormatting sqref="K2:K3 K58:K1048576">
    <cfRule type="cellIs" dxfId="400" priority="11" operator="equal">
      <formula>0</formula>
    </cfRule>
  </conditionalFormatting>
  <conditionalFormatting sqref="L4">
    <cfRule type="cellIs" dxfId="399" priority="10" operator="equal">
      <formula>0</formula>
    </cfRule>
  </conditionalFormatting>
  <conditionalFormatting sqref="L7:L53 L55">
    <cfRule type="cellIs" dxfId="398" priority="9" operator="equal">
      <formula>0</formula>
    </cfRule>
  </conditionalFormatting>
  <conditionalFormatting sqref="L56">
    <cfRule type="cellIs" dxfId="397" priority="8" operator="equal">
      <formula>0</formula>
    </cfRule>
  </conditionalFormatting>
  <conditionalFormatting sqref="L2:L3 L58:L1048576">
    <cfRule type="cellIs" dxfId="396" priority="7" operator="equal">
      <formula>0</formula>
    </cfRule>
  </conditionalFormatting>
  <conditionalFormatting sqref="A4">
    <cfRule type="cellIs" dxfId="395" priority="6" operator="equal">
      <formula>0</formula>
    </cfRule>
  </conditionalFormatting>
  <conditionalFormatting sqref="M5:M6 M54">
    <cfRule type="cellIs" dxfId="394" priority="5" operator="equal">
      <formula>0</formula>
    </cfRule>
  </conditionalFormatting>
  <conditionalFormatting sqref="M4">
    <cfRule type="cellIs" dxfId="393" priority="4" operator="equal">
      <formula>0</formula>
    </cfRule>
  </conditionalFormatting>
  <conditionalFormatting sqref="M7:M53 M55">
    <cfRule type="cellIs" dxfId="392" priority="3" operator="equal">
      <formula>0</formula>
    </cfRule>
  </conditionalFormatting>
  <conditionalFormatting sqref="M56">
    <cfRule type="cellIs" dxfId="391" priority="2" operator="equal">
      <formula>0</formula>
    </cfRule>
  </conditionalFormatting>
  <conditionalFormatting sqref="M2:M3 M58:M1048576">
    <cfRule type="cellIs" dxfId="39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79" orientation="portrait" r:id="rId1"/>
  <headerFooter>
    <oddHeader>&amp;C&amp;G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920CC-967E-49DB-A5F2-B5A57DF0EAC6}">
  <sheetPr>
    <tabColor rgb="FFE1EAEF"/>
    <pageSetUpPr fitToPage="1"/>
  </sheetPr>
  <dimension ref="A1:M58"/>
  <sheetViews>
    <sheetView showGridLines="0" workbookViewId="0">
      <selection sqref="A1:M2"/>
    </sheetView>
  </sheetViews>
  <sheetFormatPr defaultColWidth="9.140625" defaultRowHeight="11.25"/>
  <cols>
    <col min="1" max="1" width="3" style="718" customWidth="1"/>
    <col min="2" max="2" width="45.28515625" style="719" customWidth="1"/>
    <col min="3" max="13" width="6.28515625" style="696" customWidth="1"/>
    <col min="14" max="16384" width="9.140625" style="696"/>
  </cols>
  <sheetData>
    <row r="1" spans="1:13" s="693" customFormat="1" ht="28.5" customHeight="1">
      <c r="A1" s="797" t="s">
        <v>724</v>
      </c>
      <c r="B1" s="797"/>
      <c r="C1" s="797"/>
      <c r="D1" s="797"/>
      <c r="E1" s="797"/>
      <c r="F1" s="797"/>
      <c r="G1" s="797"/>
      <c r="H1" s="797"/>
      <c r="I1" s="797"/>
      <c r="J1" s="797"/>
      <c r="K1" s="797"/>
      <c r="L1" s="797"/>
      <c r="M1" s="797"/>
    </row>
    <row r="2" spans="1:13" ht="15" customHeight="1">
      <c r="A2" s="695"/>
      <c r="B2" s="695"/>
      <c r="C2" s="695"/>
      <c r="D2" s="695"/>
      <c r="E2" s="695"/>
      <c r="F2" s="695"/>
      <c r="G2" s="695"/>
      <c r="H2" s="695"/>
      <c r="I2" s="695"/>
      <c r="J2" s="695"/>
      <c r="K2" s="695"/>
      <c r="L2" s="695"/>
      <c r="M2" s="695"/>
    </row>
    <row r="3" spans="1:13" s="118" customFormat="1" ht="15" customHeight="1">
      <c r="A3" s="30" t="s">
        <v>42</v>
      </c>
      <c r="B3" s="698"/>
      <c r="C3" s="31"/>
      <c r="D3" s="31"/>
      <c r="E3" s="31"/>
      <c r="F3" s="31"/>
      <c r="G3" s="31"/>
      <c r="H3" s="31"/>
      <c r="I3" s="31"/>
      <c r="J3" s="31"/>
      <c r="K3" s="31"/>
      <c r="L3" s="31"/>
      <c r="M3" s="31" t="s">
        <v>68</v>
      </c>
    </row>
    <row r="4" spans="1:13" s="118" customFormat="1" ht="28.5" customHeight="1" thickBot="1">
      <c r="A4" s="107" t="s">
        <v>653</v>
      </c>
      <c r="B4" s="699"/>
      <c r="C4" s="204">
        <v>2013</v>
      </c>
      <c r="D4" s="204">
        <v>2014</v>
      </c>
      <c r="E4" s="204">
        <v>2015</v>
      </c>
      <c r="F4" s="204">
        <v>2016</v>
      </c>
      <c r="G4" s="204">
        <v>2017</v>
      </c>
      <c r="H4" s="204">
        <v>2018</v>
      </c>
      <c r="I4" s="204">
        <v>2019</v>
      </c>
      <c r="J4" s="204">
        <v>2020</v>
      </c>
      <c r="K4" s="204">
        <v>2021</v>
      </c>
      <c r="L4" s="204">
        <v>2022</v>
      </c>
      <c r="M4" s="204">
        <v>2023</v>
      </c>
    </row>
    <row r="5" spans="1:13" s="118" customFormat="1" ht="28.5" customHeight="1" thickTop="1">
      <c r="A5" s="443"/>
      <c r="B5" s="721" t="s">
        <v>12</v>
      </c>
      <c r="C5" s="728">
        <v>5.19</v>
      </c>
      <c r="D5" s="728">
        <v>5.16</v>
      </c>
      <c r="E5" s="728">
        <v>5.18</v>
      </c>
      <c r="F5" s="728">
        <v>5.24</v>
      </c>
      <c r="G5" s="728">
        <v>5.34</v>
      </c>
      <c r="H5" s="728">
        <v>5.49</v>
      </c>
      <c r="I5" s="728">
        <v>5.68</v>
      </c>
      <c r="J5" s="728">
        <v>5.92</v>
      </c>
      <c r="K5" s="728">
        <v>6.13</v>
      </c>
      <c r="L5" s="728">
        <v>6.45</v>
      </c>
      <c r="M5" s="728">
        <v>6.88</v>
      </c>
    </row>
    <row r="6" spans="1:13" s="118" customFormat="1" ht="24" customHeight="1">
      <c r="A6" s="700">
        <v>1</v>
      </c>
      <c r="B6" s="703" t="s">
        <v>654</v>
      </c>
      <c r="C6" s="729">
        <v>12.12</v>
      </c>
      <c r="D6" s="729">
        <v>12.03</v>
      </c>
      <c r="E6" s="729">
        <v>12.14</v>
      </c>
      <c r="F6" s="729">
        <v>12.33</v>
      </c>
      <c r="G6" s="729">
        <v>12.52</v>
      </c>
      <c r="H6" s="729">
        <v>12.82</v>
      </c>
      <c r="I6" s="729">
        <v>13.15</v>
      </c>
      <c r="J6" s="729">
        <v>13.57</v>
      </c>
      <c r="K6" s="729">
        <v>14</v>
      </c>
      <c r="L6" s="729">
        <v>14.63</v>
      </c>
      <c r="M6" s="729">
        <v>15.43</v>
      </c>
    </row>
    <row r="7" spans="1:13" s="118" customFormat="1" ht="21" customHeight="1">
      <c r="A7" s="730">
        <v>11</v>
      </c>
      <c r="B7" s="710" t="s">
        <v>655</v>
      </c>
      <c r="C7" s="731">
        <v>16.57</v>
      </c>
      <c r="D7" s="731">
        <v>16.36</v>
      </c>
      <c r="E7" s="731">
        <v>16.350000000000001</v>
      </c>
      <c r="F7" s="731">
        <v>16.309999999999999</v>
      </c>
      <c r="G7" s="731">
        <v>17.170000000000002</v>
      </c>
      <c r="H7" s="731">
        <v>17.420000000000002</v>
      </c>
      <c r="I7" s="731">
        <v>18.03</v>
      </c>
      <c r="J7" s="731">
        <v>18.48</v>
      </c>
      <c r="K7" s="731">
        <v>18.71</v>
      </c>
      <c r="L7" s="731">
        <v>19.239999999999998</v>
      </c>
      <c r="M7" s="731">
        <v>20.43</v>
      </c>
    </row>
    <row r="8" spans="1:13" s="118" customFormat="1" ht="12.75" customHeight="1">
      <c r="A8" s="730">
        <v>12</v>
      </c>
      <c r="B8" s="710" t="s">
        <v>656</v>
      </c>
      <c r="C8" s="731">
        <v>14.2</v>
      </c>
      <c r="D8" s="731">
        <v>13.98</v>
      </c>
      <c r="E8" s="731">
        <v>14.06</v>
      </c>
      <c r="F8" s="731">
        <v>14.16</v>
      </c>
      <c r="G8" s="731">
        <v>14.22</v>
      </c>
      <c r="H8" s="731">
        <v>14.67</v>
      </c>
      <c r="I8" s="731">
        <v>14.75</v>
      </c>
      <c r="J8" s="731">
        <v>15.12</v>
      </c>
      <c r="K8" s="731">
        <v>15.54</v>
      </c>
      <c r="L8" s="731">
        <v>16.45</v>
      </c>
      <c r="M8" s="731">
        <v>17.22</v>
      </c>
    </row>
    <row r="9" spans="1:13" s="118" customFormat="1" ht="12.75" customHeight="1">
      <c r="A9" s="730">
        <v>13</v>
      </c>
      <c r="B9" s="710" t="s">
        <v>657</v>
      </c>
      <c r="C9" s="731">
        <v>12.04</v>
      </c>
      <c r="D9" s="731">
        <v>11.99</v>
      </c>
      <c r="E9" s="731">
        <v>12.16</v>
      </c>
      <c r="F9" s="731">
        <v>12.22</v>
      </c>
      <c r="G9" s="731">
        <v>12.42</v>
      </c>
      <c r="H9" s="731">
        <v>12.76</v>
      </c>
      <c r="I9" s="731">
        <v>13.04</v>
      </c>
      <c r="J9" s="731">
        <v>13.45</v>
      </c>
      <c r="K9" s="731">
        <v>13.82</v>
      </c>
      <c r="L9" s="731">
        <v>14.57</v>
      </c>
      <c r="M9" s="731">
        <v>15.45</v>
      </c>
    </row>
    <row r="10" spans="1:13" s="118" customFormat="1" ht="16.5" customHeight="1">
      <c r="A10" s="730">
        <v>14</v>
      </c>
      <c r="B10" s="710" t="s">
        <v>658</v>
      </c>
      <c r="C10" s="731">
        <v>7.6</v>
      </c>
      <c r="D10" s="731">
        <v>7.57</v>
      </c>
      <c r="E10" s="731">
        <v>7.71</v>
      </c>
      <c r="F10" s="731">
        <v>8.1</v>
      </c>
      <c r="G10" s="731">
        <v>7.92</v>
      </c>
      <c r="H10" s="731">
        <v>8.0500000000000007</v>
      </c>
      <c r="I10" s="731">
        <v>8.66</v>
      </c>
      <c r="J10" s="731">
        <v>8.93</v>
      </c>
      <c r="K10" s="731">
        <v>9.41</v>
      </c>
      <c r="L10" s="731">
        <v>9.74</v>
      </c>
      <c r="M10" s="731">
        <v>10.45</v>
      </c>
    </row>
    <row r="11" spans="1:13" s="118" customFormat="1" ht="12.75" customHeight="1">
      <c r="A11" s="732">
        <v>2</v>
      </c>
      <c r="B11" s="725" t="s">
        <v>659</v>
      </c>
      <c r="C11" s="729">
        <v>9.4499999999999993</v>
      </c>
      <c r="D11" s="729">
        <v>9.26</v>
      </c>
      <c r="E11" s="729">
        <v>9.2200000000000006</v>
      </c>
      <c r="F11" s="729">
        <v>9.3000000000000007</v>
      </c>
      <c r="G11" s="729">
        <v>9.34</v>
      </c>
      <c r="H11" s="729">
        <v>9.5</v>
      </c>
      <c r="I11" s="729">
        <v>9.69</v>
      </c>
      <c r="J11" s="729">
        <v>9.9</v>
      </c>
      <c r="K11" s="729">
        <v>10.210000000000001</v>
      </c>
      <c r="L11" s="729">
        <v>10.7</v>
      </c>
      <c r="M11" s="729">
        <v>11.33</v>
      </c>
    </row>
    <row r="12" spans="1:13" s="118" customFormat="1" ht="23.25" customHeight="1">
      <c r="A12" s="733">
        <v>21</v>
      </c>
      <c r="B12" s="710" t="s">
        <v>660</v>
      </c>
      <c r="C12" s="731">
        <v>9.83</v>
      </c>
      <c r="D12" s="731">
        <v>9.5299999999999994</v>
      </c>
      <c r="E12" s="731">
        <v>9.4499999999999993</v>
      </c>
      <c r="F12" s="731">
        <v>9.44</v>
      </c>
      <c r="G12" s="731">
        <v>9.33</v>
      </c>
      <c r="H12" s="731">
        <v>9.5</v>
      </c>
      <c r="I12" s="731">
        <v>9.7899999999999991</v>
      </c>
      <c r="J12" s="731">
        <v>10.029999999999999</v>
      </c>
      <c r="K12" s="731">
        <v>10.29</v>
      </c>
      <c r="L12" s="731">
        <v>10.78</v>
      </c>
      <c r="M12" s="731">
        <v>11.38</v>
      </c>
    </row>
    <row r="13" spans="1:13" s="118" customFormat="1" ht="12.75" customHeight="1">
      <c r="A13" s="733">
        <v>22</v>
      </c>
      <c r="B13" s="710" t="s">
        <v>661</v>
      </c>
      <c r="C13" s="731">
        <v>8.64</v>
      </c>
      <c r="D13" s="731">
        <v>8.5299999999999994</v>
      </c>
      <c r="E13" s="731">
        <v>8.56</v>
      </c>
      <c r="F13" s="731">
        <v>8.7899999999999991</v>
      </c>
      <c r="G13" s="731">
        <v>8.73</v>
      </c>
      <c r="H13" s="731">
        <v>9.06</v>
      </c>
      <c r="I13" s="731">
        <v>9.2200000000000006</v>
      </c>
      <c r="J13" s="731">
        <v>9.27</v>
      </c>
      <c r="K13" s="731">
        <v>9.51</v>
      </c>
      <c r="L13" s="731">
        <v>9.67</v>
      </c>
      <c r="M13" s="731">
        <v>10.18</v>
      </c>
    </row>
    <row r="14" spans="1:13" s="118" customFormat="1" ht="12.75" customHeight="1">
      <c r="A14" s="733">
        <v>23</v>
      </c>
      <c r="B14" s="710" t="s">
        <v>662</v>
      </c>
      <c r="C14" s="731">
        <v>10.1</v>
      </c>
      <c r="D14" s="731">
        <v>9.8699999999999992</v>
      </c>
      <c r="E14" s="731">
        <v>9.86</v>
      </c>
      <c r="F14" s="731">
        <v>9.8699999999999992</v>
      </c>
      <c r="G14" s="731">
        <v>9.92</v>
      </c>
      <c r="H14" s="731">
        <v>9.9700000000000006</v>
      </c>
      <c r="I14" s="731">
        <v>9.99</v>
      </c>
      <c r="J14" s="731">
        <v>10.17</v>
      </c>
      <c r="K14" s="731">
        <v>10.29</v>
      </c>
      <c r="L14" s="731">
        <v>10.61</v>
      </c>
      <c r="M14" s="731">
        <v>11.14</v>
      </c>
    </row>
    <row r="15" spans="1:13" s="118" customFormat="1" ht="20.25" customHeight="1">
      <c r="A15" s="733">
        <v>24</v>
      </c>
      <c r="B15" s="710" t="s">
        <v>663</v>
      </c>
      <c r="C15" s="731">
        <v>9.6999999999999993</v>
      </c>
      <c r="D15" s="731">
        <v>9.5</v>
      </c>
      <c r="E15" s="731">
        <v>9.51</v>
      </c>
      <c r="F15" s="731">
        <v>9.5500000000000007</v>
      </c>
      <c r="G15" s="731">
        <v>9.83</v>
      </c>
      <c r="H15" s="731">
        <v>9.83</v>
      </c>
      <c r="I15" s="731">
        <v>9.89</v>
      </c>
      <c r="J15" s="731">
        <v>9.99</v>
      </c>
      <c r="K15" s="731">
        <v>10.32</v>
      </c>
      <c r="L15" s="731">
        <v>10.6</v>
      </c>
      <c r="M15" s="731">
        <v>11.2</v>
      </c>
    </row>
    <row r="16" spans="1:13" s="118" customFormat="1" ht="16.5" customHeight="1">
      <c r="A16" s="733">
        <v>25</v>
      </c>
      <c r="B16" s="710" t="s">
        <v>664</v>
      </c>
      <c r="C16" s="731">
        <v>9.2200000000000006</v>
      </c>
      <c r="D16" s="731">
        <v>9.1300000000000008</v>
      </c>
      <c r="E16" s="731">
        <v>9.08</v>
      </c>
      <c r="F16" s="731">
        <v>9.26</v>
      </c>
      <c r="G16" s="731">
        <v>9.34</v>
      </c>
      <c r="H16" s="731">
        <v>9.58</v>
      </c>
      <c r="I16" s="731">
        <v>10</v>
      </c>
      <c r="J16" s="731">
        <v>10.46</v>
      </c>
      <c r="K16" s="731">
        <v>11.06</v>
      </c>
      <c r="L16" s="731">
        <v>12.19</v>
      </c>
      <c r="M16" s="731">
        <v>13.09</v>
      </c>
    </row>
    <row r="17" spans="1:13" s="118" customFormat="1" ht="18.600000000000001" customHeight="1">
      <c r="A17" s="733">
        <v>26</v>
      </c>
      <c r="B17" s="710" t="s">
        <v>665</v>
      </c>
      <c r="C17" s="731">
        <v>9</v>
      </c>
      <c r="D17" s="731">
        <v>8.85</v>
      </c>
      <c r="E17" s="731">
        <v>8.74</v>
      </c>
      <c r="F17" s="731">
        <v>8.83</v>
      </c>
      <c r="G17" s="731">
        <v>8.76</v>
      </c>
      <c r="H17" s="731">
        <v>8.81</v>
      </c>
      <c r="I17" s="731">
        <v>8.98</v>
      </c>
      <c r="J17" s="731">
        <v>9.2100000000000009</v>
      </c>
      <c r="K17" s="731">
        <v>9.32</v>
      </c>
      <c r="L17" s="731">
        <v>9.3800000000000008</v>
      </c>
      <c r="M17" s="731">
        <v>9.85</v>
      </c>
    </row>
    <row r="18" spans="1:13" s="118" customFormat="1" ht="12.75" customHeight="1">
      <c r="A18" s="732">
        <v>3</v>
      </c>
      <c r="B18" s="725" t="s">
        <v>666</v>
      </c>
      <c r="C18" s="729">
        <v>7.06</v>
      </c>
      <c r="D18" s="729">
        <v>6.96</v>
      </c>
      <c r="E18" s="729">
        <v>7.07</v>
      </c>
      <c r="F18" s="729">
        <v>7.12</v>
      </c>
      <c r="G18" s="729">
        <v>7.21</v>
      </c>
      <c r="H18" s="729">
        <v>7.34</v>
      </c>
      <c r="I18" s="729">
        <v>7.52</v>
      </c>
      <c r="J18" s="729">
        <v>7.69</v>
      </c>
      <c r="K18" s="729">
        <v>7.78</v>
      </c>
      <c r="L18" s="729">
        <v>8.17</v>
      </c>
      <c r="M18" s="729">
        <v>8.6999999999999993</v>
      </c>
    </row>
    <row r="19" spans="1:13" s="118" customFormat="1" ht="21.75" customHeight="1">
      <c r="A19" s="733">
        <v>31</v>
      </c>
      <c r="B19" s="710" t="s">
        <v>667</v>
      </c>
      <c r="C19" s="731">
        <v>6.8</v>
      </c>
      <c r="D19" s="731">
        <v>6.77</v>
      </c>
      <c r="E19" s="731">
        <v>6.88</v>
      </c>
      <c r="F19" s="731">
        <v>6.92</v>
      </c>
      <c r="G19" s="731">
        <v>7.01</v>
      </c>
      <c r="H19" s="731">
        <v>7.19</v>
      </c>
      <c r="I19" s="731">
        <v>7.43</v>
      </c>
      <c r="J19" s="731">
        <v>7.49</v>
      </c>
      <c r="K19" s="731">
        <v>7.49</v>
      </c>
      <c r="L19" s="731">
        <v>8.09</v>
      </c>
      <c r="M19" s="731">
        <v>8.67</v>
      </c>
    </row>
    <row r="20" spans="1:13" s="118" customFormat="1" ht="12.75" customHeight="1">
      <c r="A20" s="733">
        <v>32</v>
      </c>
      <c r="B20" s="710" t="s">
        <v>668</v>
      </c>
      <c r="C20" s="731">
        <v>5.25</v>
      </c>
      <c r="D20" s="731">
        <v>5.21</v>
      </c>
      <c r="E20" s="731">
        <v>5.17</v>
      </c>
      <c r="F20" s="731">
        <v>5.23</v>
      </c>
      <c r="G20" s="731">
        <v>5.32</v>
      </c>
      <c r="H20" s="731">
        <v>5.39</v>
      </c>
      <c r="I20" s="731">
        <v>5.59</v>
      </c>
      <c r="J20" s="731">
        <v>5.73</v>
      </c>
      <c r="K20" s="731">
        <v>5.84</v>
      </c>
      <c r="L20" s="731">
        <v>6.07</v>
      </c>
      <c r="M20" s="731">
        <v>6.45</v>
      </c>
    </row>
    <row r="21" spans="1:13" s="118" customFormat="1" ht="21.6" customHeight="1">
      <c r="A21" s="733">
        <v>33</v>
      </c>
      <c r="B21" s="710" t="s">
        <v>669</v>
      </c>
      <c r="C21" s="731">
        <v>7.48</v>
      </c>
      <c r="D21" s="731">
        <v>7.43</v>
      </c>
      <c r="E21" s="731">
        <v>7.43</v>
      </c>
      <c r="F21" s="731">
        <v>7.46</v>
      </c>
      <c r="G21" s="731">
        <v>7.47</v>
      </c>
      <c r="H21" s="731">
        <v>7.58</v>
      </c>
      <c r="I21" s="731">
        <v>7.74</v>
      </c>
      <c r="J21" s="731">
        <v>7.93</v>
      </c>
      <c r="K21" s="731">
        <v>8.06</v>
      </c>
      <c r="L21" s="731">
        <v>8.3699999999999992</v>
      </c>
      <c r="M21" s="731">
        <v>8.85</v>
      </c>
    </row>
    <row r="22" spans="1:13" s="118" customFormat="1" ht="21.75" customHeight="1">
      <c r="A22" s="733">
        <v>34</v>
      </c>
      <c r="B22" s="710" t="s">
        <v>670</v>
      </c>
      <c r="C22" s="731">
        <v>9.6999999999999993</v>
      </c>
      <c r="D22" s="731">
        <v>8.7899999999999991</v>
      </c>
      <c r="E22" s="731">
        <v>10.06</v>
      </c>
      <c r="F22" s="731">
        <v>10.42</v>
      </c>
      <c r="G22" s="731">
        <v>11.02</v>
      </c>
      <c r="H22" s="731">
        <v>11.12</v>
      </c>
      <c r="I22" s="731">
        <v>11.49</v>
      </c>
      <c r="J22" s="731">
        <v>11.99</v>
      </c>
      <c r="K22" s="731">
        <v>12.22</v>
      </c>
      <c r="L22" s="731">
        <v>12.11</v>
      </c>
      <c r="M22" s="731">
        <v>13.07</v>
      </c>
    </row>
    <row r="23" spans="1:13" s="118" customFormat="1" ht="12.75" customHeight="1">
      <c r="A23" s="733">
        <v>35</v>
      </c>
      <c r="B23" s="710" t="s">
        <v>671</v>
      </c>
      <c r="C23" s="731">
        <v>6.94</v>
      </c>
      <c r="D23" s="731">
        <v>6.72</v>
      </c>
      <c r="E23" s="731">
        <v>6.75</v>
      </c>
      <c r="F23" s="731">
        <v>6.83</v>
      </c>
      <c r="G23" s="731">
        <v>7</v>
      </c>
      <c r="H23" s="731">
        <v>7.16</v>
      </c>
      <c r="I23" s="731">
        <v>7.07</v>
      </c>
      <c r="J23" s="731">
        <v>7.42</v>
      </c>
      <c r="K23" s="731">
        <v>7.59</v>
      </c>
      <c r="L23" s="731">
        <v>7.9</v>
      </c>
      <c r="M23" s="731">
        <v>8.4600000000000009</v>
      </c>
    </row>
    <row r="24" spans="1:13" s="118" customFormat="1" ht="12.75" customHeight="1">
      <c r="A24" s="732">
        <v>4</v>
      </c>
      <c r="B24" s="725" t="s">
        <v>672</v>
      </c>
      <c r="C24" s="729">
        <v>4.96</v>
      </c>
      <c r="D24" s="729">
        <v>4.9400000000000004</v>
      </c>
      <c r="E24" s="729">
        <v>4.92</v>
      </c>
      <c r="F24" s="729">
        <v>4.95</v>
      </c>
      <c r="G24" s="729">
        <v>5.03</v>
      </c>
      <c r="H24" s="729">
        <v>5.14</v>
      </c>
      <c r="I24" s="729">
        <v>5.26</v>
      </c>
      <c r="J24" s="729">
        <v>5.45</v>
      </c>
      <c r="K24" s="729">
        <v>5.61</v>
      </c>
      <c r="L24" s="729">
        <v>5.81</v>
      </c>
      <c r="M24" s="729">
        <v>6.18</v>
      </c>
    </row>
    <row r="25" spans="1:13" s="118" customFormat="1" ht="22.5" customHeight="1">
      <c r="A25" s="733">
        <v>41</v>
      </c>
      <c r="B25" s="710" t="s">
        <v>673</v>
      </c>
      <c r="C25" s="731">
        <v>5.0599999999999996</v>
      </c>
      <c r="D25" s="731">
        <v>5.0599999999999996</v>
      </c>
      <c r="E25" s="731">
        <v>5.07</v>
      </c>
      <c r="F25" s="731">
        <v>5.15</v>
      </c>
      <c r="G25" s="731">
        <v>5.26</v>
      </c>
      <c r="H25" s="731">
        <v>5.39</v>
      </c>
      <c r="I25" s="731">
        <v>5.57</v>
      </c>
      <c r="J25" s="731">
        <v>5.75</v>
      </c>
      <c r="K25" s="731">
        <v>5.94</v>
      </c>
      <c r="L25" s="731">
        <v>6.14</v>
      </c>
      <c r="M25" s="731">
        <v>6.57</v>
      </c>
    </row>
    <row r="26" spans="1:13" s="118" customFormat="1" ht="12.75" customHeight="1">
      <c r="A26" s="733">
        <v>42</v>
      </c>
      <c r="B26" s="710" t="s">
        <v>674</v>
      </c>
      <c r="C26" s="731">
        <v>4.71</v>
      </c>
      <c r="D26" s="731">
        <v>4.7300000000000004</v>
      </c>
      <c r="E26" s="731">
        <v>4.66</v>
      </c>
      <c r="F26" s="731">
        <v>4.67</v>
      </c>
      <c r="G26" s="731">
        <v>4.76</v>
      </c>
      <c r="H26" s="731">
        <v>4.84</v>
      </c>
      <c r="I26" s="731">
        <v>4.83</v>
      </c>
      <c r="J26" s="731">
        <v>5.04</v>
      </c>
      <c r="K26" s="731">
        <v>5.15</v>
      </c>
      <c r="L26" s="731">
        <v>5.34</v>
      </c>
      <c r="M26" s="731">
        <v>5.66</v>
      </c>
    </row>
    <row r="27" spans="1:13" s="118" customFormat="1" ht="24.75" customHeight="1">
      <c r="A27" s="733">
        <v>43</v>
      </c>
      <c r="B27" s="710" t="s">
        <v>675</v>
      </c>
      <c r="C27" s="731">
        <v>4.8899999999999997</v>
      </c>
      <c r="D27" s="731">
        <v>4.82</v>
      </c>
      <c r="E27" s="731">
        <v>4.79</v>
      </c>
      <c r="F27" s="731">
        <v>4.82</v>
      </c>
      <c r="G27" s="731">
        <v>4.8600000000000003</v>
      </c>
      <c r="H27" s="731">
        <v>4.97</v>
      </c>
      <c r="I27" s="731">
        <v>5.0999999999999996</v>
      </c>
      <c r="J27" s="731">
        <v>5.29</v>
      </c>
      <c r="K27" s="731">
        <v>5.47</v>
      </c>
      <c r="L27" s="731">
        <v>5.68</v>
      </c>
      <c r="M27" s="731">
        <v>6.09</v>
      </c>
    </row>
    <row r="28" spans="1:13" s="118" customFormat="1" ht="12.75" customHeight="1">
      <c r="A28" s="733">
        <v>44</v>
      </c>
      <c r="B28" s="710" t="s">
        <v>676</v>
      </c>
      <c r="C28" s="731">
        <v>5.3</v>
      </c>
      <c r="D28" s="731">
        <v>5.25</v>
      </c>
      <c r="E28" s="731">
        <v>5.28</v>
      </c>
      <c r="F28" s="731">
        <v>5.25</v>
      </c>
      <c r="G28" s="731">
        <v>5.26</v>
      </c>
      <c r="H28" s="731">
        <v>5.36</v>
      </c>
      <c r="I28" s="731">
        <v>5.53</v>
      </c>
      <c r="J28" s="731">
        <v>5.67</v>
      </c>
      <c r="K28" s="731">
        <v>5.87</v>
      </c>
      <c r="L28" s="731">
        <v>6.1</v>
      </c>
      <c r="M28" s="731">
        <v>6.43</v>
      </c>
    </row>
    <row r="29" spans="1:13" s="118" customFormat="1" ht="12.75" customHeight="1">
      <c r="A29" s="732">
        <v>5</v>
      </c>
      <c r="B29" s="712" t="s">
        <v>677</v>
      </c>
      <c r="C29" s="729">
        <v>3.67</v>
      </c>
      <c r="D29" s="729">
        <v>3.7</v>
      </c>
      <c r="E29" s="729">
        <v>3.73</v>
      </c>
      <c r="F29" s="729">
        <v>3.81</v>
      </c>
      <c r="G29" s="729">
        <v>3.91</v>
      </c>
      <c r="H29" s="729">
        <v>4.04</v>
      </c>
      <c r="I29" s="729">
        <v>4.21</v>
      </c>
      <c r="J29" s="729">
        <v>4.3899999999999997</v>
      </c>
      <c r="K29" s="729">
        <v>4.54</v>
      </c>
      <c r="L29" s="729">
        <v>4.8099999999999996</v>
      </c>
      <c r="M29" s="729">
        <v>5.18</v>
      </c>
    </row>
    <row r="30" spans="1:13" s="118" customFormat="1" ht="12.75" customHeight="1">
      <c r="A30" s="733">
        <v>51</v>
      </c>
      <c r="B30" s="710" t="s">
        <v>678</v>
      </c>
      <c r="C30" s="731">
        <v>3.6</v>
      </c>
      <c r="D30" s="731">
        <v>3.64</v>
      </c>
      <c r="E30" s="731">
        <v>3.65</v>
      </c>
      <c r="F30" s="731">
        <v>3.74</v>
      </c>
      <c r="G30" s="731">
        <v>3.88</v>
      </c>
      <c r="H30" s="731">
        <v>4.04</v>
      </c>
      <c r="I30" s="731">
        <v>4.1900000000000004</v>
      </c>
      <c r="J30" s="731">
        <v>4.3499999999999996</v>
      </c>
      <c r="K30" s="731">
        <v>4.45</v>
      </c>
      <c r="L30" s="731">
        <v>4.79</v>
      </c>
      <c r="M30" s="731">
        <v>5.13</v>
      </c>
    </row>
    <row r="31" spans="1:13" s="130" customFormat="1" ht="12.75" customHeight="1">
      <c r="A31" s="733">
        <v>52</v>
      </c>
      <c r="B31" s="710" t="s">
        <v>679</v>
      </c>
      <c r="C31" s="731">
        <v>3.77</v>
      </c>
      <c r="D31" s="731">
        <v>3.82</v>
      </c>
      <c r="E31" s="731">
        <v>3.85</v>
      </c>
      <c r="F31" s="731">
        <v>3.94</v>
      </c>
      <c r="G31" s="731">
        <v>4.0199999999999996</v>
      </c>
      <c r="H31" s="731">
        <v>4.1399999999999997</v>
      </c>
      <c r="I31" s="731">
        <v>4.3</v>
      </c>
      <c r="J31" s="731">
        <v>4.5</v>
      </c>
      <c r="K31" s="731">
        <v>4.66</v>
      </c>
      <c r="L31" s="731">
        <v>4.9400000000000004</v>
      </c>
      <c r="M31" s="731">
        <v>5.33</v>
      </c>
    </row>
    <row r="32" spans="1:13" s="118" customFormat="1" ht="12.75" customHeight="1">
      <c r="A32" s="733">
        <v>53</v>
      </c>
      <c r="B32" s="710" t="s">
        <v>680</v>
      </c>
      <c r="C32" s="731">
        <v>3.34</v>
      </c>
      <c r="D32" s="731">
        <v>3.37</v>
      </c>
      <c r="E32" s="731">
        <v>3.4</v>
      </c>
      <c r="F32" s="731">
        <v>3.47</v>
      </c>
      <c r="G32" s="731">
        <v>3.59</v>
      </c>
      <c r="H32" s="731">
        <v>3.75</v>
      </c>
      <c r="I32" s="731">
        <v>3.89</v>
      </c>
      <c r="J32" s="731">
        <v>4.03</v>
      </c>
      <c r="K32" s="731">
        <v>4.22</v>
      </c>
      <c r="L32" s="731">
        <v>4.45</v>
      </c>
      <c r="M32" s="731">
        <v>4.84</v>
      </c>
    </row>
    <row r="33" spans="1:13" s="118" customFormat="1" ht="12.75" customHeight="1">
      <c r="A33" s="733">
        <v>54</v>
      </c>
      <c r="B33" s="710" t="s">
        <v>681</v>
      </c>
      <c r="C33" s="731">
        <v>3.87</v>
      </c>
      <c r="D33" s="731">
        <v>3.87</v>
      </c>
      <c r="E33" s="731">
        <v>3.92</v>
      </c>
      <c r="F33" s="731">
        <v>3.95</v>
      </c>
      <c r="G33" s="731">
        <v>3.97</v>
      </c>
      <c r="H33" s="731">
        <v>4.0599999999999996</v>
      </c>
      <c r="I33" s="731">
        <v>4.3499999999999996</v>
      </c>
      <c r="J33" s="731">
        <v>4.66</v>
      </c>
      <c r="K33" s="731">
        <v>4.72</v>
      </c>
      <c r="L33" s="731">
        <v>4.82</v>
      </c>
      <c r="M33" s="731">
        <v>5.16</v>
      </c>
    </row>
    <row r="34" spans="1:13" s="118" customFormat="1" ht="16.5" customHeight="1">
      <c r="A34" s="700">
        <v>6</v>
      </c>
      <c r="B34" s="712" t="s">
        <v>682</v>
      </c>
      <c r="C34" s="729">
        <v>3.51</v>
      </c>
      <c r="D34" s="729">
        <v>3.53</v>
      </c>
      <c r="E34" s="729">
        <v>3.64</v>
      </c>
      <c r="F34" s="729">
        <v>3.81</v>
      </c>
      <c r="G34" s="729">
        <v>3.85</v>
      </c>
      <c r="H34" s="729">
        <v>4.04</v>
      </c>
      <c r="I34" s="729">
        <v>4.24</v>
      </c>
      <c r="J34" s="729">
        <v>4.21</v>
      </c>
      <c r="K34" s="729">
        <v>4.41</v>
      </c>
      <c r="L34" s="729">
        <v>4.6900000000000004</v>
      </c>
      <c r="M34" s="729">
        <v>5</v>
      </c>
    </row>
    <row r="35" spans="1:13" s="118" customFormat="1" ht="21.75" customHeight="1">
      <c r="A35" s="730">
        <v>61</v>
      </c>
      <c r="B35" s="710" t="s">
        <v>683</v>
      </c>
      <c r="C35" s="731">
        <v>3.39</v>
      </c>
      <c r="D35" s="731">
        <v>3.44</v>
      </c>
      <c r="E35" s="731">
        <v>3.46</v>
      </c>
      <c r="F35" s="731">
        <v>3.57</v>
      </c>
      <c r="G35" s="731">
        <v>3.69</v>
      </c>
      <c r="H35" s="731">
        <v>3.82</v>
      </c>
      <c r="I35" s="731">
        <v>3.94</v>
      </c>
      <c r="J35" s="731">
        <v>4.09</v>
      </c>
      <c r="K35" s="731">
        <v>4.29</v>
      </c>
      <c r="L35" s="731">
        <v>4.57</v>
      </c>
      <c r="M35" s="731">
        <v>4.91</v>
      </c>
    </row>
    <row r="36" spans="1:13" s="118" customFormat="1" ht="22.5" customHeight="1">
      <c r="A36" s="730">
        <v>62</v>
      </c>
      <c r="B36" s="710" t="s">
        <v>684</v>
      </c>
      <c r="C36" s="731">
        <v>3.94</v>
      </c>
      <c r="D36" s="731">
        <v>3.91</v>
      </c>
      <c r="E36" s="731">
        <v>4.34</v>
      </c>
      <c r="F36" s="731">
        <v>4.78</v>
      </c>
      <c r="G36" s="731">
        <v>4.5</v>
      </c>
      <c r="H36" s="731">
        <v>4.99</v>
      </c>
      <c r="I36" s="731">
        <v>5.53</v>
      </c>
      <c r="J36" s="731">
        <v>4.7699999999999996</v>
      </c>
      <c r="K36" s="731">
        <v>5.03</v>
      </c>
      <c r="L36" s="731">
        <v>5.32</v>
      </c>
      <c r="M36" s="731">
        <v>5.45</v>
      </c>
    </row>
    <row r="37" spans="1:13" s="118" customFormat="1" ht="12.75" customHeight="1">
      <c r="A37" s="700">
        <v>7</v>
      </c>
      <c r="B37" s="712" t="s">
        <v>685</v>
      </c>
      <c r="C37" s="729">
        <v>3.93</v>
      </c>
      <c r="D37" s="729">
        <v>3.95</v>
      </c>
      <c r="E37" s="729">
        <v>3.99</v>
      </c>
      <c r="F37" s="729">
        <v>4.0599999999999996</v>
      </c>
      <c r="G37" s="729">
        <v>4.16</v>
      </c>
      <c r="H37" s="729">
        <v>4.3099999999999996</v>
      </c>
      <c r="I37" s="729">
        <v>4.46</v>
      </c>
      <c r="J37" s="729">
        <v>4.62</v>
      </c>
      <c r="K37" s="729">
        <v>4.8099999999999996</v>
      </c>
      <c r="L37" s="729">
        <v>5.0599999999999996</v>
      </c>
      <c r="M37" s="729">
        <v>5.41</v>
      </c>
    </row>
    <row r="38" spans="1:13" s="118" customFormat="1" ht="12.75" customHeight="1">
      <c r="A38" s="730">
        <v>71</v>
      </c>
      <c r="B38" s="710" t="s">
        <v>686</v>
      </c>
      <c r="C38" s="731">
        <v>3.69</v>
      </c>
      <c r="D38" s="731">
        <v>3.72</v>
      </c>
      <c r="E38" s="731">
        <v>3.76</v>
      </c>
      <c r="F38" s="731">
        <v>3.8</v>
      </c>
      <c r="G38" s="731">
        <v>3.86</v>
      </c>
      <c r="H38" s="731">
        <v>4</v>
      </c>
      <c r="I38" s="731">
        <v>4.1500000000000004</v>
      </c>
      <c r="J38" s="731">
        <v>4.32</v>
      </c>
      <c r="K38" s="731">
        <v>4.5599999999999996</v>
      </c>
      <c r="L38" s="731">
        <v>4.76</v>
      </c>
      <c r="M38" s="731">
        <v>5.1100000000000003</v>
      </c>
    </row>
    <row r="39" spans="1:13" s="118" customFormat="1" ht="12.75" customHeight="1">
      <c r="A39" s="730">
        <v>72</v>
      </c>
      <c r="B39" s="710" t="s">
        <v>687</v>
      </c>
      <c r="C39" s="731">
        <v>4.46</v>
      </c>
      <c r="D39" s="731">
        <v>4.49</v>
      </c>
      <c r="E39" s="731">
        <v>4.5199999999999996</v>
      </c>
      <c r="F39" s="731">
        <v>4.59</v>
      </c>
      <c r="G39" s="731">
        <v>4.71</v>
      </c>
      <c r="H39" s="731">
        <v>4.87</v>
      </c>
      <c r="I39" s="731">
        <v>5.03</v>
      </c>
      <c r="J39" s="731">
        <v>5.16</v>
      </c>
      <c r="K39" s="731">
        <v>5.31</v>
      </c>
      <c r="L39" s="731">
        <v>5.6</v>
      </c>
      <c r="M39" s="731">
        <v>5.96</v>
      </c>
    </row>
    <row r="40" spans="1:13" s="118" customFormat="1" ht="23.25" customHeight="1">
      <c r="A40" s="730">
        <v>73</v>
      </c>
      <c r="B40" s="710" t="s">
        <v>688</v>
      </c>
      <c r="C40" s="731">
        <v>3.9</v>
      </c>
      <c r="D40" s="731">
        <v>3.89</v>
      </c>
      <c r="E40" s="731">
        <v>3.92</v>
      </c>
      <c r="F40" s="731">
        <v>3.98</v>
      </c>
      <c r="G40" s="731">
        <v>4.09</v>
      </c>
      <c r="H40" s="731">
        <v>4.2</v>
      </c>
      <c r="I40" s="731">
        <v>4.26</v>
      </c>
      <c r="J40" s="731">
        <v>4.41</v>
      </c>
      <c r="K40" s="731">
        <v>4.62</v>
      </c>
      <c r="L40" s="731">
        <v>4.8</v>
      </c>
      <c r="M40" s="731">
        <v>5.16</v>
      </c>
    </row>
    <row r="41" spans="1:13" s="249" customFormat="1" ht="12.75" customHeight="1">
      <c r="A41" s="730">
        <v>74</v>
      </c>
      <c r="B41" s="710" t="s">
        <v>689</v>
      </c>
      <c r="C41" s="731">
        <v>4.83</v>
      </c>
      <c r="D41" s="731">
        <v>4.7300000000000004</v>
      </c>
      <c r="E41" s="731">
        <v>4.78</v>
      </c>
      <c r="F41" s="731">
        <v>4.8600000000000003</v>
      </c>
      <c r="G41" s="731">
        <v>4.93</v>
      </c>
      <c r="H41" s="731">
        <v>5.05</v>
      </c>
      <c r="I41" s="731">
        <v>5.18</v>
      </c>
      <c r="J41" s="731">
        <v>5.31</v>
      </c>
      <c r="K41" s="731">
        <v>5.48</v>
      </c>
      <c r="L41" s="731">
        <v>5.74</v>
      </c>
      <c r="M41" s="731">
        <v>6.07</v>
      </c>
    </row>
    <row r="42" spans="1:13" s="249" customFormat="1" ht="22.5" customHeight="1">
      <c r="A42" s="730">
        <v>75</v>
      </c>
      <c r="B42" s="710" t="s">
        <v>690</v>
      </c>
      <c r="C42" s="731">
        <v>3.39</v>
      </c>
      <c r="D42" s="731">
        <v>3.44</v>
      </c>
      <c r="E42" s="731">
        <v>3.48</v>
      </c>
      <c r="F42" s="731">
        <v>3.57</v>
      </c>
      <c r="G42" s="731">
        <v>3.71</v>
      </c>
      <c r="H42" s="731">
        <v>3.85</v>
      </c>
      <c r="I42" s="731">
        <v>4</v>
      </c>
      <c r="J42" s="731">
        <v>4.2</v>
      </c>
      <c r="K42" s="731">
        <v>4.37</v>
      </c>
      <c r="L42" s="731">
        <v>4.6399999999999997</v>
      </c>
      <c r="M42" s="731">
        <v>5</v>
      </c>
    </row>
    <row r="43" spans="1:13" s="249" customFormat="1" ht="12.75" customHeight="1">
      <c r="A43" s="700">
        <v>8</v>
      </c>
      <c r="B43" s="712" t="s">
        <v>691</v>
      </c>
      <c r="C43" s="729">
        <v>3.71</v>
      </c>
      <c r="D43" s="729">
        <v>3.74</v>
      </c>
      <c r="E43" s="729">
        <v>3.77</v>
      </c>
      <c r="F43" s="729">
        <v>3.84</v>
      </c>
      <c r="G43" s="729">
        <v>3.95</v>
      </c>
      <c r="H43" s="729">
        <v>4.1100000000000003</v>
      </c>
      <c r="I43" s="729">
        <v>4.28</v>
      </c>
      <c r="J43" s="729">
        <v>4.5</v>
      </c>
      <c r="K43" s="729">
        <v>4.67</v>
      </c>
      <c r="L43" s="729">
        <v>4.95</v>
      </c>
      <c r="M43" s="729">
        <v>5.33</v>
      </c>
    </row>
    <row r="44" spans="1:13" s="249" customFormat="1" ht="12.75" customHeight="1">
      <c r="A44" s="730">
        <v>81</v>
      </c>
      <c r="B44" s="710" t="s">
        <v>692</v>
      </c>
      <c r="C44" s="731">
        <v>3.49</v>
      </c>
      <c r="D44" s="731">
        <v>3.54</v>
      </c>
      <c r="E44" s="731">
        <v>3.59</v>
      </c>
      <c r="F44" s="731">
        <v>3.69</v>
      </c>
      <c r="G44" s="731">
        <v>3.83</v>
      </c>
      <c r="H44" s="731">
        <v>3.96</v>
      </c>
      <c r="I44" s="731">
        <v>4.12</v>
      </c>
      <c r="J44" s="731">
        <v>4.3099999999999996</v>
      </c>
      <c r="K44" s="731">
        <v>4.49</v>
      </c>
      <c r="L44" s="731">
        <v>4.75</v>
      </c>
      <c r="M44" s="731">
        <v>5.1100000000000003</v>
      </c>
    </row>
    <row r="45" spans="1:13" s="249" customFormat="1" ht="12.75" customHeight="1">
      <c r="A45" s="730">
        <v>82</v>
      </c>
      <c r="B45" s="710" t="s">
        <v>693</v>
      </c>
      <c r="C45" s="731">
        <v>4.13</v>
      </c>
      <c r="D45" s="731">
        <v>4.17</v>
      </c>
      <c r="E45" s="731">
        <v>4.21</v>
      </c>
      <c r="F45" s="731">
        <v>4.22</v>
      </c>
      <c r="G45" s="731">
        <v>4.3</v>
      </c>
      <c r="H45" s="731">
        <v>4.41</v>
      </c>
      <c r="I45" s="731">
        <v>4.58</v>
      </c>
      <c r="J45" s="731">
        <v>4.78</v>
      </c>
      <c r="K45" s="731">
        <v>4.79</v>
      </c>
      <c r="L45" s="731">
        <v>5.2</v>
      </c>
      <c r="M45" s="731">
        <v>5.55</v>
      </c>
    </row>
    <row r="46" spans="1:13" s="249" customFormat="1" ht="12.75" customHeight="1">
      <c r="A46" s="730">
        <v>83</v>
      </c>
      <c r="B46" s="710" t="s">
        <v>694</v>
      </c>
      <c r="C46" s="731">
        <v>3.89</v>
      </c>
      <c r="D46" s="731">
        <v>3.89</v>
      </c>
      <c r="E46" s="731">
        <v>3.9</v>
      </c>
      <c r="F46" s="731">
        <v>3.95</v>
      </c>
      <c r="G46" s="731">
        <v>4.0199999999999996</v>
      </c>
      <c r="H46" s="731">
        <v>4.22</v>
      </c>
      <c r="I46" s="731">
        <v>4.38</v>
      </c>
      <c r="J46" s="731">
        <v>4.63</v>
      </c>
      <c r="K46" s="731">
        <v>4.83</v>
      </c>
      <c r="L46" s="731">
        <v>5.1100000000000003</v>
      </c>
      <c r="M46" s="731">
        <v>5.51</v>
      </c>
    </row>
    <row r="47" spans="1:13" s="249" customFormat="1" ht="12.75" customHeight="1">
      <c r="A47" s="700">
        <v>9</v>
      </c>
      <c r="B47" s="712" t="s">
        <v>695</v>
      </c>
      <c r="C47" s="729">
        <v>3.24</v>
      </c>
      <c r="D47" s="729">
        <v>3.3</v>
      </c>
      <c r="E47" s="729">
        <v>3.34</v>
      </c>
      <c r="F47" s="729">
        <v>3.45</v>
      </c>
      <c r="G47" s="729">
        <v>3.59</v>
      </c>
      <c r="H47" s="729">
        <v>3.76</v>
      </c>
      <c r="I47" s="729">
        <v>3.92</v>
      </c>
      <c r="J47" s="729">
        <v>4.1100000000000003</v>
      </c>
      <c r="K47" s="729">
        <v>4.32</v>
      </c>
      <c r="L47" s="729">
        <v>4.5599999999999996</v>
      </c>
      <c r="M47" s="729">
        <v>4.8600000000000003</v>
      </c>
    </row>
    <row r="48" spans="1:13" s="249" customFormat="1" ht="12.75" customHeight="1">
      <c r="A48" s="730">
        <v>91</v>
      </c>
      <c r="B48" s="710" t="s">
        <v>696</v>
      </c>
      <c r="C48" s="731">
        <v>3.05</v>
      </c>
      <c r="D48" s="731">
        <v>3.12</v>
      </c>
      <c r="E48" s="731">
        <v>3.14</v>
      </c>
      <c r="F48" s="731">
        <v>3.25</v>
      </c>
      <c r="G48" s="731">
        <v>3.39</v>
      </c>
      <c r="H48" s="731">
        <v>3.53</v>
      </c>
      <c r="I48" s="731">
        <v>3.64</v>
      </c>
      <c r="J48" s="731">
        <v>3.84</v>
      </c>
      <c r="K48" s="731">
        <v>4</v>
      </c>
      <c r="L48" s="731">
        <v>4.24</v>
      </c>
      <c r="M48" s="731">
        <v>4.58</v>
      </c>
    </row>
    <row r="49" spans="1:13" s="249" customFormat="1" ht="12.75" customHeight="1">
      <c r="A49" s="730">
        <v>92</v>
      </c>
      <c r="B49" s="710" t="s">
        <v>697</v>
      </c>
      <c r="C49" s="731">
        <v>3.15</v>
      </c>
      <c r="D49" s="731">
        <v>3.2</v>
      </c>
      <c r="E49" s="731">
        <v>3.21</v>
      </c>
      <c r="F49" s="731">
        <v>3.31</v>
      </c>
      <c r="G49" s="731">
        <v>3.46</v>
      </c>
      <c r="H49" s="731">
        <v>3.62</v>
      </c>
      <c r="I49" s="731">
        <v>3.75</v>
      </c>
      <c r="J49" s="731">
        <v>3.93</v>
      </c>
      <c r="K49" s="731">
        <v>4.12</v>
      </c>
      <c r="L49" s="731">
        <v>4.33</v>
      </c>
      <c r="M49" s="731">
        <v>4.62</v>
      </c>
    </row>
    <row r="50" spans="1:13" s="249" customFormat="1" ht="12.75" customHeight="1">
      <c r="A50" s="730">
        <v>93</v>
      </c>
      <c r="B50" s="710" t="s">
        <v>698</v>
      </c>
      <c r="C50" s="731">
        <v>3.33</v>
      </c>
      <c r="D50" s="731">
        <v>3.39</v>
      </c>
      <c r="E50" s="731">
        <v>3.39</v>
      </c>
      <c r="F50" s="731">
        <v>3.48</v>
      </c>
      <c r="G50" s="731">
        <v>3.61</v>
      </c>
      <c r="H50" s="731">
        <v>3.75</v>
      </c>
      <c r="I50" s="731">
        <v>3.9</v>
      </c>
      <c r="J50" s="731">
        <v>4.08</v>
      </c>
      <c r="K50" s="731">
        <v>4.26</v>
      </c>
      <c r="L50" s="731">
        <v>4.47</v>
      </c>
      <c r="M50" s="731">
        <v>4.78</v>
      </c>
    </row>
    <row r="51" spans="1:13" s="249" customFormat="1" ht="12.75" customHeight="1">
      <c r="A51" s="730">
        <v>94</v>
      </c>
      <c r="B51" s="710" t="s">
        <v>699</v>
      </c>
      <c r="C51" s="731">
        <v>3.08</v>
      </c>
      <c r="D51" s="731">
        <v>3.13</v>
      </c>
      <c r="E51" s="731">
        <v>3.15</v>
      </c>
      <c r="F51" s="731">
        <v>3.25</v>
      </c>
      <c r="G51" s="731">
        <v>3.41</v>
      </c>
      <c r="H51" s="731">
        <v>3.55</v>
      </c>
      <c r="I51" s="731">
        <v>3.68</v>
      </c>
      <c r="J51" s="731">
        <v>3.87</v>
      </c>
      <c r="K51" s="731">
        <v>4.03</v>
      </c>
      <c r="L51" s="731">
        <v>4.28</v>
      </c>
      <c r="M51" s="731">
        <v>4.58</v>
      </c>
    </row>
    <row r="52" spans="1:13" s="249" customFormat="1" ht="12.75" customHeight="1">
      <c r="A52" s="730">
        <v>95</v>
      </c>
      <c r="B52" s="710" t="s">
        <v>700</v>
      </c>
      <c r="C52" s="731">
        <v>4.0999999999999996</v>
      </c>
      <c r="D52" s="731">
        <v>4.12</v>
      </c>
      <c r="E52" s="731">
        <v>4.25</v>
      </c>
      <c r="F52" s="731">
        <v>4.38</v>
      </c>
      <c r="G52" s="731">
        <v>4.55</v>
      </c>
      <c r="H52" s="731">
        <v>4.63</v>
      </c>
      <c r="I52" s="731">
        <v>4.79</v>
      </c>
      <c r="J52" s="731">
        <v>5.0599999999999996</v>
      </c>
      <c r="K52" s="731">
        <v>5.26</v>
      </c>
      <c r="L52" s="731">
        <v>5.73</v>
      </c>
      <c r="M52" s="731">
        <v>5.97</v>
      </c>
    </row>
    <row r="53" spans="1:13" s="249" customFormat="1" ht="12.75" customHeight="1">
      <c r="A53" s="730">
        <v>96</v>
      </c>
      <c r="B53" s="710" t="s">
        <v>701</v>
      </c>
      <c r="C53" s="731">
        <v>3.49</v>
      </c>
      <c r="D53" s="731">
        <v>3.58</v>
      </c>
      <c r="E53" s="731">
        <v>3.66</v>
      </c>
      <c r="F53" s="731">
        <v>3.76</v>
      </c>
      <c r="G53" s="731">
        <v>3.91</v>
      </c>
      <c r="H53" s="731">
        <v>4.1399999999999997</v>
      </c>
      <c r="I53" s="731">
        <v>4.3600000000000003</v>
      </c>
      <c r="J53" s="731">
        <v>4.5599999999999996</v>
      </c>
      <c r="K53" s="731">
        <v>4.82</v>
      </c>
      <c r="L53" s="731">
        <v>5.14</v>
      </c>
      <c r="M53" s="731">
        <v>5.45</v>
      </c>
    </row>
    <row r="54" spans="1:13" s="249" customFormat="1" ht="12.75" customHeight="1">
      <c r="A54" s="326" t="s">
        <v>702</v>
      </c>
      <c r="B54" s="712"/>
      <c r="C54" s="729">
        <v>9.94</v>
      </c>
      <c r="D54" s="729">
        <v>9.48</v>
      </c>
      <c r="E54" s="729">
        <v>11.05</v>
      </c>
      <c r="F54" s="729">
        <v>10.43</v>
      </c>
      <c r="G54" s="729">
        <v>11.29</v>
      </c>
      <c r="H54" s="729">
        <v>9.69</v>
      </c>
      <c r="I54" s="729">
        <v>11.13</v>
      </c>
      <c r="J54" s="729">
        <v>12</v>
      </c>
      <c r="K54" s="729">
        <v>12.53</v>
      </c>
      <c r="L54" s="729">
        <v>13.29</v>
      </c>
      <c r="M54" s="729">
        <v>16.690000000000001</v>
      </c>
    </row>
    <row r="55" spans="1:13" s="249" customFormat="1" ht="12.75" customHeight="1">
      <c r="A55" s="36"/>
      <c r="B55" s="726" t="s">
        <v>703</v>
      </c>
      <c r="C55" s="734">
        <v>9.94</v>
      </c>
      <c r="D55" s="734">
        <v>9.48</v>
      </c>
      <c r="E55" s="734">
        <v>11.05</v>
      </c>
      <c r="F55" s="734">
        <v>10.43</v>
      </c>
      <c r="G55" s="734">
        <v>11.29</v>
      </c>
      <c r="H55" s="734">
        <v>9.69</v>
      </c>
      <c r="I55" s="734">
        <v>11.13</v>
      </c>
      <c r="J55" s="734">
        <v>12</v>
      </c>
      <c r="K55" s="734">
        <v>12.53</v>
      </c>
      <c r="L55" s="734">
        <v>13.29</v>
      </c>
      <c r="M55" s="734">
        <v>16.690000000000001</v>
      </c>
    </row>
    <row r="56" spans="1:13" s="249" customFormat="1" ht="15" customHeight="1">
      <c r="A56" s="735" t="s">
        <v>138</v>
      </c>
      <c r="B56" s="717"/>
      <c r="C56" s="97"/>
      <c r="D56" s="97"/>
      <c r="E56" s="98"/>
      <c r="F56" s="98"/>
      <c r="G56" s="98"/>
      <c r="H56" s="98"/>
      <c r="I56" s="98"/>
      <c r="J56" s="98"/>
      <c r="K56" s="98"/>
      <c r="L56" s="98"/>
      <c r="M56" s="98"/>
    </row>
    <row r="57" spans="1:13" ht="10.5" customHeight="1">
      <c r="B57" s="806" t="s">
        <v>725</v>
      </c>
      <c r="C57" s="806"/>
      <c r="D57" s="806"/>
      <c r="E57" s="806"/>
      <c r="F57" s="806"/>
      <c r="G57" s="806"/>
      <c r="H57" s="806"/>
      <c r="I57" s="806"/>
      <c r="J57" s="806"/>
      <c r="K57" s="806"/>
      <c r="L57" s="806"/>
      <c r="M57" s="692"/>
    </row>
    <row r="58" spans="1:13" ht="15" customHeight="1">
      <c r="B58" s="212"/>
    </row>
  </sheetData>
  <mergeCells count="2">
    <mergeCell ref="A1:M1"/>
    <mergeCell ref="B57:L57"/>
  </mergeCells>
  <conditionalFormatting sqref="A1 A57:B57 E56 A2:C3 B56 B4:C4 A58:C1048576 A5:A6 N1:XFD1048576">
    <cfRule type="cellIs" dxfId="389" priority="37" operator="equal">
      <formula>0</formula>
    </cfRule>
  </conditionalFormatting>
  <conditionalFormatting sqref="C56">
    <cfRule type="cellIs" dxfId="388" priority="36" operator="equal">
      <formula>0</formula>
    </cfRule>
  </conditionalFormatting>
  <conditionalFormatting sqref="A56">
    <cfRule type="cellIs" dxfId="387" priority="35" operator="equal">
      <formula>0</formula>
    </cfRule>
  </conditionalFormatting>
  <conditionalFormatting sqref="E2:E4 E58:E1048576 F4:G4">
    <cfRule type="cellIs" dxfId="386" priority="34" operator="equal">
      <formula>0</formula>
    </cfRule>
  </conditionalFormatting>
  <conditionalFormatting sqref="D2:D4 D58:D1048576">
    <cfRule type="cellIs" dxfId="385" priority="33" operator="equal">
      <formula>0</formula>
    </cfRule>
  </conditionalFormatting>
  <conditionalFormatting sqref="D56">
    <cfRule type="cellIs" dxfId="384" priority="32" operator="equal">
      <formula>0</formula>
    </cfRule>
  </conditionalFormatting>
  <conditionalFormatting sqref="G56">
    <cfRule type="cellIs" dxfId="383" priority="31" operator="equal">
      <formula>0</formula>
    </cfRule>
  </conditionalFormatting>
  <conditionalFormatting sqref="G2:G3 G58:G1048576">
    <cfRule type="cellIs" dxfId="382" priority="30" operator="equal">
      <formula>0</formula>
    </cfRule>
  </conditionalFormatting>
  <conditionalFormatting sqref="F56">
    <cfRule type="cellIs" dxfId="381" priority="29" operator="equal">
      <formula>0</formula>
    </cfRule>
  </conditionalFormatting>
  <conditionalFormatting sqref="F2:F3 F58:F1048576">
    <cfRule type="cellIs" dxfId="380" priority="28" operator="equal">
      <formula>0</formula>
    </cfRule>
  </conditionalFormatting>
  <conditionalFormatting sqref="H4">
    <cfRule type="cellIs" dxfId="379" priority="27" operator="equal">
      <formula>0</formula>
    </cfRule>
  </conditionalFormatting>
  <conditionalFormatting sqref="I2:I3 I58:I1048576">
    <cfRule type="cellIs" dxfId="378" priority="22" operator="equal">
      <formula>0</formula>
    </cfRule>
  </conditionalFormatting>
  <conditionalFormatting sqref="H56">
    <cfRule type="cellIs" dxfId="377" priority="26" operator="equal">
      <formula>0</formula>
    </cfRule>
  </conditionalFormatting>
  <conditionalFormatting sqref="H2:H3 H58:H1048576">
    <cfRule type="cellIs" dxfId="376" priority="25" operator="equal">
      <formula>0</formula>
    </cfRule>
  </conditionalFormatting>
  <conditionalFormatting sqref="I4">
    <cfRule type="cellIs" dxfId="375" priority="24" operator="equal">
      <formula>0</formula>
    </cfRule>
  </conditionalFormatting>
  <conditionalFormatting sqref="J4">
    <cfRule type="cellIs" dxfId="374" priority="21" operator="equal">
      <formula>0</formula>
    </cfRule>
  </conditionalFormatting>
  <conditionalFormatting sqref="I56">
    <cfRule type="cellIs" dxfId="373" priority="23" operator="equal">
      <formula>0</formula>
    </cfRule>
  </conditionalFormatting>
  <conditionalFormatting sqref="K56">
    <cfRule type="cellIs" dxfId="372" priority="17" operator="equal">
      <formula>0</formula>
    </cfRule>
  </conditionalFormatting>
  <conditionalFormatting sqref="K2:K3 K58:K1048576">
    <cfRule type="cellIs" dxfId="371" priority="16" operator="equal">
      <formula>0</formula>
    </cfRule>
  </conditionalFormatting>
  <conditionalFormatting sqref="J56">
    <cfRule type="cellIs" dxfId="370" priority="20" operator="equal">
      <formula>0</formula>
    </cfRule>
  </conditionalFormatting>
  <conditionalFormatting sqref="J2:J3 J58:J1048576">
    <cfRule type="cellIs" dxfId="369" priority="19" operator="equal">
      <formula>0</formula>
    </cfRule>
  </conditionalFormatting>
  <conditionalFormatting sqref="K4">
    <cfRule type="cellIs" dxfId="368" priority="18" operator="equal">
      <formula>0</formula>
    </cfRule>
  </conditionalFormatting>
  <conditionalFormatting sqref="L2:L3 L58:L1048576">
    <cfRule type="cellIs" dxfId="367" priority="13" operator="equal">
      <formula>0</formula>
    </cfRule>
  </conditionalFormatting>
  <conditionalFormatting sqref="L4">
    <cfRule type="cellIs" dxfId="366" priority="15" operator="equal">
      <formula>0</formula>
    </cfRule>
  </conditionalFormatting>
  <conditionalFormatting sqref="M56">
    <cfRule type="cellIs" dxfId="365" priority="10" operator="equal">
      <formula>0</formula>
    </cfRule>
  </conditionalFormatting>
  <conditionalFormatting sqref="L56">
    <cfRule type="cellIs" dxfId="364" priority="14" operator="equal">
      <formula>0</formula>
    </cfRule>
  </conditionalFormatting>
  <conditionalFormatting sqref="M4">
    <cfRule type="cellIs" dxfId="363" priority="11" operator="equal">
      <formula>0</formula>
    </cfRule>
  </conditionalFormatting>
  <conditionalFormatting sqref="M2:M3 M58:M1048576">
    <cfRule type="cellIs" dxfId="362" priority="9" operator="equal">
      <formula>0</formula>
    </cfRule>
  </conditionalFormatting>
  <conditionalFormatting sqref="A4">
    <cfRule type="cellIs" dxfId="361" priority="12" operator="equal">
      <formula>0</formula>
    </cfRule>
  </conditionalFormatting>
  <conditionalFormatting sqref="C7:G53 C55:G55 B5:L6 C54:L54">
    <cfRule type="cellIs" dxfId="360" priority="8" operator="equal">
      <formula>0</formula>
    </cfRule>
  </conditionalFormatting>
  <conditionalFormatting sqref="H7:H53 H55">
    <cfRule type="cellIs" dxfId="359" priority="7" operator="equal">
      <formula>0</formula>
    </cfRule>
  </conditionalFormatting>
  <conditionalFormatting sqref="I7:I53 I55">
    <cfRule type="cellIs" dxfId="358" priority="6" operator="equal">
      <formula>0</formula>
    </cfRule>
  </conditionalFormatting>
  <conditionalFormatting sqref="J7:J53 J55">
    <cfRule type="cellIs" dxfId="357" priority="5" operator="equal">
      <formula>0</formula>
    </cfRule>
  </conditionalFormatting>
  <conditionalFormatting sqref="K7:K53 K55">
    <cfRule type="cellIs" dxfId="356" priority="4" operator="equal">
      <formula>0</formula>
    </cfRule>
  </conditionalFormatting>
  <conditionalFormatting sqref="L7:L53 L55">
    <cfRule type="cellIs" dxfId="355" priority="3" operator="equal">
      <formula>0</formula>
    </cfRule>
  </conditionalFormatting>
  <conditionalFormatting sqref="M5:M6 M54">
    <cfRule type="cellIs" dxfId="354" priority="2" operator="equal">
      <formula>0</formula>
    </cfRule>
  </conditionalFormatting>
  <conditionalFormatting sqref="M7:M53 M55">
    <cfRule type="cellIs" dxfId="353"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74" orientation="portrait" r:id="rId1"/>
  <headerFooter>
    <oddHeader>&amp;C&amp;G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5">
    <tabColor indexed="26"/>
    <pageSetUpPr fitToPage="1"/>
  </sheetPr>
  <dimension ref="A1:P19"/>
  <sheetViews>
    <sheetView showGridLines="0" workbookViewId="0">
      <selection sqref="A1:M2"/>
    </sheetView>
  </sheetViews>
  <sheetFormatPr defaultColWidth="9.140625" defaultRowHeight="15" customHeight="1"/>
  <cols>
    <col min="1" max="1" width="30.7109375" style="8" customWidth="1"/>
    <col min="2" max="12" width="6.28515625" style="8" customWidth="1"/>
    <col min="13" max="13" width="9.140625" style="8"/>
    <col min="14" max="14" width="9.140625" style="8" customWidth="1"/>
    <col min="15" max="16384" width="9.140625" style="8"/>
  </cols>
  <sheetData>
    <row r="1" spans="1:16" s="236" customFormat="1" ht="28.5" customHeight="1">
      <c r="A1" s="805" t="s">
        <v>728</v>
      </c>
      <c r="B1" s="805"/>
      <c r="C1" s="805"/>
      <c r="D1" s="805"/>
      <c r="E1" s="805"/>
      <c r="F1" s="805"/>
      <c r="G1" s="805"/>
      <c r="H1" s="805"/>
      <c r="I1" s="805"/>
      <c r="J1" s="805"/>
      <c r="K1" s="805"/>
      <c r="L1" s="805"/>
    </row>
    <row r="2" spans="1:16" s="239" customFormat="1" ht="15" customHeight="1">
      <c r="A2" s="238"/>
      <c r="B2" s="238"/>
      <c r="C2" s="238"/>
      <c r="D2" s="238"/>
      <c r="E2" s="238"/>
      <c r="F2" s="238"/>
      <c r="G2" s="238"/>
      <c r="H2" s="238"/>
      <c r="I2" s="238"/>
      <c r="J2" s="238"/>
      <c r="K2" s="238"/>
      <c r="L2" s="238"/>
    </row>
    <row r="3" spans="1:16" s="239" customFormat="1" ht="15" customHeight="1">
      <c r="A3" s="238" t="s">
        <v>14</v>
      </c>
      <c r="B3" s="235"/>
      <c r="D3" s="235"/>
      <c r="E3" s="235"/>
      <c r="F3" s="235"/>
      <c r="G3" s="320"/>
      <c r="H3" s="235"/>
      <c r="I3" s="327"/>
      <c r="J3" s="427"/>
      <c r="K3" s="427"/>
      <c r="L3" s="427" t="s">
        <v>68</v>
      </c>
    </row>
    <row r="4" spans="1:16" s="242" customFormat="1" ht="28.5" customHeight="1" thickBot="1">
      <c r="A4" s="107"/>
      <c r="B4" s="241">
        <v>2013</v>
      </c>
      <c r="C4" s="241">
        <v>2014</v>
      </c>
      <c r="D4" s="241">
        <v>2015</v>
      </c>
      <c r="E4" s="241">
        <v>2016</v>
      </c>
      <c r="F4" s="241">
        <v>2017</v>
      </c>
      <c r="G4" s="241">
        <v>2018</v>
      </c>
      <c r="H4" s="241">
        <v>2019</v>
      </c>
      <c r="I4" s="241">
        <v>2020</v>
      </c>
      <c r="J4" s="241">
        <v>2021</v>
      </c>
      <c r="K4" s="241">
        <v>2022</v>
      </c>
      <c r="L4" s="241">
        <v>2023</v>
      </c>
    </row>
    <row r="5" spans="1:16" s="242" customFormat="1" ht="15" customHeight="1" thickTop="1">
      <c r="A5" s="443" t="s">
        <v>12</v>
      </c>
      <c r="B5" s="444">
        <v>912.18</v>
      </c>
      <c r="C5" s="444">
        <v>909.49</v>
      </c>
      <c r="D5" s="444">
        <v>913.93</v>
      </c>
      <c r="E5" s="444">
        <v>924.94</v>
      </c>
      <c r="F5" s="444">
        <v>943</v>
      </c>
      <c r="G5" s="444">
        <v>970.42</v>
      </c>
      <c r="H5" s="444">
        <v>1005.09</v>
      </c>
      <c r="I5" s="444">
        <v>1041.99</v>
      </c>
      <c r="J5" s="444">
        <v>1082.77</v>
      </c>
      <c r="K5" s="444">
        <v>1143.45</v>
      </c>
      <c r="L5" s="444">
        <v>1219.8699999999999</v>
      </c>
    </row>
    <row r="6" spans="1:16" s="239" customFormat="1" ht="15" customHeight="1">
      <c r="A6" s="285" t="s">
        <v>126</v>
      </c>
      <c r="B6" s="381">
        <v>813.49</v>
      </c>
      <c r="C6" s="381">
        <v>814.02</v>
      </c>
      <c r="D6" s="381">
        <v>822.04</v>
      </c>
      <c r="E6" s="381">
        <v>834.1</v>
      </c>
      <c r="F6" s="381">
        <v>851.63</v>
      </c>
      <c r="G6" s="381">
        <v>878.73</v>
      </c>
      <c r="H6" s="381">
        <v>910.7</v>
      </c>
      <c r="I6" s="381">
        <v>946.93</v>
      </c>
      <c r="J6" s="381">
        <v>985.26</v>
      </c>
      <c r="K6" s="381">
        <v>1034.9100000000001</v>
      </c>
      <c r="L6" s="381">
        <v>1104.8399999999999</v>
      </c>
      <c r="N6" s="649">
        <f>+L6/$L$5*100</f>
        <v>90.570306672022426</v>
      </c>
      <c r="O6" s="649">
        <f>+B6/$B$5*100</f>
        <v>89.18086342607819</v>
      </c>
      <c r="P6" s="649">
        <f>+N6-O6</f>
        <v>1.3894432459442356</v>
      </c>
    </row>
    <row r="7" spans="1:16" s="239" customFormat="1" ht="15" customHeight="1">
      <c r="A7" s="285" t="s">
        <v>127</v>
      </c>
      <c r="B7" s="381">
        <v>1378.62</v>
      </c>
      <c r="C7" s="381">
        <v>1355.5</v>
      </c>
      <c r="D7" s="381">
        <v>1369.22</v>
      </c>
      <c r="E7" s="381">
        <v>1380.34</v>
      </c>
      <c r="F7" s="381">
        <v>1384.89</v>
      </c>
      <c r="G7" s="381">
        <v>1383.1</v>
      </c>
      <c r="H7" s="381">
        <v>1377.83</v>
      </c>
      <c r="I7" s="381">
        <v>1398.04</v>
      </c>
      <c r="J7" s="381">
        <v>1401.27</v>
      </c>
      <c r="K7" s="381">
        <v>1434.7</v>
      </c>
      <c r="L7" s="381">
        <v>1540.55</v>
      </c>
      <c r="N7" s="649">
        <f t="shared" ref="N7:N10" si="0">+L7/$L$5*100</f>
        <v>126.28804708698469</v>
      </c>
      <c r="O7" s="649">
        <f t="shared" ref="O7:O10" si="1">+B7/$B$5*100</f>
        <v>151.13464447806354</v>
      </c>
      <c r="P7" s="649">
        <f t="shared" ref="P7:P10" si="2">+N7-O7</f>
        <v>-24.846597391078845</v>
      </c>
    </row>
    <row r="8" spans="1:16" s="239" customFormat="1" ht="15" customHeight="1">
      <c r="A8" s="285" t="s">
        <v>145</v>
      </c>
      <c r="B8" s="381">
        <v>977.85</v>
      </c>
      <c r="C8" s="381">
        <v>972.19</v>
      </c>
      <c r="D8" s="381">
        <v>967.53</v>
      </c>
      <c r="E8" s="381">
        <v>971.01</v>
      </c>
      <c r="F8" s="381">
        <v>992.05</v>
      </c>
      <c r="G8" s="381">
        <v>1032.1099999999999</v>
      </c>
      <c r="H8" s="381">
        <v>1074.6099999999999</v>
      </c>
      <c r="I8" s="381">
        <v>1119.8599999999999</v>
      </c>
      <c r="J8" s="381">
        <v>1179.75</v>
      </c>
      <c r="K8" s="381">
        <v>1261.6500000000001</v>
      </c>
      <c r="L8" s="381">
        <v>1353.7</v>
      </c>
      <c r="N8" s="649">
        <f t="shared" si="0"/>
        <v>110.97084115520508</v>
      </c>
      <c r="O8" s="649">
        <f t="shared" si="1"/>
        <v>107.19923699269881</v>
      </c>
      <c r="P8" s="649">
        <f t="shared" si="2"/>
        <v>3.7716041625062644</v>
      </c>
    </row>
    <row r="9" spans="1:16" s="239" customFormat="1" ht="15" customHeight="1">
      <c r="A9" s="285" t="s">
        <v>44</v>
      </c>
      <c r="B9" s="381">
        <v>1450.63</v>
      </c>
      <c r="C9" s="381">
        <v>1444.7</v>
      </c>
      <c r="D9" s="381">
        <v>1449</v>
      </c>
      <c r="E9" s="381">
        <v>1443.02</v>
      </c>
      <c r="F9" s="381">
        <v>1460.94</v>
      </c>
      <c r="G9" s="381">
        <v>1499.23</v>
      </c>
      <c r="H9" s="381">
        <v>1520.65</v>
      </c>
      <c r="I9" s="381">
        <v>1451.9</v>
      </c>
      <c r="J9" s="381">
        <v>1476.86</v>
      </c>
      <c r="K9" s="381">
        <v>1594.67</v>
      </c>
      <c r="L9" s="381">
        <v>1672.43</v>
      </c>
      <c r="N9" s="649">
        <f t="shared" si="0"/>
        <v>137.09903514308903</v>
      </c>
      <c r="O9" s="649">
        <f t="shared" si="1"/>
        <v>159.02891973075492</v>
      </c>
      <c r="P9" s="649">
        <f t="shared" si="2"/>
        <v>-21.929884587665896</v>
      </c>
    </row>
    <row r="10" spans="1:16" s="239" customFormat="1" ht="15" customHeight="1">
      <c r="A10" s="286" t="s">
        <v>205</v>
      </c>
      <c r="B10" s="382">
        <v>1130.8</v>
      </c>
      <c r="C10" s="382">
        <v>1121.4000000000001</v>
      </c>
      <c r="D10" s="382">
        <v>1104.3499999999999</v>
      </c>
      <c r="E10" s="382">
        <v>1107.47</v>
      </c>
      <c r="F10" s="382">
        <v>1109.81</v>
      </c>
      <c r="G10" s="382">
        <v>1145.6199999999999</v>
      </c>
      <c r="H10" s="382">
        <v>1184.1099999999999</v>
      </c>
      <c r="I10" s="382">
        <v>1211.97</v>
      </c>
      <c r="J10" s="382">
        <v>1273.56</v>
      </c>
      <c r="K10" s="382">
        <v>1356.61</v>
      </c>
      <c r="L10" s="382">
        <v>1446.74</v>
      </c>
      <c r="N10" s="649">
        <f t="shared" si="0"/>
        <v>118.59788338101602</v>
      </c>
      <c r="O10" s="649">
        <f t="shared" si="1"/>
        <v>123.96676094630446</v>
      </c>
      <c r="P10" s="649">
        <f t="shared" si="2"/>
        <v>-5.3688775652884431</v>
      </c>
    </row>
    <row r="11" spans="1:16" s="244" customFormat="1" ht="15" customHeight="1">
      <c r="A11" s="222" t="s">
        <v>138</v>
      </c>
      <c r="B11" s="294"/>
      <c r="C11" s="295"/>
      <c r="D11" s="295"/>
      <c r="E11" s="295"/>
      <c r="F11" s="295"/>
      <c r="G11" s="295"/>
      <c r="H11" s="295"/>
      <c r="I11" s="295"/>
      <c r="J11" s="295"/>
      <c r="K11" s="295"/>
      <c r="L11" s="295"/>
    </row>
    <row r="12" spans="1:16" s="244" customFormat="1" ht="15" customHeight="1">
      <c r="A12" s="807" t="s">
        <v>133</v>
      </c>
      <c r="B12" s="807"/>
      <c r="C12" s="807"/>
      <c r="D12" s="807"/>
      <c r="E12" s="807"/>
      <c r="F12" s="807"/>
      <c r="G12" s="807"/>
      <c r="H12" s="807"/>
      <c r="I12" s="807"/>
      <c r="J12" s="807"/>
      <c r="K12" s="807"/>
      <c r="L12" s="807"/>
    </row>
    <row r="13" spans="1:16" s="244" customFormat="1" ht="15" customHeight="1">
      <c r="A13" s="807" t="s">
        <v>134</v>
      </c>
      <c r="B13" s="807"/>
      <c r="C13" s="807"/>
      <c r="D13" s="807"/>
      <c r="E13" s="807"/>
      <c r="F13" s="807"/>
      <c r="G13" s="807"/>
      <c r="H13" s="807"/>
      <c r="I13" s="807"/>
      <c r="J13" s="807"/>
      <c r="K13" s="807"/>
      <c r="L13" s="807"/>
    </row>
    <row r="14" spans="1:16" s="244" customFormat="1" ht="24" customHeight="1">
      <c r="A14" s="807" t="s">
        <v>207</v>
      </c>
      <c r="B14" s="807"/>
      <c r="C14" s="807"/>
      <c r="D14" s="807"/>
      <c r="E14" s="807"/>
      <c r="F14" s="807"/>
      <c r="G14" s="807"/>
      <c r="H14" s="807"/>
      <c r="I14" s="807"/>
      <c r="J14" s="807"/>
      <c r="K14" s="807"/>
      <c r="L14" s="807"/>
    </row>
    <row r="15" spans="1:16" ht="15" customHeight="1">
      <c r="N15" s="234"/>
    </row>
    <row r="16" spans="1:16" ht="15" customHeight="1">
      <c r="N16" s="234"/>
    </row>
    <row r="17" spans="14:14" ht="15" customHeight="1">
      <c r="N17" s="234"/>
    </row>
    <row r="18" spans="14:14" ht="15" customHeight="1">
      <c r="N18" s="234"/>
    </row>
    <row r="19" spans="14:14" ht="15" customHeight="1">
      <c r="N19" s="234"/>
    </row>
  </sheetData>
  <mergeCells count="4">
    <mergeCell ref="A1:L1"/>
    <mergeCell ref="A12:L12"/>
    <mergeCell ref="A13:L13"/>
    <mergeCell ref="A14:L14"/>
  </mergeCells>
  <conditionalFormatting sqref="D3 A1 A4:A10 F15 F21:F1048576 H21:H1048576 H15 A2:C2 A3:B3 B4:C4 B11:C11 B5:K5 A12:A1048576 B6:E9 B10:K10 B15:E1048576 M1:XFD5 M11:XFD1048576 M6:M10 Q6:XFD10">
    <cfRule type="cellIs" dxfId="352" priority="59" operator="equal">
      <formula>0</formula>
    </cfRule>
  </conditionalFormatting>
  <conditionalFormatting sqref="D2 D4 D11">
    <cfRule type="cellIs" dxfId="351" priority="58" operator="equal">
      <formula>0</formula>
    </cfRule>
  </conditionalFormatting>
  <conditionalFormatting sqref="A11">
    <cfRule type="cellIs" dxfId="350" priority="57" operator="equal">
      <formula>0</formula>
    </cfRule>
  </conditionalFormatting>
  <conditionalFormatting sqref="E3">
    <cfRule type="cellIs" dxfId="349" priority="56" operator="equal">
      <formula>0</formula>
    </cfRule>
  </conditionalFormatting>
  <conditionalFormatting sqref="E2 E4 E11">
    <cfRule type="cellIs" dxfId="348" priority="55" operator="equal">
      <formula>0</formula>
    </cfRule>
  </conditionalFormatting>
  <conditionalFormatting sqref="H3">
    <cfRule type="cellIs" dxfId="347" priority="54" operator="equal">
      <formula>0</formula>
    </cfRule>
  </conditionalFormatting>
  <conditionalFormatting sqref="H2 H11">
    <cfRule type="cellIs" dxfId="346" priority="53" operator="equal">
      <formula>0</formula>
    </cfRule>
  </conditionalFormatting>
  <conditionalFormatting sqref="F7:H7">
    <cfRule type="cellIs" dxfId="345" priority="52" operator="equal">
      <formula>0</formula>
    </cfRule>
  </conditionalFormatting>
  <conditionalFormatting sqref="F3">
    <cfRule type="cellIs" dxfId="344" priority="51" operator="equal">
      <formula>0</formula>
    </cfRule>
  </conditionalFormatting>
  <conditionalFormatting sqref="F2 F11 F4:H4">
    <cfRule type="cellIs" dxfId="343" priority="50" operator="equal">
      <formula>0</formula>
    </cfRule>
  </conditionalFormatting>
  <conditionalFormatting sqref="F6:H6 F8:H9">
    <cfRule type="cellIs" dxfId="342" priority="49" operator="equal">
      <formula>0</formula>
    </cfRule>
  </conditionalFormatting>
  <conditionalFormatting sqref="G21:G1048576 G15">
    <cfRule type="cellIs" dxfId="341" priority="47" operator="equal">
      <formula>0</formula>
    </cfRule>
  </conditionalFormatting>
  <conditionalFormatting sqref="G3">
    <cfRule type="cellIs" dxfId="340" priority="46" operator="equal">
      <formula>0</formula>
    </cfRule>
  </conditionalFormatting>
  <conditionalFormatting sqref="G2 G11">
    <cfRule type="cellIs" dxfId="339" priority="45" operator="equal">
      <formula>0</formula>
    </cfRule>
  </conditionalFormatting>
  <conditionalFormatting sqref="I21:I1048576 I15">
    <cfRule type="cellIs" dxfId="338" priority="43" operator="equal">
      <formula>0</formula>
    </cfRule>
  </conditionalFormatting>
  <conditionalFormatting sqref="I3">
    <cfRule type="cellIs" dxfId="337" priority="42" operator="equal">
      <formula>0</formula>
    </cfRule>
  </conditionalFormatting>
  <conditionalFormatting sqref="I2 I11">
    <cfRule type="cellIs" dxfId="336" priority="41" operator="equal">
      <formula>0</formula>
    </cfRule>
  </conditionalFormatting>
  <conditionalFormatting sqref="I7">
    <cfRule type="cellIs" dxfId="335" priority="40" operator="equal">
      <formula>0</formula>
    </cfRule>
  </conditionalFormatting>
  <conditionalFormatting sqref="I4">
    <cfRule type="cellIs" dxfId="334" priority="39" operator="equal">
      <formula>0</formula>
    </cfRule>
  </conditionalFormatting>
  <conditionalFormatting sqref="I6 I8:I9">
    <cfRule type="cellIs" dxfId="333" priority="38" operator="equal">
      <formula>0</formula>
    </cfRule>
  </conditionalFormatting>
  <conditionalFormatting sqref="J21:J1048576 J15">
    <cfRule type="cellIs" dxfId="332" priority="37" operator="equal">
      <formula>0</formula>
    </cfRule>
  </conditionalFormatting>
  <conditionalFormatting sqref="J3">
    <cfRule type="cellIs" dxfId="331" priority="36" operator="equal">
      <formula>0</formula>
    </cfRule>
  </conditionalFormatting>
  <conditionalFormatting sqref="J2 J11">
    <cfRule type="cellIs" dxfId="330" priority="35" operator="equal">
      <formula>0</formula>
    </cfRule>
  </conditionalFormatting>
  <conditionalFormatting sqref="J7">
    <cfRule type="cellIs" dxfId="329" priority="34" operator="equal">
      <formula>0</formula>
    </cfRule>
  </conditionalFormatting>
  <conditionalFormatting sqref="J4">
    <cfRule type="cellIs" dxfId="328" priority="33" operator="equal">
      <formula>0</formula>
    </cfRule>
  </conditionalFormatting>
  <conditionalFormatting sqref="J6 J8:J9">
    <cfRule type="cellIs" dxfId="327" priority="32" operator="equal">
      <formula>0</formula>
    </cfRule>
  </conditionalFormatting>
  <conditionalFormatting sqref="K21:K1048576 K15">
    <cfRule type="cellIs" dxfId="326" priority="30" operator="equal">
      <formula>0</formula>
    </cfRule>
  </conditionalFormatting>
  <conditionalFormatting sqref="K3">
    <cfRule type="cellIs" dxfId="325" priority="29" operator="equal">
      <formula>0</formula>
    </cfRule>
  </conditionalFormatting>
  <conditionalFormatting sqref="K2 K11">
    <cfRule type="cellIs" dxfId="324" priority="28" operator="equal">
      <formula>0</formula>
    </cfRule>
  </conditionalFormatting>
  <conditionalFormatting sqref="K7">
    <cfRule type="cellIs" dxfId="323" priority="27" operator="equal">
      <formula>0</formula>
    </cfRule>
  </conditionalFormatting>
  <conditionalFormatting sqref="K4">
    <cfRule type="cellIs" dxfId="322" priority="26" operator="equal">
      <formula>0</formula>
    </cfRule>
  </conditionalFormatting>
  <conditionalFormatting sqref="K6 K8:K9">
    <cfRule type="cellIs" dxfId="321" priority="25" operator="equal">
      <formula>0</formula>
    </cfRule>
  </conditionalFormatting>
  <conditionalFormatting sqref="L5 L10">
    <cfRule type="cellIs" dxfId="320" priority="8" operator="equal">
      <formula>0</formula>
    </cfRule>
  </conditionalFormatting>
  <conditionalFormatting sqref="L21:L1048576 L15">
    <cfRule type="cellIs" dxfId="319" priority="7" operator="equal">
      <formula>0</formula>
    </cfRule>
  </conditionalFormatting>
  <conditionalFormatting sqref="L3">
    <cfRule type="cellIs" dxfId="318" priority="6" operator="equal">
      <formula>0</formula>
    </cfRule>
  </conditionalFormatting>
  <conditionalFormatting sqref="L2 L11">
    <cfRule type="cellIs" dxfId="317" priority="5" operator="equal">
      <formula>0</formula>
    </cfRule>
  </conditionalFormatting>
  <conditionalFormatting sqref="L7">
    <cfRule type="cellIs" dxfId="316" priority="4" operator="equal">
      <formula>0</formula>
    </cfRule>
  </conditionalFormatting>
  <conditionalFormatting sqref="L4">
    <cfRule type="cellIs" dxfId="315" priority="3" operator="equal">
      <formula>0</formula>
    </cfRule>
  </conditionalFormatting>
  <conditionalFormatting sqref="L6 L8:L9">
    <cfRule type="cellIs" dxfId="314" priority="2" operator="equal">
      <formula>0</formula>
    </cfRule>
  </conditionalFormatting>
  <conditionalFormatting sqref="N6:P10">
    <cfRule type="cellIs" dxfId="313"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37">
    <tabColor rgb="FFA50021"/>
    <pageSetUpPr fitToPage="1"/>
  </sheetPr>
  <dimension ref="A1:P29"/>
  <sheetViews>
    <sheetView showGridLines="0" zoomScaleNormal="100" workbookViewId="0">
      <selection sqref="A1:M2"/>
    </sheetView>
  </sheetViews>
  <sheetFormatPr defaultColWidth="9.140625" defaultRowHeight="11.25"/>
  <cols>
    <col min="1" max="1" width="17.140625" style="8" customWidth="1"/>
    <col min="2" max="12" width="7.5703125" style="8" customWidth="1"/>
    <col min="13" max="16384" width="9.140625" style="8"/>
  </cols>
  <sheetData>
    <row r="1" spans="1:14" s="39" customFormat="1" ht="28.5" customHeight="1">
      <c r="A1" s="760" t="s">
        <v>731</v>
      </c>
      <c r="B1" s="760"/>
      <c r="C1" s="760"/>
      <c r="D1" s="760"/>
      <c r="E1" s="760"/>
      <c r="F1" s="760"/>
      <c r="G1" s="760"/>
      <c r="H1" s="760"/>
      <c r="I1" s="760"/>
      <c r="J1" s="760"/>
      <c r="K1" s="760"/>
      <c r="L1" s="760"/>
    </row>
    <row r="2" spans="1:14" s="41" customFormat="1" ht="15" customHeight="1">
      <c r="A2" s="149"/>
      <c r="B2" s="40"/>
      <c r="C2" s="40"/>
      <c r="D2" s="40"/>
      <c r="E2" s="40"/>
      <c r="F2" s="40"/>
      <c r="G2" s="40"/>
      <c r="H2" s="40"/>
      <c r="I2" s="40"/>
      <c r="J2" s="40"/>
      <c r="K2" s="40"/>
      <c r="L2" s="40"/>
    </row>
    <row r="3" spans="1:14" s="41" customFormat="1" ht="14.25" customHeight="1">
      <c r="A3" s="306" t="s">
        <v>14</v>
      </c>
      <c r="B3" s="451"/>
      <c r="C3" s="39"/>
      <c r="D3" s="40"/>
      <c r="E3" s="40"/>
      <c r="F3" s="40"/>
      <c r="G3" s="40"/>
      <c r="H3" s="40"/>
      <c r="I3" s="40"/>
      <c r="J3" s="40"/>
      <c r="K3" s="40"/>
      <c r="L3" s="40"/>
    </row>
    <row r="4" spans="1:14" s="44" customFormat="1" ht="28.5" customHeight="1" thickBot="1">
      <c r="A4" s="150"/>
      <c r="B4" s="160">
        <v>2013</v>
      </c>
      <c r="C4" s="160">
        <v>2014</v>
      </c>
      <c r="D4" s="160">
        <v>2015</v>
      </c>
      <c r="E4" s="160">
        <v>2016</v>
      </c>
      <c r="F4" s="160">
        <v>2017</v>
      </c>
      <c r="G4" s="160">
        <v>2018</v>
      </c>
      <c r="H4" s="160">
        <v>2019</v>
      </c>
      <c r="I4" s="160">
        <v>2020</v>
      </c>
      <c r="J4" s="160">
        <v>2021</v>
      </c>
      <c r="K4" s="160">
        <v>2022</v>
      </c>
      <c r="L4" s="160">
        <v>2023</v>
      </c>
    </row>
    <row r="5" spans="1:14" s="337" customFormat="1" ht="20.25" customHeight="1" thickTop="1">
      <c r="A5" s="208" t="s">
        <v>12</v>
      </c>
      <c r="B5" s="370">
        <v>1890511</v>
      </c>
      <c r="C5" s="370">
        <v>1928307</v>
      </c>
      <c r="D5" s="370">
        <v>1991131</v>
      </c>
      <c r="E5" s="370">
        <v>2054911</v>
      </c>
      <c r="F5" s="370">
        <v>2131943</v>
      </c>
      <c r="G5" s="370">
        <v>2205449</v>
      </c>
      <c r="H5" s="370">
        <v>2232400</v>
      </c>
      <c r="I5" s="370">
        <v>2164118</v>
      </c>
      <c r="J5" s="370">
        <v>2200594</v>
      </c>
      <c r="K5" s="370">
        <v>2376115</v>
      </c>
      <c r="L5" s="370">
        <v>2467600</v>
      </c>
      <c r="N5" s="44"/>
    </row>
    <row r="6" spans="1:14" ht="20.25" customHeight="1">
      <c r="A6" s="326" t="s">
        <v>118</v>
      </c>
      <c r="B6" s="371">
        <v>4602</v>
      </c>
      <c r="C6" s="371">
        <v>5299</v>
      </c>
      <c r="D6" s="371">
        <v>4830</v>
      </c>
      <c r="E6" s="371">
        <v>5114</v>
      </c>
      <c r="F6" s="371">
        <v>4504</v>
      </c>
      <c r="G6" s="371">
        <v>3892</v>
      </c>
      <c r="H6" s="371">
        <v>4213</v>
      </c>
      <c r="I6" s="371">
        <v>3675</v>
      </c>
      <c r="J6" s="371">
        <v>3820</v>
      </c>
      <c r="K6" s="371">
        <v>4185</v>
      </c>
      <c r="L6" s="371">
        <v>3854</v>
      </c>
      <c r="N6" s="44"/>
    </row>
    <row r="7" spans="1:14" ht="15" customHeight="1">
      <c r="A7" s="326" t="s">
        <v>119</v>
      </c>
      <c r="B7" s="371">
        <v>76522</v>
      </c>
      <c r="C7" s="371">
        <v>96190</v>
      </c>
      <c r="D7" s="371">
        <v>94391</v>
      </c>
      <c r="E7" s="371">
        <v>111160</v>
      </c>
      <c r="F7" s="371">
        <v>113811</v>
      </c>
      <c r="G7" s="371">
        <v>115227</v>
      </c>
      <c r="H7" s="371">
        <v>107826</v>
      </c>
      <c r="I7" s="371">
        <v>106652</v>
      </c>
      <c r="J7" s="371">
        <v>101440</v>
      </c>
      <c r="K7" s="371">
        <v>106931</v>
      </c>
      <c r="L7" s="371">
        <v>101620</v>
      </c>
      <c r="N7" s="44"/>
    </row>
    <row r="8" spans="1:14" ht="15" customHeight="1">
      <c r="A8" s="194" t="s">
        <v>707</v>
      </c>
      <c r="B8" s="372">
        <v>1175461</v>
      </c>
      <c r="C8" s="372">
        <v>1184863</v>
      </c>
      <c r="D8" s="372">
        <v>1223442</v>
      </c>
      <c r="E8" s="372">
        <v>1240882</v>
      </c>
      <c r="F8" s="372">
        <v>1261225</v>
      </c>
      <c r="G8" s="372">
        <v>1255162</v>
      </c>
      <c r="H8" s="372">
        <v>1212391</v>
      </c>
      <c r="I8" s="372">
        <v>1110879</v>
      </c>
      <c r="J8" s="372">
        <v>1069792</v>
      </c>
      <c r="K8" s="372">
        <v>1029091</v>
      </c>
      <c r="L8" s="372">
        <v>858643</v>
      </c>
    </row>
    <row r="9" spans="1:14" ht="15" customHeight="1">
      <c r="A9" s="157" t="s">
        <v>176</v>
      </c>
      <c r="B9" s="371">
        <v>318747</v>
      </c>
      <c r="C9" s="371">
        <v>324052</v>
      </c>
      <c r="D9" s="371">
        <v>340648</v>
      </c>
      <c r="E9" s="371">
        <v>358090</v>
      </c>
      <c r="F9" s="371">
        <v>390355</v>
      </c>
      <c r="G9" s="371">
        <v>433973</v>
      </c>
      <c r="H9" s="371">
        <v>476979</v>
      </c>
      <c r="I9" s="371">
        <v>496154</v>
      </c>
      <c r="J9" s="371">
        <v>542243</v>
      </c>
      <c r="K9" s="371">
        <v>657005</v>
      </c>
      <c r="L9" s="371">
        <v>816406</v>
      </c>
    </row>
    <row r="10" spans="1:14" ht="15" customHeight="1">
      <c r="A10" s="326" t="s">
        <v>177</v>
      </c>
      <c r="B10" s="371">
        <v>203125</v>
      </c>
      <c r="C10" s="371">
        <v>205599</v>
      </c>
      <c r="D10" s="371">
        <v>211987</v>
      </c>
      <c r="E10" s="371">
        <v>219147</v>
      </c>
      <c r="F10" s="371">
        <v>235210</v>
      </c>
      <c r="G10" s="371">
        <v>259576</v>
      </c>
      <c r="H10" s="371">
        <v>284340</v>
      </c>
      <c r="I10" s="371">
        <v>295953</v>
      </c>
      <c r="J10" s="371">
        <v>319188</v>
      </c>
      <c r="K10" s="371">
        <v>377436</v>
      </c>
      <c r="L10" s="371">
        <v>448121</v>
      </c>
    </row>
    <row r="11" spans="1:14" ht="15" customHeight="1">
      <c r="A11" s="326" t="s">
        <v>178</v>
      </c>
      <c r="B11" s="371">
        <v>73599</v>
      </c>
      <c r="C11" s="371">
        <v>73982</v>
      </c>
      <c r="D11" s="371">
        <v>76280</v>
      </c>
      <c r="E11" s="371">
        <v>79072</v>
      </c>
      <c r="F11" s="371">
        <v>83250</v>
      </c>
      <c r="G11" s="371">
        <v>90232</v>
      </c>
      <c r="H11" s="371">
        <v>96145</v>
      </c>
      <c r="I11" s="371">
        <v>99786</v>
      </c>
      <c r="J11" s="371">
        <v>107743</v>
      </c>
      <c r="K11" s="371">
        <v>131037</v>
      </c>
      <c r="L11" s="371">
        <v>152841</v>
      </c>
    </row>
    <row r="12" spans="1:14" ht="15" customHeight="1">
      <c r="A12" s="326" t="s">
        <v>179</v>
      </c>
      <c r="B12" s="371">
        <v>21344</v>
      </c>
      <c r="C12" s="371">
        <v>21232</v>
      </c>
      <c r="D12" s="371">
        <v>21937</v>
      </c>
      <c r="E12" s="371">
        <v>23194</v>
      </c>
      <c r="F12" s="371">
        <v>24313</v>
      </c>
      <c r="G12" s="371">
        <v>26441</v>
      </c>
      <c r="H12" s="371">
        <v>28479</v>
      </c>
      <c r="I12" s="371">
        <v>28950</v>
      </c>
      <c r="J12" s="371">
        <v>32106</v>
      </c>
      <c r="K12" s="371">
        <v>39500</v>
      </c>
      <c r="L12" s="371">
        <v>48240</v>
      </c>
    </row>
    <row r="13" spans="1:14" ht="15" customHeight="1">
      <c r="A13" s="326" t="s">
        <v>180</v>
      </c>
      <c r="B13" s="371">
        <v>17111</v>
      </c>
      <c r="C13" s="371">
        <v>17090</v>
      </c>
      <c r="D13" s="371">
        <v>17616</v>
      </c>
      <c r="E13" s="371">
        <v>18252</v>
      </c>
      <c r="F13" s="371">
        <v>19275</v>
      </c>
      <c r="G13" s="371">
        <v>20946</v>
      </c>
      <c r="H13" s="371">
        <v>22027</v>
      </c>
      <c r="I13" s="371">
        <v>22069</v>
      </c>
      <c r="J13" s="371">
        <v>24262</v>
      </c>
      <c r="K13" s="371">
        <v>30930</v>
      </c>
      <c r="L13" s="371">
        <v>37875</v>
      </c>
    </row>
    <row r="14" spans="1:14" s="170" customFormat="1" ht="15" customHeight="1">
      <c r="A14" s="152"/>
      <c r="B14" s="153"/>
      <c r="C14" s="153"/>
      <c r="D14" s="153"/>
      <c r="E14" s="153"/>
      <c r="F14" s="153"/>
      <c r="G14" s="153"/>
      <c r="H14" s="153"/>
      <c r="I14" s="153"/>
      <c r="J14" s="153"/>
      <c r="K14" s="153"/>
      <c r="L14" s="153"/>
    </row>
    <row r="15" spans="1:14" s="47" customFormat="1" ht="11.25" customHeight="1">
      <c r="A15" s="155" t="s">
        <v>120</v>
      </c>
      <c r="B15" s="154"/>
      <c r="C15" s="154"/>
      <c r="D15" s="154"/>
      <c r="E15" s="154"/>
      <c r="F15" s="154"/>
      <c r="G15" s="154"/>
      <c r="H15" s="154"/>
      <c r="I15" s="154"/>
      <c r="J15" s="154"/>
      <c r="K15" s="154"/>
      <c r="L15" s="154"/>
    </row>
    <row r="16" spans="1:14" s="44" customFormat="1" ht="11.25" customHeight="1">
      <c r="A16" s="208" t="s">
        <v>12</v>
      </c>
      <c r="B16" s="338">
        <v>100</v>
      </c>
      <c r="C16" s="338">
        <v>100</v>
      </c>
      <c r="D16" s="338">
        <v>100</v>
      </c>
      <c r="E16" s="338">
        <v>100</v>
      </c>
      <c r="F16" s="338">
        <v>100</v>
      </c>
      <c r="G16" s="338">
        <v>100</v>
      </c>
      <c r="H16" s="338">
        <v>100</v>
      </c>
      <c r="I16" s="338">
        <v>100</v>
      </c>
      <c r="J16" s="338">
        <v>100</v>
      </c>
      <c r="K16" s="338">
        <v>100</v>
      </c>
      <c r="L16" s="338">
        <v>100</v>
      </c>
    </row>
    <row r="17" spans="1:16" s="329" customFormat="1" ht="20.25" customHeight="1">
      <c r="A17" s="326" t="s">
        <v>118</v>
      </c>
      <c r="B17" s="151">
        <v>0.24342624824716702</v>
      </c>
      <c r="C17" s="151">
        <v>0.27480064118420977</v>
      </c>
      <c r="D17" s="151">
        <v>0.24257570195029862</v>
      </c>
      <c r="E17" s="151">
        <v>0.24886722587985563</v>
      </c>
      <c r="F17" s="151">
        <v>0.21126268385224184</v>
      </c>
      <c r="G17" s="151">
        <v>0.17647200184633607</v>
      </c>
      <c r="H17" s="151">
        <v>0.18872065938003943</v>
      </c>
      <c r="I17" s="151">
        <v>0.16981513947021373</v>
      </c>
      <c r="J17" s="151">
        <v>0.17358949447285596</v>
      </c>
      <c r="K17" s="151">
        <v>0.1761278389303548</v>
      </c>
      <c r="L17" s="151">
        <v>0.15618414653914733</v>
      </c>
    </row>
    <row r="18" spans="1:16" s="329" customFormat="1" ht="20.25" customHeight="1">
      <c r="A18" s="326" t="s">
        <v>119</v>
      </c>
      <c r="B18" s="151">
        <v>4.0476886936918115</v>
      </c>
      <c r="C18" s="151">
        <v>4.9883135828475442</v>
      </c>
      <c r="D18" s="151">
        <v>4.7405720668303593</v>
      </c>
      <c r="E18" s="151">
        <v>5.4094800212758605</v>
      </c>
      <c r="F18" s="151">
        <v>5.3383697406544171</v>
      </c>
      <c r="G18" s="151">
        <v>5.2246503999865785</v>
      </c>
      <c r="H18" s="151">
        <v>4.8300483784268051</v>
      </c>
      <c r="I18" s="151">
        <v>4.9281970761298597</v>
      </c>
      <c r="J18" s="151">
        <v>4.6096644814990855</v>
      </c>
      <c r="K18" s="151">
        <v>4.5002451480673287</v>
      </c>
      <c r="L18" s="151">
        <v>4.118171502674663</v>
      </c>
      <c r="N18" s="430"/>
    </row>
    <row r="19" spans="1:16" s="330" customFormat="1" ht="15" customHeight="1">
      <c r="A19" s="194" t="s">
        <v>707</v>
      </c>
      <c r="B19" s="151">
        <v>62.17689291413803</v>
      </c>
      <c r="C19" s="151">
        <v>61.445765637940433</v>
      </c>
      <c r="D19" s="151">
        <v>61.444575972148499</v>
      </c>
      <c r="E19" s="151">
        <v>60.386167576114005</v>
      </c>
      <c r="F19" s="151">
        <v>59.158476563397798</v>
      </c>
      <c r="G19" s="151">
        <v>56.911857857515635</v>
      </c>
      <c r="H19" s="151">
        <v>54.308860419279704</v>
      </c>
      <c r="I19" s="151">
        <v>51.331720359056213</v>
      </c>
      <c r="J19" s="151">
        <v>48.613783369399357</v>
      </c>
      <c r="K19" s="151">
        <v>43.309814550221688</v>
      </c>
      <c r="L19" s="151">
        <v>34.796685038093692</v>
      </c>
      <c r="M19" s="652"/>
      <c r="N19" s="652">
        <f>+L18+L19</f>
        <v>38.914856540768355</v>
      </c>
      <c r="O19" s="652">
        <f>+B18+B19</f>
        <v>66.224581607829847</v>
      </c>
    </row>
    <row r="20" spans="1:16" s="331" customFormat="1" ht="15" customHeight="1">
      <c r="A20" s="157" t="s">
        <v>176</v>
      </c>
      <c r="B20" s="151">
        <v>16.860362092577084</v>
      </c>
      <c r="C20" s="151">
        <v>16.805000448580024</v>
      </c>
      <c r="D20" s="151">
        <v>17.108266608274391</v>
      </c>
      <c r="E20" s="151">
        <v>17.426058841477808</v>
      </c>
      <c r="F20" s="151">
        <v>18.309823480271284</v>
      </c>
      <c r="G20" s="151">
        <v>19.677308339480987</v>
      </c>
      <c r="H20" s="151">
        <v>21.366197814011826</v>
      </c>
      <c r="I20" s="151">
        <v>22.926383866314129</v>
      </c>
      <c r="J20" s="151">
        <v>24.640756086765663</v>
      </c>
      <c r="K20" s="151">
        <v>27.650387291860874</v>
      </c>
      <c r="L20" s="151">
        <v>33.085021883611603</v>
      </c>
      <c r="M20" s="652"/>
      <c r="N20" s="652">
        <f>+L18-B18</f>
        <v>7.048280898285153E-2</v>
      </c>
      <c r="O20" s="652"/>
      <c r="P20" s="654">
        <f>+N19-O19</f>
        <v>-27.309725067061493</v>
      </c>
    </row>
    <row r="21" spans="1:16" s="331" customFormat="1" ht="15" customHeight="1">
      <c r="A21" s="326" t="s">
        <v>177</v>
      </c>
      <c r="B21" s="151">
        <v>10.744449516559278</v>
      </c>
      <c r="C21" s="151">
        <v>10.662150788230297</v>
      </c>
      <c r="D21" s="151">
        <v>10.646562179987153</v>
      </c>
      <c r="E21" s="151">
        <v>10.664549462239483</v>
      </c>
      <c r="F21" s="151">
        <v>11.032658940694006</v>
      </c>
      <c r="G21" s="151">
        <v>11.769757541434874</v>
      </c>
      <c r="H21" s="151">
        <v>12.736964701666368</v>
      </c>
      <c r="I21" s="151">
        <v>13.675455774592699</v>
      </c>
      <c r="J21" s="151">
        <v>14.504629204660196</v>
      </c>
      <c r="K21" s="151">
        <v>15.884584710756844</v>
      </c>
      <c r="L21" s="151">
        <v>18.160196142000324</v>
      </c>
      <c r="M21" s="652"/>
      <c r="N21" s="653">
        <f>+L19-B19</f>
        <v>-27.380207876044338</v>
      </c>
      <c r="O21" s="330"/>
    </row>
    <row r="22" spans="1:16" s="331" customFormat="1" ht="15" customHeight="1">
      <c r="A22" s="326" t="s">
        <v>178</v>
      </c>
      <c r="B22" s="151">
        <v>3.8930744121562904</v>
      </c>
      <c r="C22" s="151">
        <v>3.8366297482714113</v>
      </c>
      <c r="D22" s="151">
        <v>3.8309885185856678</v>
      </c>
      <c r="E22" s="151">
        <v>3.8479525390637357</v>
      </c>
      <c r="F22" s="151">
        <v>3.9048886391427917</v>
      </c>
      <c r="G22" s="151">
        <v>4.0913210869986107</v>
      </c>
      <c r="H22" s="151">
        <v>4.3067998566565135</v>
      </c>
      <c r="I22" s="151">
        <v>4.6109315665781621</v>
      </c>
      <c r="J22" s="151">
        <v>4.8960871473792986</v>
      </c>
      <c r="K22" s="151">
        <v>5.5147583345082207</v>
      </c>
      <c r="L22" s="151">
        <v>6.1939131139568806</v>
      </c>
    </row>
    <row r="23" spans="1:16" s="331" customFormat="1" ht="15" customHeight="1">
      <c r="A23" s="326" t="s">
        <v>179</v>
      </c>
      <c r="B23" s="151">
        <v>1.1290069192932493</v>
      </c>
      <c r="C23" s="151">
        <v>1.1010694873793436</v>
      </c>
      <c r="D23" s="151">
        <v>1.1017356467254038</v>
      </c>
      <c r="E23" s="151">
        <v>1.12871068382037</v>
      </c>
      <c r="F23" s="151">
        <v>1.1404151049066509</v>
      </c>
      <c r="G23" s="151">
        <v>1.1988941934272794</v>
      </c>
      <c r="H23" s="151">
        <v>1.275712237950188</v>
      </c>
      <c r="I23" s="151">
        <v>1.3377274252143367</v>
      </c>
      <c r="J23" s="151">
        <v>1.4589697145407103</v>
      </c>
      <c r="K23" s="151">
        <v>1.6623774522697765</v>
      </c>
      <c r="L23" s="151">
        <v>1.9549359701734479</v>
      </c>
      <c r="N23" s="330"/>
    </row>
    <row r="24" spans="1:16" s="330" customFormat="1" ht="15" customHeight="1">
      <c r="A24" s="37" t="s">
        <v>180</v>
      </c>
      <c r="B24" s="151">
        <v>0.90509920333708715</v>
      </c>
      <c r="C24" s="151">
        <v>0.88626966556673814</v>
      </c>
      <c r="D24" s="151">
        <v>0.88472330549823186</v>
      </c>
      <c r="E24" s="151">
        <v>0.88821365012888631</v>
      </c>
      <c r="F24" s="223">
        <v>0.90410484708080852</v>
      </c>
      <c r="G24" s="223">
        <v>0.94973857930970074</v>
      </c>
      <c r="H24" s="223">
        <v>0.98669593262856115</v>
      </c>
      <c r="I24" s="223">
        <v>1.0197687926443937</v>
      </c>
      <c r="J24" s="223">
        <v>1.1025205012828354</v>
      </c>
      <c r="K24" s="223">
        <v>1.301704673384916</v>
      </c>
      <c r="L24" s="223">
        <v>1.5348922029502352</v>
      </c>
    </row>
    <row r="25" spans="1:16" s="330" customFormat="1" ht="25.5" customHeight="1">
      <c r="A25" s="809" t="s">
        <v>730</v>
      </c>
      <c r="B25" s="809"/>
      <c r="C25" s="809"/>
      <c r="D25" s="809"/>
      <c r="E25" s="809"/>
      <c r="F25" s="809"/>
      <c r="G25" s="809"/>
      <c r="H25" s="809"/>
      <c r="I25" s="809"/>
      <c r="J25" s="809"/>
      <c r="K25" s="809"/>
      <c r="L25" s="809"/>
    </row>
    <row r="26" spans="1:16" s="166" customFormat="1" ht="15" customHeight="1">
      <c r="A26" s="222" t="s">
        <v>138</v>
      </c>
      <c r="B26" s="156"/>
      <c r="C26" s="156"/>
      <c r="D26" s="156"/>
      <c r="E26" s="156"/>
      <c r="F26" s="156"/>
      <c r="G26" s="156"/>
      <c r="H26" s="156"/>
      <c r="I26" s="156"/>
      <c r="J26" s="156"/>
      <c r="K26" s="156"/>
      <c r="L26" s="156"/>
    </row>
    <row r="27" spans="1:16" s="166" customFormat="1" ht="4.5" customHeight="1"/>
    <row r="28" spans="1:16" ht="15" customHeight="1">
      <c r="A28" s="808" t="s">
        <v>129</v>
      </c>
      <c r="B28" s="808"/>
      <c r="C28" s="808"/>
      <c r="D28" s="808"/>
      <c r="E28" s="808"/>
      <c r="F28" s="808"/>
      <c r="G28" s="808"/>
      <c r="H28" s="808"/>
      <c r="I28" s="808"/>
      <c r="J28" s="808"/>
      <c r="K28" s="808"/>
      <c r="L28" s="808"/>
    </row>
    <row r="29" spans="1:16" ht="25.5" customHeight="1"/>
  </sheetData>
  <mergeCells count="3">
    <mergeCell ref="A28:L28"/>
    <mergeCell ref="A1:L1"/>
    <mergeCell ref="A25:L25"/>
  </mergeCells>
  <conditionalFormatting sqref="A1 A28 M18 M1:N4 B26:D26 A30:D1048576 A2:D4 A6:K6 A14:D15 A8:J8 A5:L5 A7:L7 A9:L9 O1:XFD14 N5:N14 O18:XFD19 M15:XFD17 M27:XFD1048576 O23:XFD26 P20:XFD22 M23:M26 B10:J13 A9:A13 A16:L24">
    <cfRule type="cellIs" dxfId="312" priority="47" operator="equal">
      <formula>0</formula>
    </cfRule>
  </conditionalFormatting>
  <conditionalFormatting sqref="A26">
    <cfRule type="cellIs" dxfId="311" priority="46" operator="equal">
      <formula>0</formula>
    </cfRule>
  </conditionalFormatting>
  <conditionalFormatting sqref="E26 E30:E1048576 E2:E4 E14:E15">
    <cfRule type="cellIs" dxfId="310" priority="45" operator="equal">
      <formula>0</formula>
    </cfRule>
  </conditionalFormatting>
  <conditionalFormatting sqref="F26 F30:F1048576 F2:F4 F14:F15 G4:H4">
    <cfRule type="cellIs" dxfId="309" priority="42" operator="equal">
      <formula>0</formula>
    </cfRule>
  </conditionalFormatting>
  <conditionalFormatting sqref="H26 H30:H1048576 H2:H3 H14:H15">
    <cfRule type="cellIs" dxfId="308" priority="36" operator="equal">
      <formula>0</formula>
    </cfRule>
  </conditionalFormatting>
  <conditionalFormatting sqref="G26 G30:G1048576 G2:G3 G14:G15">
    <cfRule type="cellIs" dxfId="307" priority="29" operator="equal">
      <formula>0</formula>
    </cfRule>
  </conditionalFormatting>
  <conditionalFormatting sqref="I4">
    <cfRule type="cellIs" dxfId="306" priority="27" operator="equal">
      <formula>0</formula>
    </cfRule>
  </conditionalFormatting>
  <conditionalFormatting sqref="I26 I30:I1048576 I2:I3 I14:I15">
    <cfRule type="cellIs" dxfId="305" priority="25" operator="equal">
      <formula>0</formula>
    </cfRule>
  </conditionalFormatting>
  <conditionalFormatting sqref="J4">
    <cfRule type="cellIs" dxfId="304" priority="23" operator="equal">
      <formula>0</formula>
    </cfRule>
  </conditionalFormatting>
  <conditionalFormatting sqref="J26 J30:J1048576 J2:J3 J14:J15">
    <cfRule type="cellIs" dxfId="303" priority="21" operator="equal">
      <formula>0</formula>
    </cfRule>
  </conditionalFormatting>
  <conditionalFormatting sqref="N23:N26">
    <cfRule type="cellIs" dxfId="302" priority="18" operator="equal">
      <formula>0</formula>
    </cfRule>
    <cfRule type="cellIs" priority="19" operator="equal">
      <formula>0</formula>
    </cfRule>
  </conditionalFormatting>
  <conditionalFormatting sqref="K10:K13">
    <cfRule type="cellIs" dxfId="301" priority="16" operator="equal">
      <formula>0</formula>
    </cfRule>
  </conditionalFormatting>
  <conditionalFormatting sqref="K4">
    <cfRule type="cellIs" dxfId="300" priority="15" operator="equal">
      <formula>0</formula>
    </cfRule>
  </conditionalFormatting>
  <conditionalFormatting sqref="K26 K30:K1048576 K2:K3 K14:K15">
    <cfRule type="cellIs" dxfId="299" priority="13" operator="equal">
      <formula>0</formula>
    </cfRule>
  </conditionalFormatting>
  <conditionalFormatting sqref="K8">
    <cfRule type="cellIs" dxfId="298" priority="12" operator="equal">
      <formula>0</formula>
    </cfRule>
  </conditionalFormatting>
  <conditionalFormatting sqref="L6">
    <cfRule type="cellIs" dxfId="297" priority="9" operator="equal">
      <formula>0</formula>
    </cfRule>
  </conditionalFormatting>
  <conditionalFormatting sqref="L10:L13">
    <cfRule type="cellIs" dxfId="296" priority="8" operator="equal">
      <formula>0</formula>
    </cfRule>
  </conditionalFormatting>
  <conditionalFormatting sqref="L4">
    <cfRule type="cellIs" dxfId="295" priority="7" operator="equal">
      <formula>0</formula>
    </cfRule>
  </conditionalFormatting>
  <conditionalFormatting sqref="L26 L30:L1048576 L2:L3 L14:L15">
    <cfRule type="cellIs" dxfId="294" priority="6" operator="equal">
      <formula>0</formula>
    </cfRule>
  </conditionalFormatting>
  <conditionalFormatting sqref="L8">
    <cfRule type="cellIs" dxfId="293" priority="5" operator="equal">
      <formula>0</formula>
    </cfRule>
  </conditionalFormatting>
  <conditionalFormatting sqref="O19:O21">
    <cfRule type="cellIs" dxfId="292" priority="3" operator="equal">
      <formula>0</formula>
    </cfRule>
    <cfRule type="cellIs" priority="4" operator="equal">
      <formula>0</formula>
    </cfRule>
  </conditionalFormatting>
  <conditionalFormatting sqref="A25">
    <cfRule type="cellIs" dxfId="291" priority="1" operator="equal">
      <formula>0</formula>
    </cfRule>
    <cfRule type="cellIs" priority="2"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8">
    <tabColor rgb="FFA50021"/>
    <pageSetUpPr fitToPage="1"/>
  </sheetPr>
  <dimension ref="A1:X31"/>
  <sheetViews>
    <sheetView showGridLines="0" workbookViewId="0">
      <selection sqref="A1:M2"/>
    </sheetView>
  </sheetViews>
  <sheetFormatPr defaultColWidth="9.140625" defaultRowHeight="11.25"/>
  <cols>
    <col min="1" max="1" width="17.140625" style="198" customWidth="1"/>
    <col min="2" max="12" width="7.5703125" style="198" customWidth="1"/>
    <col min="13" max="13" width="10" style="198" bestFit="1" customWidth="1"/>
    <col min="14" max="16384" width="9.140625" style="198"/>
  </cols>
  <sheetData>
    <row r="1" spans="1:13" s="169" customFormat="1" ht="28.5" customHeight="1">
      <c r="A1" s="810" t="s">
        <v>733</v>
      </c>
      <c r="B1" s="810"/>
      <c r="C1" s="810"/>
      <c r="D1" s="810"/>
      <c r="E1" s="810"/>
      <c r="F1" s="810"/>
      <c r="G1" s="810"/>
      <c r="H1" s="810"/>
      <c r="I1" s="810"/>
      <c r="J1" s="810"/>
      <c r="K1" s="810"/>
      <c r="L1" s="810"/>
    </row>
    <row r="2" spans="1:13" s="195" customFormat="1" ht="15" customHeight="1">
      <c r="A2" s="149"/>
      <c r="B2" s="149"/>
      <c r="C2" s="149"/>
      <c r="D2" s="149"/>
      <c r="E2" s="149"/>
      <c r="F2" s="149"/>
      <c r="G2" s="149"/>
      <c r="H2" s="149"/>
      <c r="I2" s="149"/>
      <c r="J2" s="149"/>
      <c r="K2" s="149"/>
      <c r="L2" s="149"/>
      <c r="M2" s="169"/>
    </row>
    <row r="3" spans="1:13" s="195" customFormat="1" ht="14.25" customHeight="1">
      <c r="A3" s="149" t="s">
        <v>14</v>
      </c>
      <c r="B3" s="328"/>
      <c r="C3" s="328"/>
      <c r="D3" s="328"/>
      <c r="E3" s="328"/>
      <c r="F3" s="328"/>
      <c r="G3" s="328"/>
      <c r="H3" s="149"/>
      <c r="I3" s="149"/>
      <c r="J3" s="149"/>
      <c r="K3" s="149"/>
      <c r="L3" s="149"/>
      <c r="M3" s="169"/>
    </row>
    <row r="4" spans="1:13" s="197" customFormat="1" ht="28.5" customHeight="1" thickBot="1">
      <c r="A4" s="107"/>
      <c r="B4" s="163">
        <v>2013</v>
      </c>
      <c r="C4" s="163">
        <v>2014</v>
      </c>
      <c r="D4" s="163">
        <v>2015</v>
      </c>
      <c r="E4" s="163">
        <v>2016</v>
      </c>
      <c r="F4" s="163">
        <v>2017</v>
      </c>
      <c r="G4" s="163">
        <v>2018</v>
      </c>
      <c r="H4" s="163">
        <v>2019</v>
      </c>
      <c r="I4" s="163">
        <v>2020</v>
      </c>
      <c r="J4" s="163">
        <v>2021</v>
      </c>
      <c r="K4" s="163">
        <v>2022</v>
      </c>
      <c r="L4" s="163">
        <v>2023</v>
      </c>
      <c r="M4" s="169"/>
    </row>
    <row r="5" spans="1:13" s="99" customFormat="1" ht="29.25" customHeight="1" thickTop="1">
      <c r="A5" s="301" t="s">
        <v>124</v>
      </c>
      <c r="B5" s="397">
        <v>1890511</v>
      </c>
      <c r="C5" s="397">
        <v>1928307</v>
      </c>
      <c r="D5" s="397">
        <v>1991131</v>
      </c>
      <c r="E5" s="397">
        <v>2054911</v>
      </c>
      <c r="F5" s="398">
        <v>2131943</v>
      </c>
      <c r="G5" s="398">
        <v>2205449</v>
      </c>
      <c r="H5" s="398">
        <v>2232400</v>
      </c>
      <c r="I5" s="398">
        <v>2164118</v>
      </c>
      <c r="J5" s="398">
        <v>2200594</v>
      </c>
      <c r="K5" s="398">
        <v>2376115</v>
      </c>
      <c r="L5" s="398">
        <v>2467600</v>
      </c>
      <c r="M5" s="169"/>
    </row>
    <row r="6" spans="1:13" s="148" customFormat="1" ht="29.25" customHeight="1">
      <c r="A6" s="307" t="s">
        <v>121</v>
      </c>
      <c r="B6" s="397">
        <v>785.45</v>
      </c>
      <c r="C6" s="397">
        <v>786.99</v>
      </c>
      <c r="D6" s="397">
        <v>790.03</v>
      </c>
      <c r="E6" s="397">
        <v>800</v>
      </c>
      <c r="F6" s="398">
        <v>822.95</v>
      </c>
      <c r="G6" s="398">
        <v>854.8</v>
      </c>
      <c r="H6" s="398">
        <v>892.01</v>
      </c>
      <c r="I6" s="398">
        <v>926.14</v>
      </c>
      <c r="J6" s="398">
        <v>962.2</v>
      </c>
      <c r="K6" s="398">
        <v>1017.5</v>
      </c>
      <c r="L6" s="398">
        <v>1100.17</v>
      </c>
      <c r="M6" s="655">
        <f>+(L6/B6-1)*100</f>
        <v>40.068750397861109</v>
      </c>
    </row>
    <row r="7" spans="1:13" s="148" customFormat="1" ht="20.25" customHeight="1">
      <c r="A7" s="56" t="s">
        <v>122</v>
      </c>
      <c r="B7" s="371"/>
      <c r="C7" s="371"/>
      <c r="D7" s="371"/>
      <c r="E7" s="371"/>
      <c r="F7" s="372"/>
      <c r="G7" s="372"/>
      <c r="H7" s="372"/>
      <c r="I7" s="372"/>
      <c r="J7" s="372"/>
      <c r="K7" s="372"/>
      <c r="L7" s="372"/>
      <c r="M7" s="169"/>
    </row>
    <row r="8" spans="1:13" s="148" customFormat="1" ht="19.5" customHeight="1">
      <c r="A8" s="58" t="s">
        <v>106</v>
      </c>
      <c r="B8" s="371">
        <v>502.41</v>
      </c>
      <c r="C8" s="371">
        <v>517.54999999999995</v>
      </c>
      <c r="D8" s="371">
        <v>518.95000000000005</v>
      </c>
      <c r="E8" s="371">
        <v>541.09</v>
      </c>
      <c r="F8" s="372">
        <v>568.88</v>
      </c>
      <c r="G8" s="372">
        <v>593.04999999999995</v>
      </c>
      <c r="H8" s="372">
        <v>615.49</v>
      </c>
      <c r="I8" s="372">
        <v>651.89</v>
      </c>
      <c r="J8" s="372">
        <v>684.62</v>
      </c>
      <c r="K8" s="372">
        <v>726.79</v>
      </c>
      <c r="L8" s="372">
        <v>786.12</v>
      </c>
      <c r="M8" s="453"/>
    </row>
    <row r="9" spans="1:13" s="148" customFormat="1" ht="14.25" customHeight="1">
      <c r="A9" s="58" t="s">
        <v>107</v>
      </c>
      <c r="B9" s="371">
        <v>565.75</v>
      </c>
      <c r="C9" s="371">
        <v>580.52</v>
      </c>
      <c r="D9" s="371">
        <v>581.94000000000005</v>
      </c>
      <c r="E9" s="371">
        <v>600.67999999999995</v>
      </c>
      <c r="F9" s="372">
        <v>630.6</v>
      </c>
      <c r="G9" s="372">
        <v>660.08</v>
      </c>
      <c r="H9" s="372">
        <v>687.04</v>
      </c>
      <c r="I9" s="372">
        <v>720.8</v>
      </c>
      <c r="J9" s="372">
        <v>751.73</v>
      </c>
      <c r="K9" s="372">
        <v>795.53</v>
      </c>
      <c r="L9" s="372">
        <v>863.33</v>
      </c>
      <c r="M9" s="169"/>
    </row>
    <row r="10" spans="1:13" s="148" customFormat="1" ht="14.25" customHeight="1">
      <c r="A10" s="58" t="s">
        <v>108</v>
      </c>
      <c r="B10" s="371">
        <v>612.33000000000004</v>
      </c>
      <c r="C10" s="371">
        <v>622.01</v>
      </c>
      <c r="D10" s="371">
        <v>622.59</v>
      </c>
      <c r="E10" s="371">
        <v>637.89</v>
      </c>
      <c r="F10" s="372">
        <v>666.63</v>
      </c>
      <c r="G10" s="372">
        <v>697.55</v>
      </c>
      <c r="H10" s="372">
        <v>726.15</v>
      </c>
      <c r="I10" s="372">
        <v>756.5</v>
      </c>
      <c r="J10" s="372">
        <v>787.93</v>
      </c>
      <c r="K10" s="372">
        <v>832.19</v>
      </c>
      <c r="L10" s="372">
        <v>904.46</v>
      </c>
      <c r="M10" s="169"/>
    </row>
    <row r="11" spans="1:13" s="148" customFormat="1" ht="14.25" customHeight="1">
      <c r="A11" s="58" t="s">
        <v>109</v>
      </c>
      <c r="B11" s="371">
        <v>668.74</v>
      </c>
      <c r="C11" s="371">
        <v>673.51</v>
      </c>
      <c r="D11" s="371">
        <v>675.9</v>
      </c>
      <c r="E11" s="371">
        <v>687.11</v>
      </c>
      <c r="F11" s="372">
        <v>713.34</v>
      </c>
      <c r="G11" s="372">
        <v>744.93</v>
      </c>
      <c r="H11" s="372">
        <v>776.91</v>
      </c>
      <c r="I11" s="372">
        <v>809.55</v>
      </c>
      <c r="J11" s="372">
        <v>843.68</v>
      </c>
      <c r="K11" s="372">
        <v>892.08</v>
      </c>
      <c r="L11" s="372">
        <v>967.54</v>
      </c>
    </row>
    <row r="12" spans="1:13" s="148" customFormat="1" ht="14.25" customHeight="1">
      <c r="A12" s="58" t="s">
        <v>110</v>
      </c>
      <c r="B12" s="371">
        <v>742.51</v>
      </c>
      <c r="C12" s="371">
        <v>744.94</v>
      </c>
      <c r="D12" s="371">
        <v>748.82</v>
      </c>
      <c r="E12" s="371">
        <v>758.29</v>
      </c>
      <c r="F12" s="372">
        <v>782.49</v>
      </c>
      <c r="G12" s="372">
        <v>814.41</v>
      </c>
      <c r="H12" s="372">
        <v>849.92</v>
      </c>
      <c r="I12" s="372">
        <v>884.65</v>
      </c>
      <c r="J12" s="372">
        <v>918.75</v>
      </c>
      <c r="K12" s="372">
        <v>971.89</v>
      </c>
      <c r="L12" s="372">
        <v>1050.28</v>
      </c>
    </row>
    <row r="13" spans="1:13" s="148" customFormat="1" ht="14.25" customHeight="1">
      <c r="A13" s="58" t="s">
        <v>111</v>
      </c>
      <c r="B13" s="371">
        <v>837.14</v>
      </c>
      <c r="C13" s="371">
        <v>836.57</v>
      </c>
      <c r="D13" s="371">
        <v>841.18</v>
      </c>
      <c r="E13" s="371">
        <v>849.51</v>
      </c>
      <c r="F13" s="372">
        <v>872.87</v>
      </c>
      <c r="G13" s="372">
        <v>905.46</v>
      </c>
      <c r="H13" s="372">
        <v>945.3</v>
      </c>
      <c r="I13" s="372">
        <v>982.04</v>
      </c>
      <c r="J13" s="372">
        <v>1019.55</v>
      </c>
      <c r="K13" s="372">
        <v>1077.81</v>
      </c>
      <c r="L13" s="372">
        <v>1161.1199999999999</v>
      </c>
    </row>
    <row r="14" spans="1:13" s="148" customFormat="1" ht="14.25" customHeight="1">
      <c r="A14" s="58" t="s">
        <v>112</v>
      </c>
      <c r="B14" s="371">
        <v>975.81</v>
      </c>
      <c r="C14" s="371">
        <v>971.94</v>
      </c>
      <c r="D14" s="371">
        <v>976.82</v>
      </c>
      <c r="E14" s="371">
        <v>983.8</v>
      </c>
      <c r="F14" s="372">
        <v>1007.14</v>
      </c>
      <c r="G14" s="372">
        <v>1044.1400000000001</v>
      </c>
      <c r="H14" s="372">
        <v>1088.52</v>
      </c>
      <c r="I14" s="372">
        <v>1132.48</v>
      </c>
      <c r="J14" s="372">
        <v>1173.75</v>
      </c>
      <c r="K14" s="372">
        <v>1239.4100000000001</v>
      </c>
      <c r="L14" s="372">
        <v>1330.62</v>
      </c>
    </row>
    <row r="15" spans="1:13" s="148" customFormat="1" ht="14.25" customHeight="1">
      <c r="A15" s="58" t="s">
        <v>113</v>
      </c>
      <c r="B15" s="371">
        <v>1201.6300000000001</v>
      </c>
      <c r="C15" s="371">
        <v>1195.08</v>
      </c>
      <c r="D15" s="371">
        <v>1199.49</v>
      </c>
      <c r="E15" s="371">
        <v>1202.99</v>
      </c>
      <c r="F15" s="372">
        <v>1225.68</v>
      </c>
      <c r="G15" s="372">
        <v>1266.6400000000001</v>
      </c>
      <c r="H15" s="372">
        <v>1314.59</v>
      </c>
      <c r="I15" s="372">
        <v>1363.34</v>
      </c>
      <c r="J15" s="372">
        <v>1407.67</v>
      </c>
      <c r="K15" s="372">
        <v>1484.44</v>
      </c>
      <c r="L15" s="372">
        <v>1587.73</v>
      </c>
    </row>
    <row r="16" spans="1:13" s="148" customFormat="1" ht="14.25" customHeight="1">
      <c r="A16" s="58" t="s">
        <v>114</v>
      </c>
      <c r="B16" s="371">
        <v>1606.65</v>
      </c>
      <c r="C16" s="371">
        <v>1596.19</v>
      </c>
      <c r="D16" s="371">
        <v>1593.99</v>
      </c>
      <c r="E16" s="371">
        <v>1597.23</v>
      </c>
      <c r="F16" s="372">
        <v>1617.01</v>
      </c>
      <c r="G16" s="372">
        <v>1663.94</v>
      </c>
      <c r="H16" s="372">
        <v>1717.19</v>
      </c>
      <c r="I16" s="372">
        <v>1773.49</v>
      </c>
      <c r="J16" s="372">
        <v>1827.6</v>
      </c>
      <c r="K16" s="372">
        <v>1929.98</v>
      </c>
      <c r="L16" s="372">
        <v>2057.54</v>
      </c>
    </row>
    <row r="17" spans="1:24" s="148" customFormat="1" ht="14.25" customHeight="1">
      <c r="A17" s="58" t="s">
        <v>115</v>
      </c>
      <c r="B17" s="371">
        <v>3225.2</v>
      </c>
      <c r="C17" s="371">
        <v>3193.76</v>
      </c>
      <c r="D17" s="371">
        <v>3206.88</v>
      </c>
      <c r="E17" s="371">
        <v>3219.96</v>
      </c>
      <c r="F17" s="372">
        <v>3248.78</v>
      </c>
      <c r="G17" s="372">
        <v>3312.32</v>
      </c>
      <c r="H17" s="372">
        <v>3378.28</v>
      </c>
      <c r="I17" s="372">
        <v>3432.76</v>
      </c>
      <c r="J17" s="372">
        <v>3525.8</v>
      </c>
      <c r="K17" s="372">
        <v>3729.82</v>
      </c>
      <c r="L17" s="372">
        <v>3957.82</v>
      </c>
    </row>
    <row r="18" spans="1:24" s="148" customFormat="1" ht="29.25" customHeight="1">
      <c r="A18" s="304" t="s">
        <v>125</v>
      </c>
      <c r="B18" s="102">
        <v>523.63</v>
      </c>
      <c r="C18" s="102">
        <v>524.66</v>
      </c>
      <c r="D18" s="102">
        <v>526.69000000000005</v>
      </c>
      <c r="E18" s="102">
        <v>533.33000000000004</v>
      </c>
      <c r="F18" s="303">
        <v>548.63</v>
      </c>
      <c r="G18" s="303">
        <v>569.87</v>
      </c>
      <c r="H18" s="303">
        <v>594.66999999999996</v>
      </c>
      <c r="I18" s="303">
        <v>617.42999999999995</v>
      </c>
      <c r="J18" s="303">
        <v>641.47</v>
      </c>
      <c r="K18" s="303">
        <v>678.33</v>
      </c>
      <c r="L18" s="303">
        <v>733.45</v>
      </c>
    </row>
    <row r="19" spans="1:24" s="148" customFormat="1" ht="29.25" customHeight="1">
      <c r="A19" s="302" t="s">
        <v>123</v>
      </c>
      <c r="B19" s="305">
        <v>7.59</v>
      </c>
      <c r="C19" s="305">
        <v>6.78</v>
      </c>
      <c r="D19" s="305">
        <v>6.7</v>
      </c>
      <c r="E19" s="305">
        <v>5.86</v>
      </c>
      <c r="F19" s="305">
        <v>0.19</v>
      </c>
      <c r="G19" s="305">
        <v>0.16</v>
      </c>
      <c r="H19" s="305">
        <v>0.18</v>
      </c>
      <c r="I19" s="305">
        <v>0.14000000000000001</v>
      </c>
      <c r="J19" s="305">
        <v>0.11</v>
      </c>
      <c r="K19" s="305">
        <v>0.11</v>
      </c>
      <c r="L19" s="305">
        <v>0.1</v>
      </c>
    </row>
    <row r="20" spans="1:24" s="148" customFormat="1" ht="18.75" customHeight="1">
      <c r="A20" s="58" t="s">
        <v>116</v>
      </c>
      <c r="B20" s="161">
        <v>5.46</v>
      </c>
      <c r="C20" s="161">
        <v>5.01</v>
      </c>
      <c r="D20" s="161">
        <v>4.99</v>
      </c>
      <c r="E20" s="161">
        <v>4.38</v>
      </c>
      <c r="F20" s="161">
        <v>0.1</v>
      </c>
      <c r="G20" s="161">
        <v>0.08</v>
      </c>
      <c r="H20" s="161">
        <v>0.09</v>
      </c>
      <c r="I20" s="161">
        <v>7.0000000000000007E-2</v>
      </c>
      <c r="J20" s="161">
        <v>7.0000000000000007E-2</v>
      </c>
      <c r="K20" s="161">
        <v>0.08</v>
      </c>
      <c r="L20" s="161">
        <v>0.08</v>
      </c>
    </row>
    <row r="21" spans="1:24" s="148" customFormat="1" ht="14.25" customHeight="1">
      <c r="A21" s="60" t="s">
        <v>117</v>
      </c>
      <c r="B21" s="162">
        <v>10.09</v>
      </c>
      <c r="C21" s="162">
        <v>8.8699999999999992</v>
      </c>
      <c r="D21" s="162">
        <v>8.6999999999999993</v>
      </c>
      <c r="E21" s="162">
        <v>7.59</v>
      </c>
      <c r="F21" s="162">
        <v>0.28999999999999998</v>
      </c>
      <c r="G21" s="162">
        <v>0.24</v>
      </c>
      <c r="H21" s="162">
        <v>0.28000000000000003</v>
      </c>
      <c r="I21" s="162">
        <v>0.21</v>
      </c>
      <c r="J21" s="162">
        <v>0.15</v>
      </c>
      <c r="K21" s="162">
        <v>0.15</v>
      </c>
      <c r="L21" s="162">
        <v>0.13</v>
      </c>
    </row>
    <row r="22" spans="1:24" s="78" customFormat="1" ht="15" customHeight="1">
      <c r="A22" s="222" t="s">
        <v>138</v>
      </c>
      <c r="B22" s="293"/>
      <c r="C22" s="293"/>
      <c r="D22" s="308"/>
      <c r="E22" s="308"/>
      <c r="F22" s="308"/>
      <c r="G22" s="308"/>
      <c r="H22" s="335"/>
      <c r="I22" s="335"/>
      <c r="J22" s="335"/>
      <c r="K22" s="335"/>
      <c r="L22" s="335"/>
    </row>
    <row r="23" spans="1:24" ht="11.25" customHeight="1">
      <c r="A23" s="807" t="s">
        <v>202</v>
      </c>
      <c r="B23" s="807"/>
      <c r="C23" s="807"/>
      <c r="D23" s="807"/>
      <c r="E23" s="807"/>
      <c r="F23" s="807"/>
      <c r="G23" s="807"/>
      <c r="H23" s="807"/>
      <c r="I23" s="807"/>
      <c r="J23" s="807"/>
      <c r="K23" s="807"/>
      <c r="L23" s="807"/>
    </row>
    <row r="24" spans="1:24" s="316" customFormat="1" ht="11.25" customHeight="1">
      <c r="A24" s="807" t="s">
        <v>143</v>
      </c>
      <c r="B24" s="807"/>
      <c r="C24" s="807"/>
      <c r="D24" s="807"/>
      <c r="E24" s="807"/>
      <c r="F24" s="807"/>
      <c r="G24" s="807"/>
      <c r="H24" s="807"/>
      <c r="I24" s="807"/>
      <c r="J24" s="807"/>
      <c r="K24" s="807"/>
      <c r="L24" s="807"/>
    </row>
    <row r="25" spans="1:24" s="316" customFormat="1">
      <c r="D25" s="317"/>
      <c r="E25" s="317"/>
      <c r="F25" s="317"/>
      <c r="G25" s="317"/>
      <c r="H25" s="148"/>
      <c r="I25" s="148"/>
      <c r="J25" s="148"/>
      <c r="K25" s="148"/>
      <c r="L25" s="148"/>
    </row>
    <row r="26" spans="1:24" s="316" customFormat="1">
      <c r="D26" s="317"/>
      <c r="E26" s="317"/>
      <c r="F26" s="317"/>
      <c r="G26" s="317"/>
    </row>
    <row r="28" spans="1:24">
      <c r="N28" s="561"/>
      <c r="O28" s="561"/>
      <c r="P28" s="561"/>
      <c r="Q28" s="561"/>
      <c r="R28" s="561"/>
      <c r="S28" s="561"/>
      <c r="T28" s="561"/>
      <c r="U28" s="561"/>
      <c r="V28" s="561"/>
      <c r="W28" s="561"/>
      <c r="X28" s="561"/>
    </row>
    <row r="29" spans="1:24">
      <c r="M29" s="302"/>
      <c r="N29" s="305"/>
      <c r="O29" s="305"/>
      <c r="P29" s="305"/>
      <c r="Q29" s="305"/>
      <c r="R29" s="305"/>
      <c r="S29" s="305"/>
      <c r="T29" s="305"/>
      <c r="U29" s="305"/>
      <c r="V29" s="305"/>
      <c r="W29" s="305"/>
      <c r="X29" s="305"/>
    </row>
    <row r="30" spans="1:24">
      <c r="M30" s="58"/>
      <c r="N30" s="161"/>
      <c r="O30" s="161"/>
      <c r="P30" s="161"/>
      <c r="Q30" s="161"/>
      <c r="R30" s="161"/>
      <c r="S30" s="161"/>
      <c r="T30" s="161"/>
      <c r="U30" s="161"/>
      <c r="V30" s="161"/>
      <c r="W30" s="161"/>
      <c r="X30" s="161"/>
    </row>
    <row r="31" spans="1:24">
      <c r="M31" s="58"/>
      <c r="N31" s="161"/>
      <c r="O31" s="161"/>
      <c r="P31" s="161"/>
      <c r="Q31" s="161"/>
      <c r="R31" s="161"/>
      <c r="S31" s="161"/>
      <c r="T31" s="161"/>
      <c r="U31" s="161"/>
      <c r="V31" s="161"/>
      <c r="W31" s="161"/>
      <c r="X31" s="161"/>
    </row>
  </sheetData>
  <mergeCells count="3">
    <mergeCell ref="A23:L23"/>
    <mergeCell ref="A24:L24"/>
    <mergeCell ref="A1:L1"/>
  </mergeCells>
  <conditionalFormatting sqref="A23:A24 A1:A21 H22 H2:H3 H25:H1048576 A25:D1048576 B2:C22 M1:XFD27 M32:XFD1048576 M28 Y28:XFD31">
    <cfRule type="cellIs" dxfId="290" priority="54" operator="equal">
      <formula>0</formula>
    </cfRule>
  </conditionalFormatting>
  <conditionalFormatting sqref="D2:D4">
    <cfRule type="cellIs" dxfId="289" priority="53" operator="equal">
      <formula>0</formula>
    </cfRule>
  </conditionalFormatting>
  <conditionalFormatting sqref="D5:D21">
    <cfRule type="cellIs" dxfId="288" priority="52" operator="equal">
      <formula>0</formula>
    </cfRule>
  </conditionalFormatting>
  <conditionalFormatting sqref="A22">
    <cfRule type="cellIs" dxfId="287" priority="51" operator="equal">
      <formula>0</formula>
    </cfRule>
  </conditionalFormatting>
  <conditionalFormatting sqref="F25:F1048576">
    <cfRule type="cellIs" dxfId="286" priority="50" operator="equal">
      <formula>0</formula>
    </cfRule>
  </conditionalFormatting>
  <conditionalFormatting sqref="F2:F4">
    <cfRule type="cellIs" dxfId="285" priority="49" operator="equal">
      <formula>0</formula>
    </cfRule>
  </conditionalFormatting>
  <conditionalFormatting sqref="F5">
    <cfRule type="cellIs" dxfId="284" priority="47" operator="equal">
      <formula>0</formula>
    </cfRule>
  </conditionalFormatting>
  <conditionalFormatting sqref="F6:F21">
    <cfRule type="cellIs" dxfId="283" priority="45" operator="equal">
      <formula>0</formula>
    </cfRule>
  </conditionalFormatting>
  <conditionalFormatting sqref="E25:E1048576">
    <cfRule type="cellIs" dxfId="282" priority="44" operator="equal">
      <formula>0</formula>
    </cfRule>
  </conditionalFormatting>
  <conditionalFormatting sqref="E2:E4">
    <cfRule type="cellIs" dxfId="281" priority="43" operator="equal">
      <formula>0</formula>
    </cfRule>
  </conditionalFormatting>
  <conditionalFormatting sqref="E5">
    <cfRule type="cellIs" dxfId="280" priority="42" operator="equal">
      <formula>0</formula>
    </cfRule>
  </conditionalFormatting>
  <conditionalFormatting sqref="E6:E21">
    <cfRule type="cellIs" dxfId="279" priority="41" operator="equal">
      <formula>0</formula>
    </cfRule>
  </conditionalFormatting>
  <conditionalFormatting sqref="G6:H17 G19:H21 G18">
    <cfRule type="cellIs" dxfId="278" priority="37" operator="equal">
      <formula>0</formula>
    </cfRule>
  </conditionalFormatting>
  <conditionalFormatting sqref="G25:G1048576">
    <cfRule type="cellIs" dxfId="277" priority="40" operator="equal">
      <formula>0</formula>
    </cfRule>
  </conditionalFormatting>
  <conditionalFormatting sqref="G2:G4 H4">
    <cfRule type="cellIs" dxfId="276" priority="39" operator="equal">
      <formula>0</formula>
    </cfRule>
  </conditionalFormatting>
  <conditionalFormatting sqref="G5:H5">
    <cfRule type="cellIs" dxfId="275" priority="38" operator="equal">
      <formula>0</formula>
    </cfRule>
  </conditionalFormatting>
  <conditionalFormatting sqref="I22 I2:I3 I25:I1048576">
    <cfRule type="cellIs" dxfId="274" priority="36" operator="equal">
      <formula>0</formula>
    </cfRule>
  </conditionalFormatting>
  <conditionalFormatting sqref="I6:I21 H18">
    <cfRule type="cellIs" dxfId="273" priority="33" operator="equal">
      <formula>0</formula>
    </cfRule>
  </conditionalFormatting>
  <conditionalFormatting sqref="I4">
    <cfRule type="cellIs" dxfId="272" priority="35" operator="equal">
      <formula>0</formula>
    </cfRule>
  </conditionalFormatting>
  <conditionalFormatting sqref="I5">
    <cfRule type="cellIs" dxfId="271" priority="34" operator="equal">
      <formula>0</formula>
    </cfRule>
  </conditionalFormatting>
  <conditionalFormatting sqref="J22 J2:J3 J25:J1048576">
    <cfRule type="cellIs" dxfId="270" priority="32" operator="equal">
      <formula>0</formula>
    </cfRule>
  </conditionalFormatting>
  <conditionalFormatting sqref="J6:J21">
    <cfRule type="cellIs" dxfId="269" priority="29" operator="equal">
      <formula>0</formula>
    </cfRule>
  </conditionalFormatting>
  <conditionalFormatting sqref="J4">
    <cfRule type="cellIs" dxfId="268" priority="31" operator="equal">
      <formula>0</formula>
    </cfRule>
  </conditionalFormatting>
  <conditionalFormatting sqref="J5">
    <cfRule type="cellIs" dxfId="267" priority="30" operator="equal">
      <formula>0</formula>
    </cfRule>
  </conditionalFormatting>
  <conditionalFormatting sqref="K22 K2:K3 K25:K1048576">
    <cfRule type="cellIs" dxfId="266" priority="28" operator="equal">
      <formula>0</formula>
    </cfRule>
  </conditionalFormatting>
  <conditionalFormatting sqref="K6:K21">
    <cfRule type="cellIs" dxfId="265" priority="25" operator="equal">
      <formula>0</formula>
    </cfRule>
  </conditionalFormatting>
  <conditionalFormatting sqref="K4">
    <cfRule type="cellIs" dxfId="264" priority="27" operator="equal">
      <formula>0</formula>
    </cfRule>
  </conditionalFormatting>
  <conditionalFormatting sqref="K5">
    <cfRule type="cellIs" dxfId="263" priority="26" operator="equal">
      <formula>0</formula>
    </cfRule>
  </conditionalFormatting>
  <conditionalFormatting sqref="L22 L2:L3 L25:L1048576">
    <cfRule type="cellIs" dxfId="262" priority="22" operator="equal">
      <formula>0</formula>
    </cfRule>
  </conditionalFormatting>
  <conditionalFormatting sqref="L6:L21">
    <cfRule type="cellIs" dxfId="261" priority="19" operator="equal">
      <formula>0</formula>
    </cfRule>
  </conditionalFormatting>
  <conditionalFormatting sqref="L4">
    <cfRule type="cellIs" dxfId="260" priority="21" operator="equal">
      <formula>0</formula>
    </cfRule>
  </conditionalFormatting>
  <conditionalFormatting sqref="L5">
    <cfRule type="cellIs" dxfId="259" priority="20" operator="equal">
      <formula>0</formula>
    </cfRule>
  </conditionalFormatting>
  <conditionalFormatting sqref="N28:O28">
    <cfRule type="cellIs" dxfId="258" priority="18" operator="equal">
      <formula>0</formula>
    </cfRule>
  </conditionalFormatting>
  <conditionalFormatting sqref="P28">
    <cfRule type="cellIs" dxfId="257" priority="17" operator="equal">
      <formula>0</formula>
    </cfRule>
  </conditionalFormatting>
  <conditionalFormatting sqref="R28">
    <cfRule type="cellIs" dxfId="256" priority="16" operator="equal">
      <formula>0</formula>
    </cfRule>
  </conditionalFormatting>
  <conditionalFormatting sqref="Q28">
    <cfRule type="cellIs" dxfId="255" priority="15" operator="equal">
      <formula>0</formula>
    </cfRule>
  </conditionalFormatting>
  <conditionalFormatting sqref="S28:T28">
    <cfRule type="cellIs" dxfId="254" priority="14" operator="equal">
      <formula>0</formula>
    </cfRule>
  </conditionalFormatting>
  <conditionalFormatting sqref="U28">
    <cfRule type="cellIs" dxfId="253" priority="13" operator="equal">
      <formula>0</formula>
    </cfRule>
  </conditionalFormatting>
  <conditionalFormatting sqref="V28">
    <cfRule type="cellIs" dxfId="252" priority="12" operator="equal">
      <formula>0</formula>
    </cfRule>
  </conditionalFormatting>
  <conditionalFormatting sqref="W28">
    <cfRule type="cellIs" dxfId="251" priority="11" operator="equal">
      <formula>0</formula>
    </cfRule>
  </conditionalFormatting>
  <conditionalFormatting sqref="X28">
    <cfRule type="cellIs" dxfId="250" priority="10" operator="equal">
      <formula>0</formula>
    </cfRule>
  </conditionalFormatting>
  <conditionalFormatting sqref="M29:O31">
    <cfRule type="cellIs" dxfId="249" priority="9" operator="equal">
      <formula>0</formula>
    </cfRule>
  </conditionalFormatting>
  <conditionalFormatting sqref="P29:P31">
    <cfRule type="cellIs" dxfId="248" priority="8" operator="equal">
      <formula>0</formula>
    </cfRule>
  </conditionalFormatting>
  <conditionalFormatting sqref="R29:R31">
    <cfRule type="cellIs" dxfId="247" priority="7" operator="equal">
      <formula>0</formula>
    </cfRule>
  </conditionalFormatting>
  <conditionalFormatting sqref="Q29:Q31">
    <cfRule type="cellIs" dxfId="246" priority="6" operator="equal">
      <formula>0</formula>
    </cfRule>
  </conditionalFormatting>
  <conditionalFormatting sqref="S29:T31">
    <cfRule type="cellIs" dxfId="245" priority="5" operator="equal">
      <formula>0</formula>
    </cfRule>
  </conditionalFormatting>
  <conditionalFormatting sqref="U29:U31">
    <cfRule type="cellIs" dxfId="244" priority="4" operator="equal">
      <formula>0</formula>
    </cfRule>
  </conditionalFormatting>
  <conditionalFormatting sqref="V29:V31">
    <cfRule type="cellIs" dxfId="243" priority="3" operator="equal">
      <formula>0</formula>
    </cfRule>
  </conditionalFormatting>
  <conditionalFormatting sqref="W29:W31">
    <cfRule type="cellIs" dxfId="242" priority="2" operator="equal">
      <formula>0</formula>
    </cfRule>
  </conditionalFormatting>
  <conditionalFormatting sqref="X29:X31">
    <cfRule type="cellIs" dxfId="241"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27">
    <tabColor rgb="FF556B81"/>
  </sheetPr>
  <dimension ref="A1"/>
  <sheetViews>
    <sheetView showGridLines="0" workbookViewId="0">
      <selection activeCell="H33" sqref="H33"/>
    </sheetView>
  </sheetViews>
  <sheetFormatPr defaultColWidth="8.7109375" defaultRowHeight="15"/>
  <cols>
    <col min="1" max="16384" width="8.7109375" style="447"/>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29">
    <tabColor rgb="FFA50021"/>
    <pageSetUpPr fitToPage="1"/>
  </sheetPr>
  <dimension ref="A1:AB52"/>
  <sheetViews>
    <sheetView showGridLines="0" workbookViewId="0">
      <selection sqref="A1:M2"/>
    </sheetView>
  </sheetViews>
  <sheetFormatPr defaultColWidth="9.140625" defaultRowHeight="12.75"/>
  <cols>
    <col min="1" max="1" width="2.42578125" style="132" customWidth="1"/>
    <col min="2" max="2" width="29" style="132" customWidth="1"/>
    <col min="3" max="13" width="6.28515625" style="132" customWidth="1"/>
    <col min="14" max="15" width="9.140625" style="132"/>
    <col min="29" max="16384" width="9.140625" style="132"/>
  </cols>
  <sheetData>
    <row r="1" spans="1:15" s="131" customFormat="1" ht="28.5" customHeight="1">
      <c r="A1" s="767" t="s">
        <v>735</v>
      </c>
      <c r="B1" s="767"/>
      <c r="C1" s="767"/>
      <c r="D1" s="767"/>
      <c r="E1" s="767"/>
      <c r="F1" s="767"/>
      <c r="G1" s="767"/>
      <c r="H1" s="767"/>
      <c r="I1" s="767"/>
      <c r="J1" s="767"/>
      <c r="K1" s="767"/>
      <c r="L1" s="767"/>
      <c r="M1" s="767"/>
    </row>
    <row r="2" spans="1:15" ht="15" customHeight="1">
      <c r="A2" s="103"/>
      <c r="B2" s="103"/>
      <c r="C2" s="103"/>
      <c r="D2" s="103"/>
      <c r="E2" s="103"/>
      <c r="F2" s="103"/>
      <c r="G2" s="103"/>
      <c r="H2" s="103"/>
      <c r="I2" s="103"/>
      <c r="J2" s="103"/>
      <c r="K2" s="103"/>
      <c r="L2" s="103"/>
      <c r="M2" s="103"/>
    </row>
    <row r="3" spans="1:15" s="118" customFormat="1" ht="15" customHeight="1">
      <c r="A3" s="30" t="s">
        <v>42</v>
      </c>
      <c r="B3" s="21"/>
      <c r="C3" s="31"/>
      <c r="E3" s="31"/>
      <c r="F3" s="31"/>
      <c r="G3" s="31"/>
      <c r="H3" s="31"/>
      <c r="I3" s="31"/>
      <c r="J3" s="31"/>
      <c r="K3" s="31"/>
      <c r="L3" s="31"/>
      <c r="M3" s="31" t="s">
        <v>68</v>
      </c>
    </row>
    <row r="4" spans="1:15" s="118" customFormat="1" ht="28.5" customHeight="1" thickBot="1">
      <c r="A4" s="107" t="s">
        <v>2</v>
      </c>
      <c r="B4" s="32"/>
      <c r="C4" s="6">
        <v>2013</v>
      </c>
      <c r="D4" s="6">
        <v>2014</v>
      </c>
      <c r="E4" s="204">
        <v>2015</v>
      </c>
      <c r="F4" s="204">
        <v>2016</v>
      </c>
      <c r="G4" s="204">
        <v>2017</v>
      </c>
      <c r="H4" s="204">
        <v>2018</v>
      </c>
      <c r="I4" s="204">
        <v>2019</v>
      </c>
      <c r="J4" s="204">
        <v>2020</v>
      </c>
      <c r="K4" s="204">
        <v>2021</v>
      </c>
      <c r="L4" s="204">
        <v>2022</v>
      </c>
      <c r="M4" s="204">
        <v>2023</v>
      </c>
    </row>
    <row r="5" spans="1:15" s="118" customFormat="1" ht="16.5" customHeight="1" thickTop="1">
      <c r="A5" s="34" t="s">
        <v>43</v>
      </c>
      <c r="B5" s="208"/>
      <c r="C5" s="399">
        <v>1093.82</v>
      </c>
      <c r="D5" s="399">
        <v>1093.21</v>
      </c>
      <c r="E5" s="399">
        <v>1096.6600000000001</v>
      </c>
      <c r="F5" s="399">
        <v>1107.8599999999999</v>
      </c>
      <c r="G5" s="399">
        <v>1133.3399999999999</v>
      </c>
      <c r="H5" s="399">
        <v>1170.25</v>
      </c>
      <c r="I5" s="399">
        <v>1209.94</v>
      </c>
      <c r="J5" s="399">
        <v>1250.75</v>
      </c>
      <c r="K5" s="399">
        <v>1294.1099999999999</v>
      </c>
      <c r="L5" s="399">
        <v>1368</v>
      </c>
      <c r="M5" s="399">
        <v>1466.66</v>
      </c>
      <c r="N5" s="646">
        <f>+M5-43</f>
        <v>1423.66</v>
      </c>
      <c r="O5" s="118">
        <f>+(M5/C5-1)*100</f>
        <v>34.086047064416469</v>
      </c>
    </row>
    <row r="6" spans="1:15" s="118" customFormat="1" ht="16.5" customHeight="1">
      <c r="A6" s="208" t="s">
        <v>73</v>
      </c>
      <c r="B6" s="326" t="s">
        <v>172</v>
      </c>
      <c r="C6" s="373">
        <v>789.23</v>
      </c>
      <c r="D6" s="373">
        <v>794.63</v>
      </c>
      <c r="E6" s="373">
        <v>802.68</v>
      </c>
      <c r="F6" s="373">
        <v>832.8</v>
      </c>
      <c r="G6" s="373">
        <v>850.4</v>
      </c>
      <c r="H6" s="373">
        <v>896.43</v>
      </c>
      <c r="I6" s="373">
        <v>945.56</v>
      </c>
      <c r="J6" s="373">
        <v>949.69</v>
      </c>
      <c r="K6" s="373">
        <v>1011.43</v>
      </c>
      <c r="L6" s="373">
        <v>1058.3699999999999</v>
      </c>
      <c r="M6" s="373">
        <v>1125.73</v>
      </c>
    </row>
    <row r="7" spans="1:15" s="118" customFormat="1" ht="12.75" customHeight="1">
      <c r="A7" s="208" t="s">
        <v>74</v>
      </c>
      <c r="B7" s="326" t="s">
        <v>102</v>
      </c>
      <c r="C7" s="373">
        <v>1216.8699999999999</v>
      </c>
      <c r="D7" s="373">
        <v>1253.19</v>
      </c>
      <c r="E7" s="373">
        <v>1254.1099999999999</v>
      </c>
      <c r="F7" s="373">
        <v>1286.78</v>
      </c>
      <c r="G7" s="373">
        <v>1296.04</v>
      </c>
      <c r="H7" s="373">
        <v>1403.23</v>
      </c>
      <c r="I7" s="373">
        <v>1459.11</v>
      </c>
      <c r="J7" s="373">
        <v>1500.09</v>
      </c>
      <c r="K7" s="373">
        <v>1596.03</v>
      </c>
      <c r="L7" s="373">
        <v>1702.24</v>
      </c>
      <c r="M7" s="373">
        <v>1969.8</v>
      </c>
    </row>
    <row r="8" spans="1:15" s="118" customFormat="1" ht="12.75" customHeight="1">
      <c r="A8" s="208" t="s">
        <v>75</v>
      </c>
      <c r="B8" s="326" t="s">
        <v>101</v>
      </c>
      <c r="C8" s="373">
        <v>996.63</v>
      </c>
      <c r="D8" s="373">
        <v>1003.09</v>
      </c>
      <c r="E8" s="373">
        <v>1015.82</v>
      </c>
      <c r="F8" s="373">
        <v>1031.5999999999999</v>
      </c>
      <c r="G8" s="373">
        <v>1068.43</v>
      </c>
      <c r="H8" s="373">
        <v>1110.54</v>
      </c>
      <c r="I8" s="373">
        <v>1154.94</v>
      </c>
      <c r="J8" s="373">
        <v>1198.04</v>
      </c>
      <c r="K8" s="373">
        <v>1224.79</v>
      </c>
      <c r="L8" s="373">
        <v>1302.5899999999999</v>
      </c>
      <c r="M8" s="373">
        <v>1400.65</v>
      </c>
    </row>
    <row r="9" spans="1:15" s="118" customFormat="1" ht="16.5" customHeight="1">
      <c r="A9" s="106"/>
      <c r="B9" s="105" t="s">
        <v>88</v>
      </c>
      <c r="C9" s="375">
        <v>899.15</v>
      </c>
      <c r="D9" s="375">
        <v>901.74</v>
      </c>
      <c r="E9" s="375">
        <v>913.71</v>
      </c>
      <c r="F9" s="375">
        <v>932.43</v>
      </c>
      <c r="G9" s="375">
        <v>962.08</v>
      </c>
      <c r="H9" s="375">
        <v>994.87</v>
      </c>
      <c r="I9" s="375">
        <v>1026.1300000000001</v>
      </c>
      <c r="J9" s="375">
        <v>1065.8399999999999</v>
      </c>
      <c r="K9" s="375">
        <v>1115.4100000000001</v>
      </c>
      <c r="L9" s="375">
        <v>1159.73</v>
      </c>
      <c r="M9" s="375">
        <v>1240.1600000000001</v>
      </c>
    </row>
    <row r="10" spans="1:15" s="118" customFormat="1" ht="12.75" customHeight="1">
      <c r="A10" s="106"/>
      <c r="B10" s="105" t="s">
        <v>89</v>
      </c>
      <c r="C10" s="375">
        <v>1312.27</v>
      </c>
      <c r="D10" s="375">
        <v>1297</v>
      </c>
      <c r="E10" s="375">
        <v>1298.25</v>
      </c>
      <c r="F10" s="375">
        <v>1316.87</v>
      </c>
      <c r="G10" s="375">
        <v>1312.07</v>
      </c>
      <c r="H10" s="375">
        <v>1340.8</v>
      </c>
      <c r="I10" s="375">
        <v>1374.56</v>
      </c>
      <c r="J10" s="375">
        <v>1405.73</v>
      </c>
      <c r="K10" s="375">
        <v>1441.98</v>
      </c>
      <c r="L10" s="375">
        <v>1497.34</v>
      </c>
      <c r="M10" s="375">
        <v>1582.85</v>
      </c>
    </row>
    <row r="11" spans="1:15" s="118" customFormat="1" ht="12.75" customHeight="1">
      <c r="A11" s="106"/>
      <c r="B11" s="105" t="s">
        <v>90</v>
      </c>
      <c r="C11" s="375">
        <v>2084.21</v>
      </c>
      <c r="D11" s="375">
        <v>2496.13</v>
      </c>
      <c r="E11" s="375">
        <v>2358.4899999999998</v>
      </c>
      <c r="F11" s="375">
        <v>2254.23</v>
      </c>
      <c r="G11" s="375">
        <v>2289.1999999999998</v>
      </c>
      <c r="H11" s="375">
        <v>2626.44</v>
      </c>
      <c r="I11" s="375">
        <v>2299.7600000000002</v>
      </c>
      <c r="J11" s="375">
        <v>2306.13</v>
      </c>
      <c r="K11" s="375">
        <v>2376.2399999999998</v>
      </c>
      <c r="L11" s="375">
        <v>2774.95</v>
      </c>
      <c r="M11" s="375">
        <v>2537.11</v>
      </c>
    </row>
    <row r="12" spans="1:15" s="118" customFormat="1" ht="12.75" customHeight="1">
      <c r="A12" s="106"/>
      <c r="B12" s="105" t="s">
        <v>0</v>
      </c>
      <c r="C12" s="375">
        <v>810.69</v>
      </c>
      <c r="D12" s="375">
        <v>828.75</v>
      </c>
      <c r="E12" s="375">
        <v>839.15</v>
      </c>
      <c r="F12" s="375">
        <v>867.67</v>
      </c>
      <c r="G12" s="375">
        <v>904.55</v>
      </c>
      <c r="H12" s="375">
        <v>946.29</v>
      </c>
      <c r="I12" s="375">
        <v>979.48</v>
      </c>
      <c r="J12" s="375">
        <v>1016.07</v>
      </c>
      <c r="K12" s="375">
        <v>1055.82</v>
      </c>
      <c r="L12" s="375">
        <v>1124.17</v>
      </c>
      <c r="M12" s="375">
        <v>1203.51</v>
      </c>
    </row>
    <row r="13" spans="1:15" s="118" customFormat="1" ht="12.75" customHeight="1">
      <c r="A13" s="106"/>
      <c r="B13" s="105" t="s">
        <v>91</v>
      </c>
      <c r="C13" s="375">
        <v>660.16</v>
      </c>
      <c r="D13" s="375">
        <v>677.28</v>
      </c>
      <c r="E13" s="375">
        <v>684.56</v>
      </c>
      <c r="F13" s="375">
        <v>709.31</v>
      </c>
      <c r="G13" s="375">
        <v>742.32</v>
      </c>
      <c r="H13" s="375">
        <v>781.48</v>
      </c>
      <c r="I13" s="375">
        <v>818.69</v>
      </c>
      <c r="J13" s="375">
        <v>848.84</v>
      </c>
      <c r="K13" s="375">
        <v>886.18</v>
      </c>
      <c r="L13" s="375">
        <v>942.57</v>
      </c>
      <c r="M13" s="375">
        <v>1023.34</v>
      </c>
    </row>
    <row r="14" spans="1:15" s="118" customFormat="1" ht="12.75" customHeight="1">
      <c r="A14" s="106"/>
      <c r="B14" s="105" t="s">
        <v>146</v>
      </c>
      <c r="C14" s="375">
        <v>710.44</v>
      </c>
      <c r="D14" s="375">
        <v>729.64</v>
      </c>
      <c r="E14" s="375">
        <v>748.8</v>
      </c>
      <c r="F14" s="375">
        <v>773.93</v>
      </c>
      <c r="G14" s="375">
        <v>798.73</v>
      </c>
      <c r="H14" s="375">
        <v>837.82</v>
      </c>
      <c r="I14" s="375">
        <v>886.32</v>
      </c>
      <c r="J14" s="375">
        <v>908.07</v>
      </c>
      <c r="K14" s="375">
        <v>956.48</v>
      </c>
      <c r="L14" s="375">
        <v>1023.68</v>
      </c>
      <c r="M14" s="375">
        <v>1098.19</v>
      </c>
    </row>
    <row r="15" spans="1:15" s="118" customFormat="1" ht="12.75" customHeight="1">
      <c r="A15" s="106"/>
      <c r="B15" s="105" t="s">
        <v>147</v>
      </c>
      <c r="C15" s="375">
        <v>956.75</v>
      </c>
      <c r="D15" s="375">
        <v>968.27</v>
      </c>
      <c r="E15" s="375">
        <v>977.14</v>
      </c>
      <c r="F15" s="375">
        <v>997.01</v>
      </c>
      <c r="G15" s="375">
        <v>1024.83</v>
      </c>
      <c r="H15" s="375">
        <v>1054.6099999999999</v>
      </c>
      <c r="I15" s="375">
        <v>1096.6600000000001</v>
      </c>
      <c r="J15" s="375">
        <v>1126.1600000000001</v>
      </c>
      <c r="K15" s="375">
        <v>1168.8499999999999</v>
      </c>
      <c r="L15" s="375">
        <v>1222.6400000000001</v>
      </c>
      <c r="M15" s="375">
        <v>1324.53</v>
      </c>
    </row>
    <row r="16" spans="1:15" s="118" customFormat="1" ht="12.75" customHeight="1">
      <c r="A16" s="106"/>
      <c r="B16" s="105" t="s">
        <v>148</v>
      </c>
      <c r="C16" s="375">
        <v>1430.78</v>
      </c>
      <c r="D16" s="375">
        <v>1435.92</v>
      </c>
      <c r="E16" s="375">
        <v>1428.78</v>
      </c>
      <c r="F16" s="375">
        <v>1439.41</v>
      </c>
      <c r="G16" s="375">
        <v>1454.26</v>
      </c>
      <c r="H16" s="375">
        <v>1459.39</v>
      </c>
      <c r="I16" s="375">
        <v>1499.59</v>
      </c>
      <c r="J16" s="375">
        <v>1537.92</v>
      </c>
      <c r="K16" s="375">
        <v>1575.64</v>
      </c>
      <c r="L16" s="375">
        <v>1618.78</v>
      </c>
      <c r="M16" s="375">
        <v>1724.92</v>
      </c>
    </row>
    <row r="17" spans="1:13" s="118" customFormat="1" ht="12.75" customHeight="1">
      <c r="A17" s="106"/>
      <c r="B17" s="105" t="s">
        <v>149</v>
      </c>
      <c r="C17" s="375">
        <v>1030.9000000000001</v>
      </c>
      <c r="D17" s="375">
        <v>1044.07</v>
      </c>
      <c r="E17" s="375">
        <v>1042.8900000000001</v>
      </c>
      <c r="F17" s="375">
        <v>1051.1600000000001</v>
      </c>
      <c r="G17" s="375">
        <v>1075.6400000000001</v>
      </c>
      <c r="H17" s="375">
        <v>1119.1500000000001</v>
      </c>
      <c r="I17" s="375">
        <v>1155.67</v>
      </c>
      <c r="J17" s="375">
        <v>1187.42</v>
      </c>
      <c r="K17" s="375">
        <v>1226.81</v>
      </c>
      <c r="L17" s="375">
        <v>1263.23</v>
      </c>
      <c r="M17" s="375">
        <v>1341.82</v>
      </c>
    </row>
    <row r="18" spans="1:13" s="118" customFormat="1" ht="12.75" customHeight="1">
      <c r="A18" s="106"/>
      <c r="B18" s="105" t="s">
        <v>150</v>
      </c>
      <c r="C18" s="375">
        <v>3237.5</v>
      </c>
      <c r="D18" s="375">
        <v>3199.8</v>
      </c>
      <c r="E18" s="375">
        <v>3252.24</v>
      </c>
      <c r="F18" s="375">
        <v>3248.73</v>
      </c>
      <c r="G18" s="375">
        <v>3297.75</v>
      </c>
      <c r="H18" s="375">
        <v>3620.97</v>
      </c>
      <c r="I18" s="375">
        <v>3459.65</v>
      </c>
      <c r="J18" s="375">
        <v>3496.14</v>
      </c>
      <c r="K18" s="375">
        <v>3690.73</v>
      </c>
      <c r="L18" s="375">
        <v>3735.62</v>
      </c>
      <c r="M18" s="375">
        <v>4115.71</v>
      </c>
    </row>
    <row r="19" spans="1:13" s="118" customFormat="1" ht="12.75" customHeight="1">
      <c r="A19" s="106"/>
      <c r="B19" s="105" t="s">
        <v>151</v>
      </c>
      <c r="C19" s="375">
        <v>1593.73</v>
      </c>
      <c r="D19" s="375">
        <v>1577.28</v>
      </c>
      <c r="E19" s="375">
        <v>1583.05</v>
      </c>
      <c r="F19" s="375">
        <v>1587.92</v>
      </c>
      <c r="G19" s="375">
        <v>1589.13</v>
      </c>
      <c r="H19" s="375">
        <v>1632.09</v>
      </c>
      <c r="I19" s="375">
        <v>1709.43</v>
      </c>
      <c r="J19" s="375">
        <v>1748.48</v>
      </c>
      <c r="K19" s="375">
        <v>1769.7</v>
      </c>
      <c r="L19" s="375">
        <v>1836.43</v>
      </c>
      <c r="M19" s="375">
        <v>1918.56</v>
      </c>
    </row>
    <row r="20" spans="1:13" s="118" customFormat="1" ht="12.75" customHeight="1">
      <c r="A20" s="106"/>
      <c r="B20" s="105" t="s">
        <v>160</v>
      </c>
      <c r="C20" s="375">
        <v>1714.43</v>
      </c>
      <c r="D20" s="375">
        <v>1713.02</v>
      </c>
      <c r="E20" s="375">
        <v>1766.56</v>
      </c>
      <c r="F20" s="375">
        <v>1724.18</v>
      </c>
      <c r="G20" s="375">
        <v>1777.09</v>
      </c>
      <c r="H20" s="375">
        <v>1812.54</v>
      </c>
      <c r="I20" s="375">
        <v>1950.04</v>
      </c>
      <c r="J20" s="375">
        <v>1901.69</v>
      </c>
      <c r="K20" s="375">
        <v>1962.63</v>
      </c>
      <c r="L20" s="375">
        <v>2042.99</v>
      </c>
      <c r="M20" s="375">
        <v>2158.0100000000002</v>
      </c>
    </row>
    <row r="21" spans="1:13" s="118" customFormat="1" ht="12.75" customHeight="1">
      <c r="A21" s="106"/>
      <c r="B21" s="105" t="s">
        <v>152</v>
      </c>
      <c r="C21" s="375">
        <v>1139.6500000000001</v>
      </c>
      <c r="D21" s="375">
        <v>1158.1199999999999</v>
      </c>
      <c r="E21" s="375">
        <v>1178.44</v>
      </c>
      <c r="F21" s="375">
        <v>1195.99</v>
      </c>
      <c r="G21" s="375">
        <v>1223.4000000000001</v>
      </c>
      <c r="H21" s="375">
        <v>1274.29</v>
      </c>
      <c r="I21" s="375">
        <v>1313.38</v>
      </c>
      <c r="J21" s="375">
        <v>1348.71</v>
      </c>
      <c r="K21" s="375">
        <v>1387.55</v>
      </c>
      <c r="L21" s="375">
        <v>1450.69</v>
      </c>
      <c r="M21" s="375">
        <v>1555.99</v>
      </c>
    </row>
    <row r="22" spans="1:13" s="118" customFormat="1" ht="12.75" customHeight="1">
      <c r="A22" s="106"/>
      <c r="B22" s="105" t="s">
        <v>159</v>
      </c>
      <c r="C22" s="375">
        <v>1067.3399999999999</v>
      </c>
      <c r="D22" s="375">
        <v>1070.3900000000001</v>
      </c>
      <c r="E22" s="375">
        <v>1078.6199999999999</v>
      </c>
      <c r="F22" s="375">
        <v>1084.52</v>
      </c>
      <c r="G22" s="375">
        <v>1122.96</v>
      </c>
      <c r="H22" s="375">
        <v>1149.1400000000001</v>
      </c>
      <c r="I22" s="375">
        <v>1191.29</v>
      </c>
      <c r="J22" s="375">
        <v>1208.46</v>
      </c>
      <c r="K22" s="375">
        <v>1258.27</v>
      </c>
      <c r="L22" s="375">
        <v>1324.11</v>
      </c>
      <c r="M22" s="375">
        <v>1425.89</v>
      </c>
    </row>
    <row r="23" spans="1:13" s="118" customFormat="1" ht="12.75" customHeight="1">
      <c r="A23" s="106"/>
      <c r="B23" s="105" t="s">
        <v>92</v>
      </c>
      <c r="C23" s="375">
        <v>1257.29</v>
      </c>
      <c r="D23" s="375">
        <v>1218.31</v>
      </c>
      <c r="E23" s="375">
        <v>1223.98</v>
      </c>
      <c r="F23" s="375">
        <v>1228.2</v>
      </c>
      <c r="G23" s="375">
        <v>1264.72</v>
      </c>
      <c r="H23" s="375">
        <v>1332.52</v>
      </c>
      <c r="I23" s="375">
        <v>1358.43</v>
      </c>
      <c r="J23" s="375">
        <v>1415.49</v>
      </c>
      <c r="K23" s="375">
        <v>1447.12</v>
      </c>
      <c r="L23" s="375">
        <v>1501.73</v>
      </c>
      <c r="M23" s="375">
        <v>1638.7</v>
      </c>
    </row>
    <row r="24" spans="1:13" s="118" customFormat="1" ht="12.75" customHeight="1">
      <c r="A24" s="106"/>
      <c r="B24" s="105" t="s">
        <v>157</v>
      </c>
      <c r="C24" s="375">
        <v>1001.98</v>
      </c>
      <c r="D24" s="375">
        <v>1012.63</v>
      </c>
      <c r="E24" s="375">
        <v>1028.0899999999999</v>
      </c>
      <c r="F24" s="375">
        <v>1035.1199999999999</v>
      </c>
      <c r="G24" s="375">
        <v>1074.6500000000001</v>
      </c>
      <c r="H24" s="375">
        <v>1115.1099999999999</v>
      </c>
      <c r="I24" s="375">
        <v>1153.9000000000001</v>
      </c>
      <c r="J24" s="375">
        <v>1174.8699999999999</v>
      </c>
      <c r="K24" s="375">
        <v>1198.68</v>
      </c>
      <c r="L24" s="375">
        <v>1278.27</v>
      </c>
      <c r="M24" s="375">
        <v>1366.85</v>
      </c>
    </row>
    <row r="25" spans="1:13" s="118" customFormat="1" ht="12.75" customHeight="1">
      <c r="A25" s="106"/>
      <c r="B25" s="105" t="s">
        <v>158</v>
      </c>
      <c r="C25" s="375">
        <v>1273.01</v>
      </c>
      <c r="D25" s="375">
        <v>1285.8399999999999</v>
      </c>
      <c r="E25" s="375">
        <v>1306.5</v>
      </c>
      <c r="F25" s="375">
        <v>1318.4</v>
      </c>
      <c r="G25" s="375">
        <v>1357.54</v>
      </c>
      <c r="H25" s="375">
        <v>1383.3</v>
      </c>
      <c r="I25" s="375">
        <v>1440.49</v>
      </c>
      <c r="J25" s="375">
        <v>1484.94</v>
      </c>
      <c r="K25" s="375">
        <v>1503.8</v>
      </c>
      <c r="L25" s="375">
        <v>1676.91</v>
      </c>
      <c r="M25" s="375">
        <v>1790.14</v>
      </c>
    </row>
    <row r="26" spans="1:13" s="118" customFormat="1" ht="12.75" customHeight="1">
      <c r="A26" s="106"/>
      <c r="B26" s="105" t="s">
        <v>153</v>
      </c>
      <c r="C26" s="375">
        <v>1271.1400000000001</v>
      </c>
      <c r="D26" s="375">
        <v>1299.4000000000001</v>
      </c>
      <c r="E26" s="375">
        <v>1362.28</v>
      </c>
      <c r="F26" s="375">
        <v>1375.47</v>
      </c>
      <c r="G26" s="375">
        <v>1411.55</v>
      </c>
      <c r="H26" s="375">
        <v>1451.47</v>
      </c>
      <c r="I26" s="375">
        <v>1431.8</v>
      </c>
      <c r="J26" s="375">
        <v>1592.95</v>
      </c>
      <c r="K26" s="375">
        <v>1520.7</v>
      </c>
      <c r="L26" s="375">
        <v>1705.14</v>
      </c>
      <c r="M26" s="375">
        <v>1881.82</v>
      </c>
    </row>
    <row r="27" spans="1:13" s="118" customFormat="1" ht="12.75" customHeight="1">
      <c r="A27" s="106"/>
      <c r="B27" s="105" t="s">
        <v>161</v>
      </c>
      <c r="C27" s="375">
        <v>1129.52</v>
      </c>
      <c r="D27" s="375">
        <v>1135.78</v>
      </c>
      <c r="E27" s="375">
        <v>1152.98</v>
      </c>
      <c r="F27" s="375">
        <v>1165.05</v>
      </c>
      <c r="G27" s="375">
        <v>1201.4100000000001</v>
      </c>
      <c r="H27" s="375">
        <v>1228.76</v>
      </c>
      <c r="I27" s="375">
        <v>1289.45</v>
      </c>
      <c r="J27" s="375">
        <v>1305.01</v>
      </c>
      <c r="K27" s="375">
        <v>1363.41</v>
      </c>
      <c r="L27" s="375">
        <v>1430.3</v>
      </c>
      <c r="M27" s="375">
        <v>1543.5</v>
      </c>
    </row>
    <row r="28" spans="1:13" s="118" customFormat="1" ht="12.75" customHeight="1">
      <c r="A28" s="106"/>
      <c r="B28" s="105" t="s">
        <v>154</v>
      </c>
      <c r="C28" s="375">
        <v>1214.31</v>
      </c>
      <c r="D28" s="375">
        <v>1249.3699999999999</v>
      </c>
      <c r="E28" s="375">
        <v>1264.83</v>
      </c>
      <c r="F28" s="375">
        <v>1253.02</v>
      </c>
      <c r="G28" s="375">
        <v>1302.55</v>
      </c>
      <c r="H28" s="375">
        <v>1258.6600000000001</v>
      </c>
      <c r="I28" s="375">
        <v>1309.1199999999999</v>
      </c>
      <c r="J28" s="375">
        <v>1396.01</v>
      </c>
      <c r="K28" s="375">
        <v>1351.65</v>
      </c>
      <c r="L28" s="375">
        <v>1524.68</v>
      </c>
      <c r="M28" s="375">
        <v>1532.35</v>
      </c>
    </row>
    <row r="29" spans="1:13" s="118" customFormat="1" ht="12.75" customHeight="1">
      <c r="A29" s="106"/>
      <c r="B29" s="105" t="s">
        <v>162</v>
      </c>
      <c r="C29" s="375">
        <v>1050.99</v>
      </c>
      <c r="D29" s="375">
        <v>1035.79</v>
      </c>
      <c r="E29" s="375">
        <v>1057.98</v>
      </c>
      <c r="F29" s="375">
        <v>1049.19</v>
      </c>
      <c r="G29" s="375">
        <v>1089.79</v>
      </c>
      <c r="H29" s="375">
        <v>1134.9000000000001</v>
      </c>
      <c r="I29" s="375">
        <v>1180.68</v>
      </c>
      <c r="J29" s="375">
        <v>1193.8900000000001</v>
      </c>
      <c r="K29" s="375">
        <v>1231.97</v>
      </c>
      <c r="L29" s="375">
        <v>1286.0899999999999</v>
      </c>
      <c r="M29" s="375">
        <v>1388.69</v>
      </c>
    </row>
    <row r="30" spans="1:13" s="130" customFormat="1" ht="12.75" customHeight="1">
      <c r="A30" s="106"/>
      <c r="B30" s="105" t="s">
        <v>155</v>
      </c>
      <c r="C30" s="375">
        <v>748.39</v>
      </c>
      <c r="D30" s="375">
        <v>761.82</v>
      </c>
      <c r="E30" s="375">
        <v>771.93</v>
      </c>
      <c r="F30" s="375">
        <v>785.38</v>
      </c>
      <c r="G30" s="375">
        <v>818.22</v>
      </c>
      <c r="H30" s="375">
        <v>854.55</v>
      </c>
      <c r="I30" s="375">
        <v>890.25</v>
      </c>
      <c r="J30" s="375">
        <v>913.69</v>
      </c>
      <c r="K30" s="375">
        <v>950.15</v>
      </c>
      <c r="L30" s="375">
        <v>1012.62</v>
      </c>
      <c r="M30" s="375">
        <v>1099.3800000000001</v>
      </c>
    </row>
    <row r="31" spans="1:13" s="118" customFormat="1" ht="12.75" customHeight="1">
      <c r="A31" s="106"/>
      <c r="B31" s="105" t="s">
        <v>156</v>
      </c>
      <c r="C31" s="375">
        <v>945.15</v>
      </c>
      <c r="D31" s="375">
        <v>948.48</v>
      </c>
      <c r="E31" s="375">
        <v>945.62</v>
      </c>
      <c r="F31" s="375">
        <v>981.5</v>
      </c>
      <c r="G31" s="375">
        <v>1019.25</v>
      </c>
      <c r="H31" s="375">
        <v>1055.57</v>
      </c>
      <c r="I31" s="375">
        <v>1098.77</v>
      </c>
      <c r="J31" s="375">
        <v>1122.73</v>
      </c>
      <c r="K31" s="375">
        <v>1144.1199999999999</v>
      </c>
      <c r="L31" s="375">
        <v>1236.22</v>
      </c>
      <c r="M31" s="375">
        <v>1368.1</v>
      </c>
    </row>
    <row r="32" spans="1:13" s="118" customFormat="1" ht="12.75" customHeight="1">
      <c r="A32" s="106"/>
      <c r="B32" s="105" t="s">
        <v>163</v>
      </c>
      <c r="C32" s="375">
        <v>1242.5</v>
      </c>
      <c r="D32" s="375">
        <v>1227.1300000000001</v>
      </c>
      <c r="E32" s="375">
        <v>1210.3499999999999</v>
      </c>
      <c r="F32" s="375">
        <v>1205.1300000000001</v>
      </c>
      <c r="G32" s="375">
        <v>1229.29</v>
      </c>
      <c r="H32" s="375">
        <v>1299.29</v>
      </c>
      <c r="I32" s="375">
        <v>1325.13</v>
      </c>
      <c r="J32" s="375">
        <v>1333.77</v>
      </c>
      <c r="K32" s="375">
        <v>1382.08</v>
      </c>
      <c r="L32" s="375">
        <v>1443.37</v>
      </c>
      <c r="M32" s="375">
        <v>1595.26</v>
      </c>
    </row>
    <row r="33" spans="1:13" s="118" customFormat="1" ht="16.5" customHeight="1">
      <c r="A33" s="208" t="s">
        <v>76</v>
      </c>
      <c r="B33" s="326" t="s">
        <v>164</v>
      </c>
      <c r="C33" s="373">
        <v>2907.1</v>
      </c>
      <c r="D33" s="373">
        <v>2899.03</v>
      </c>
      <c r="E33" s="373">
        <v>2923.78</v>
      </c>
      <c r="F33" s="373">
        <v>2941.6</v>
      </c>
      <c r="G33" s="373">
        <v>2914.67</v>
      </c>
      <c r="H33" s="373">
        <v>2948.55</v>
      </c>
      <c r="I33" s="373">
        <v>2904.2</v>
      </c>
      <c r="J33" s="373">
        <v>2956.05</v>
      </c>
      <c r="K33" s="373">
        <v>2965.84</v>
      </c>
      <c r="L33" s="373">
        <v>3040.89</v>
      </c>
      <c r="M33" s="373">
        <v>3171.51</v>
      </c>
    </row>
    <row r="34" spans="1:13" s="118" customFormat="1" ht="12.75" customHeight="1">
      <c r="A34" s="208" t="s">
        <v>77</v>
      </c>
      <c r="B34" s="326" t="s">
        <v>173</v>
      </c>
      <c r="C34" s="373">
        <v>1084.17</v>
      </c>
      <c r="D34" s="373">
        <v>1091.92</v>
      </c>
      <c r="E34" s="373">
        <v>1102.67</v>
      </c>
      <c r="F34" s="373">
        <v>1092.5</v>
      </c>
      <c r="G34" s="373">
        <v>1108.54</v>
      </c>
      <c r="H34" s="373">
        <v>1150.68</v>
      </c>
      <c r="I34" s="373">
        <v>1174.83</v>
      </c>
      <c r="J34" s="373">
        <v>1204.9000000000001</v>
      </c>
      <c r="K34" s="373">
        <v>1227.3</v>
      </c>
      <c r="L34" s="373">
        <v>1275.54</v>
      </c>
      <c r="M34" s="373">
        <v>1387.57</v>
      </c>
    </row>
    <row r="35" spans="1:13" s="118" customFormat="1" ht="12.75" customHeight="1">
      <c r="A35" s="208" t="s">
        <v>78</v>
      </c>
      <c r="B35" s="326" t="s">
        <v>79</v>
      </c>
      <c r="C35" s="373">
        <v>966.06</v>
      </c>
      <c r="D35" s="373">
        <v>962.23</v>
      </c>
      <c r="E35" s="373">
        <v>958.61</v>
      </c>
      <c r="F35" s="373">
        <v>955.52</v>
      </c>
      <c r="G35" s="373">
        <v>967.03</v>
      </c>
      <c r="H35" s="373">
        <v>993.18</v>
      </c>
      <c r="I35" s="373">
        <v>1025</v>
      </c>
      <c r="J35" s="373">
        <v>1042.3699999999999</v>
      </c>
      <c r="K35" s="373">
        <v>1103.17</v>
      </c>
      <c r="L35" s="373">
        <v>1149.6099999999999</v>
      </c>
      <c r="M35" s="373">
        <v>1231.28</v>
      </c>
    </row>
    <row r="36" spans="1:13" s="118" customFormat="1" ht="12.75" customHeight="1">
      <c r="A36" s="208" t="s">
        <v>80</v>
      </c>
      <c r="B36" s="326" t="s">
        <v>174</v>
      </c>
      <c r="C36" s="373">
        <v>1013.46</v>
      </c>
      <c r="D36" s="373">
        <v>1014.14</v>
      </c>
      <c r="E36" s="373">
        <v>1022.01</v>
      </c>
      <c r="F36" s="373">
        <v>1039.55</v>
      </c>
      <c r="G36" s="373">
        <v>1066.6400000000001</v>
      </c>
      <c r="H36" s="373">
        <v>1099.03</v>
      </c>
      <c r="I36" s="373">
        <v>1140.32</v>
      </c>
      <c r="J36" s="373">
        <v>1176.33</v>
      </c>
      <c r="K36" s="373">
        <v>1224.17</v>
      </c>
      <c r="L36" s="373">
        <v>1280.54</v>
      </c>
      <c r="M36" s="373">
        <v>1373.91</v>
      </c>
    </row>
    <row r="37" spans="1:13" s="118" customFormat="1" ht="12.75" customHeight="1">
      <c r="A37" s="208" t="s">
        <v>53</v>
      </c>
      <c r="B37" s="326" t="s">
        <v>93</v>
      </c>
      <c r="C37" s="373">
        <v>1338.08</v>
      </c>
      <c r="D37" s="373">
        <v>1335.45</v>
      </c>
      <c r="E37" s="373">
        <v>1342.5</v>
      </c>
      <c r="F37" s="373">
        <v>1359.02</v>
      </c>
      <c r="G37" s="373">
        <v>1384.77</v>
      </c>
      <c r="H37" s="373">
        <v>1425.95</v>
      </c>
      <c r="I37" s="373">
        <v>1489.52</v>
      </c>
      <c r="J37" s="373">
        <v>1418.68</v>
      </c>
      <c r="K37" s="373">
        <v>1463.67</v>
      </c>
      <c r="L37" s="373">
        <v>1651.37</v>
      </c>
      <c r="M37" s="373">
        <v>1761.67</v>
      </c>
    </row>
    <row r="38" spans="1:13" s="118" customFormat="1" ht="12.75" customHeight="1">
      <c r="A38" s="208" t="s">
        <v>10</v>
      </c>
      <c r="B38" s="326" t="s">
        <v>165</v>
      </c>
      <c r="C38" s="373">
        <v>724.31</v>
      </c>
      <c r="D38" s="373">
        <v>734.04</v>
      </c>
      <c r="E38" s="373">
        <v>736.8</v>
      </c>
      <c r="F38" s="373">
        <v>758.99</v>
      </c>
      <c r="G38" s="373">
        <v>788.29</v>
      </c>
      <c r="H38" s="373">
        <v>820.22</v>
      </c>
      <c r="I38" s="373">
        <v>851.31</v>
      </c>
      <c r="J38" s="373">
        <v>858.93</v>
      </c>
      <c r="K38" s="373">
        <v>913.66</v>
      </c>
      <c r="L38" s="373">
        <v>977.82</v>
      </c>
      <c r="M38" s="373">
        <v>1046.9100000000001</v>
      </c>
    </row>
    <row r="39" spans="1:13" s="118" customFormat="1" ht="12.75" customHeight="1">
      <c r="A39" s="208" t="s">
        <v>81</v>
      </c>
      <c r="B39" s="326" t="s">
        <v>171</v>
      </c>
      <c r="C39" s="373">
        <v>1821.27</v>
      </c>
      <c r="D39" s="373">
        <v>1779.88</v>
      </c>
      <c r="E39" s="373">
        <v>1770.68</v>
      </c>
      <c r="F39" s="373">
        <v>1797.94</v>
      </c>
      <c r="G39" s="373">
        <v>1808.57</v>
      </c>
      <c r="H39" s="373">
        <v>1867.06</v>
      </c>
      <c r="I39" s="373">
        <v>1919.57</v>
      </c>
      <c r="J39" s="373">
        <v>1970.06</v>
      </c>
      <c r="K39" s="373">
        <v>2046.09</v>
      </c>
      <c r="L39" s="373">
        <v>2222.2600000000002</v>
      </c>
      <c r="M39" s="373">
        <v>2360.1999999999998</v>
      </c>
    </row>
    <row r="40" spans="1:13" s="61" customFormat="1" ht="12.75" customHeight="1">
      <c r="A40" s="208" t="s">
        <v>82</v>
      </c>
      <c r="B40" s="326" t="s">
        <v>166</v>
      </c>
      <c r="C40" s="373">
        <v>2302.04</v>
      </c>
      <c r="D40" s="373">
        <v>2312.4899999999998</v>
      </c>
      <c r="E40" s="373">
        <v>2302.13</v>
      </c>
      <c r="F40" s="373">
        <v>2313.46</v>
      </c>
      <c r="G40" s="373">
        <v>2305.21</v>
      </c>
      <c r="H40" s="373">
        <v>2321.41</v>
      </c>
      <c r="I40" s="373">
        <v>2330.36</v>
      </c>
      <c r="J40" s="373">
        <v>2366.37</v>
      </c>
      <c r="K40" s="373">
        <v>2374.41</v>
      </c>
      <c r="L40" s="373">
        <v>2429.02</v>
      </c>
      <c r="M40" s="373">
        <v>2579.31</v>
      </c>
    </row>
    <row r="41" spans="1:13" s="61" customFormat="1" ht="12.75" customHeight="1">
      <c r="A41" s="208" t="s">
        <v>83</v>
      </c>
      <c r="B41" s="326" t="s">
        <v>103</v>
      </c>
      <c r="C41" s="373">
        <v>1093.47</v>
      </c>
      <c r="D41" s="373">
        <v>1087.28</v>
      </c>
      <c r="E41" s="373">
        <v>1080.53</v>
      </c>
      <c r="F41" s="373">
        <v>1101.57</v>
      </c>
      <c r="G41" s="373">
        <v>1115</v>
      </c>
      <c r="H41" s="373">
        <v>1148.17</v>
      </c>
      <c r="I41" s="373">
        <v>1193.98</v>
      </c>
      <c r="J41" s="373">
        <v>1237.47</v>
      </c>
      <c r="K41" s="373">
        <v>1277.49</v>
      </c>
      <c r="L41" s="373">
        <v>1343.29</v>
      </c>
      <c r="M41" s="373">
        <v>1449.6</v>
      </c>
    </row>
    <row r="42" spans="1:13" s="61" customFormat="1" ht="12.75" customHeight="1">
      <c r="A42" s="208" t="s">
        <v>54</v>
      </c>
      <c r="B42" s="326" t="s">
        <v>175</v>
      </c>
      <c r="C42" s="373">
        <v>1357.69</v>
      </c>
      <c r="D42" s="373">
        <v>1347.85</v>
      </c>
      <c r="E42" s="373">
        <v>1352.56</v>
      </c>
      <c r="F42" s="373">
        <v>1358.58</v>
      </c>
      <c r="G42" s="373">
        <v>1414.09</v>
      </c>
      <c r="H42" s="373">
        <v>1446.18</v>
      </c>
      <c r="I42" s="373">
        <v>1498.25</v>
      </c>
      <c r="J42" s="373">
        <v>1543.35</v>
      </c>
      <c r="K42" s="373">
        <v>1612.77</v>
      </c>
      <c r="L42" s="373">
        <v>1708.75</v>
      </c>
      <c r="M42" s="373">
        <v>1854.12</v>
      </c>
    </row>
    <row r="43" spans="1:13" s="61" customFormat="1" ht="12.75" customHeight="1">
      <c r="A43" s="208" t="s">
        <v>85</v>
      </c>
      <c r="B43" s="326" t="s">
        <v>169</v>
      </c>
      <c r="C43" s="373">
        <v>910.69</v>
      </c>
      <c r="D43" s="373">
        <v>915.77</v>
      </c>
      <c r="E43" s="373">
        <v>909.36</v>
      </c>
      <c r="F43" s="373">
        <v>915.81</v>
      </c>
      <c r="G43" s="373">
        <v>940.16</v>
      </c>
      <c r="H43" s="373">
        <v>974.19</v>
      </c>
      <c r="I43" s="373">
        <v>1006.82</v>
      </c>
      <c r="J43" s="373">
        <v>1032.8800000000001</v>
      </c>
      <c r="K43" s="373">
        <v>1086.1400000000001</v>
      </c>
      <c r="L43" s="373">
        <v>1156.51</v>
      </c>
      <c r="M43" s="373">
        <v>1263.92</v>
      </c>
    </row>
    <row r="44" spans="1:13" s="61" customFormat="1" ht="12.75" customHeight="1">
      <c r="A44" s="208" t="s">
        <v>86</v>
      </c>
      <c r="B44" s="326" t="s">
        <v>170</v>
      </c>
      <c r="C44" s="373">
        <v>1035.2</v>
      </c>
      <c r="D44" s="373">
        <v>1049.32</v>
      </c>
      <c r="E44" s="373">
        <v>1055.0899999999999</v>
      </c>
      <c r="F44" s="373">
        <v>1031.68</v>
      </c>
      <c r="G44" s="373">
        <v>1056.22</v>
      </c>
      <c r="H44" s="373">
        <v>1099.5999999999999</v>
      </c>
      <c r="I44" s="373">
        <v>1161.46</v>
      </c>
      <c r="J44" s="373">
        <v>1222.78</v>
      </c>
      <c r="K44" s="373">
        <v>1269.25</v>
      </c>
      <c r="L44" s="373">
        <v>1293.6300000000001</v>
      </c>
      <c r="M44" s="373">
        <v>1386.73</v>
      </c>
    </row>
    <row r="45" spans="1:13" s="61" customFormat="1" ht="12.75" customHeight="1">
      <c r="A45" s="208" t="s">
        <v>94</v>
      </c>
      <c r="B45" s="326" t="s">
        <v>84</v>
      </c>
      <c r="C45" s="373">
        <v>1234.6199999999999</v>
      </c>
      <c r="D45" s="373">
        <v>1224.42</v>
      </c>
      <c r="E45" s="373">
        <v>1215.92</v>
      </c>
      <c r="F45" s="373">
        <v>1218.18</v>
      </c>
      <c r="G45" s="373">
        <v>1243.1300000000001</v>
      </c>
      <c r="H45" s="373">
        <v>1272.3900000000001</v>
      </c>
      <c r="I45" s="373">
        <v>1336.35</v>
      </c>
      <c r="J45" s="373">
        <v>1375.08</v>
      </c>
      <c r="K45" s="373">
        <v>1415.08</v>
      </c>
      <c r="L45" s="373">
        <v>1477.62</v>
      </c>
      <c r="M45" s="373">
        <v>1587.99</v>
      </c>
    </row>
    <row r="46" spans="1:13" s="61" customFormat="1" ht="12.75" customHeight="1">
      <c r="A46" s="208" t="s">
        <v>87</v>
      </c>
      <c r="B46" s="326" t="s">
        <v>141</v>
      </c>
      <c r="C46" s="373">
        <v>943.76</v>
      </c>
      <c r="D46" s="373">
        <v>941.14</v>
      </c>
      <c r="E46" s="373">
        <v>957.95</v>
      </c>
      <c r="F46" s="373">
        <v>977.41</v>
      </c>
      <c r="G46" s="373">
        <v>1008.97</v>
      </c>
      <c r="H46" s="373">
        <v>1045.1199999999999</v>
      </c>
      <c r="I46" s="373">
        <v>1088.3399999999999</v>
      </c>
      <c r="J46" s="373">
        <v>1112.49</v>
      </c>
      <c r="K46" s="373">
        <v>1148.8</v>
      </c>
      <c r="L46" s="373">
        <v>1186.79</v>
      </c>
      <c r="M46" s="373">
        <v>1250.5999999999999</v>
      </c>
    </row>
    <row r="47" spans="1:13" s="61" customFormat="1" ht="12.75" customHeight="1">
      <c r="A47" s="208" t="s">
        <v>95</v>
      </c>
      <c r="B47" s="326" t="s">
        <v>167</v>
      </c>
      <c r="C47" s="373">
        <v>1635.47</v>
      </c>
      <c r="D47" s="373">
        <v>1556.9</v>
      </c>
      <c r="E47" s="373">
        <v>1683.9</v>
      </c>
      <c r="F47" s="373">
        <v>1710.96</v>
      </c>
      <c r="G47" s="373">
        <v>1798.97</v>
      </c>
      <c r="H47" s="373">
        <v>1800.76</v>
      </c>
      <c r="I47" s="373">
        <v>1856.55</v>
      </c>
      <c r="J47" s="373">
        <v>2043.82</v>
      </c>
      <c r="K47" s="373">
        <v>1981.67</v>
      </c>
      <c r="L47" s="373">
        <v>2006.93</v>
      </c>
      <c r="M47" s="373">
        <v>2131.9699999999998</v>
      </c>
    </row>
    <row r="48" spans="1:13" s="61" customFormat="1" ht="12.75" customHeight="1">
      <c r="A48" s="208" t="s">
        <v>96</v>
      </c>
      <c r="B48" s="326" t="s">
        <v>104</v>
      </c>
      <c r="C48" s="373">
        <v>950.59</v>
      </c>
      <c r="D48" s="373">
        <v>957.11</v>
      </c>
      <c r="E48" s="373">
        <v>956.51</v>
      </c>
      <c r="F48" s="373">
        <v>964.7</v>
      </c>
      <c r="G48" s="373">
        <v>994.49</v>
      </c>
      <c r="H48" s="373">
        <v>1024</v>
      </c>
      <c r="I48" s="373">
        <v>1057.8699999999999</v>
      </c>
      <c r="J48" s="373">
        <v>1115.8800000000001</v>
      </c>
      <c r="K48" s="373">
        <v>1140.2</v>
      </c>
      <c r="L48" s="373">
        <v>1185.8599999999999</v>
      </c>
      <c r="M48" s="373">
        <v>1259.4000000000001</v>
      </c>
    </row>
    <row r="49" spans="1:13" s="61" customFormat="1" ht="12.75" customHeight="1">
      <c r="A49" s="36" t="s">
        <v>97</v>
      </c>
      <c r="B49" s="37" t="s">
        <v>168</v>
      </c>
      <c r="C49" s="377">
        <v>1896.43</v>
      </c>
      <c r="D49" s="377">
        <v>1860.19</v>
      </c>
      <c r="E49" s="377">
        <v>2012.88</v>
      </c>
      <c r="F49" s="377">
        <v>2228.17</v>
      </c>
      <c r="G49" s="377">
        <v>2104.88</v>
      </c>
      <c r="H49" s="377">
        <v>2323.9899999999998</v>
      </c>
      <c r="I49" s="377">
        <v>2299.36</v>
      </c>
      <c r="J49" s="377">
        <v>2045.65</v>
      </c>
      <c r="K49" s="377">
        <v>1997.5</v>
      </c>
      <c r="L49" s="377">
        <v>3245.89</v>
      </c>
      <c r="M49" s="377">
        <v>3521.63</v>
      </c>
    </row>
    <row r="50" spans="1:13" s="61" customFormat="1" ht="15" customHeight="1">
      <c r="A50" s="21" t="s">
        <v>138</v>
      </c>
      <c r="B50" s="10"/>
      <c r="C50" s="97"/>
      <c r="D50" s="97"/>
      <c r="E50" s="97"/>
      <c r="F50" s="97"/>
      <c r="G50" s="98"/>
      <c r="H50" s="98"/>
      <c r="I50" s="98"/>
      <c r="J50" s="98"/>
      <c r="K50" s="98"/>
      <c r="L50" s="98"/>
      <c r="M50" s="98"/>
    </row>
    <row r="51" spans="1:13" ht="10.5" customHeight="1">
      <c r="B51" s="806" t="s">
        <v>4</v>
      </c>
      <c r="C51" s="806"/>
      <c r="D51" s="806"/>
      <c r="E51" s="806"/>
      <c r="F51" s="806"/>
      <c r="G51" s="806"/>
      <c r="H51" s="806"/>
      <c r="I51" s="806"/>
      <c r="J51" s="806"/>
      <c r="K51" s="806"/>
      <c r="L51" s="806"/>
      <c r="M51" s="452"/>
    </row>
    <row r="52" spans="1:13" ht="15" customHeight="1">
      <c r="B52" s="212"/>
    </row>
  </sheetData>
  <mergeCells count="2">
    <mergeCell ref="B51:L51"/>
    <mergeCell ref="A1:M1"/>
  </mergeCells>
  <phoneticPr fontId="25" type="noConversion"/>
  <conditionalFormatting sqref="E3 A1 A51:B51 G50 A5:B5 A2:E2 A3:C3 A4:E4 A52:E1048576 B50:D50 C5:I49 N1:O4 AC1:XFD1048576 N6:O1048576 N5">
    <cfRule type="cellIs" dxfId="240" priority="50" operator="equal">
      <formula>0</formula>
    </cfRule>
  </conditionalFormatting>
  <conditionalFormatting sqref="E50">
    <cfRule type="cellIs" dxfId="239" priority="49" operator="equal">
      <formula>0</formula>
    </cfRule>
  </conditionalFormatting>
  <conditionalFormatting sqref="A50">
    <cfRule type="cellIs" dxfId="238" priority="45" operator="equal">
      <formula>0</formula>
    </cfRule>
  </conditionalFormatting>
  <conditionalFormatting sqref="G2:G4 G52:G1048576 H4:I4">
    <cfRule type="cellIs" dxfId="237" priority="44" operator="equal">
      <formula>0</formula>
    </cfRule>
  </conditionalFormatting>
  <conditionalFormatting sqref="F2:F4 F52:F1048576">
    <cfRule type="cellIs" dxfId="236" priority="41" operator="equal">
      <formula>0</formula>
    </cfRule>
  </conditionalFormatting>
  <conditionalFormatting sqref="F50">
    <cfRule type="cellIs" dxfId="235" priority="40" operator="equal">
      <formula>0</formula>
    </cfRule>
  </conditionalFormatting>
  <conditionalFormatting sqref="I50">
    <cfRule type="cellIs" dxfId="234" priority="35" operator="equal">
      <formula>0</formula>
    </cfRule>
  </conditionalFormatting>
  <conditionalFormatting sqref="I2:I3 I52:I1048576">
    <cfRule type="cellIs" dxfId="233" priority="34" operator="equal">
      <formula>0</formula>
    </cfRule>
  </conditionalFormatting>
  <conditionalFormatting sqref="H50">
    <cfRule type="cellIs" dxfId="232" priority="32" operator="equal">
      <formula>0</formula>
    </cfRule>
  </conditionalFormatting>
  <conditionalFormatting sqref="H2:H3 H52:H1048576">
    <cfRule type="cellIs" dxfId="231" priority="31" operator="equal">
      <formula>0</formula>
    </cfRule>
  </conditionalFormatting>
  <conditionalFormatting sqref="J4">
    <cfRule type="cellIs" dxfId="230" priority="29" operator="equal">
      <formula>0</formula>
    </cfRule>
  </conditionalFormatting>
  <conditionalFormatting sqref="J5:J49">
    <cfRule type="cellIs" dxfId="229" priority="28" operator="equal">
      <formula>0</formula>
    </cfRule>
  </conditionalFormatting>
  <conditionalFormatting sqref="J50">
    <cfRule type="cellIs" dxfId="228" priority="27" operator="equal">
      <formula>0</formula>
    </cfRule>
  </conditionalFormatting>
  <conditionalFormatting sqref="J2:J3 J52:J1048576">
    <cfRule type="cellIs" dxfId="227" priority="26" operator="equal">
      <formula>0</formula>
    </cfRule>
  </conditionalFormatting>
  <conditionalFormatting sqref="K4">
    <cfRule type="cellIs" dxfId="226" priority="25" operator="equal">
      <formula>0</formula>
    </cfRule>
  </conditionalFormatting>
  <conditionalFormatting sqref="K5:K49">
    <cfRule type="cellIs" dxfId="225" priority="24" operator="equal">
      <formula>0</formula>
    </cfRule>
  </conditionalFormatting>
  <conditionalFormatting sqref="K50">
    <cfRule type="cellIs" dxfId="224" priority="23" operator="equal">
      <formula>0</formula>
    </cfRule>
  </conditionalFormatting>
  <conditionalFormatting sqref="K2:K3 K52:K1048576">
    <cfRule type="cellIs" dxfId="223" priority="22" operator="equal">
      <formula>0</formula>
    </cfRule>
  </conditionalFormatting>
  <conditionalFormatting sqref="L4">
    <cfRule type="cellIs" dxfId="222" priority="18" operator="equal">
      <formula>0</formula>
    </cfRule>
  </conditionalFormatting>
  <conditionalFormatting sqref="L5:L49">
    <cfRule type="cellIs" dxfId="221" priority="17" operator="equal">
      <formula>0</formula>
    </cfRule>
  </conditionalFormatting>
  <conditionalFormatting sqref="L50">
    <cfRule type="cellIs" dxfId="220" priority="16" operator="equal">
      <formula>0</formula>
    </cfRule>
  </conditionalFormatting>
  <conditionalFormatting sqref="L2:L3 L52:L1048576">
    <cfRule type="cellIs" dxfId="219" priority="15" operator="equal">
      <formula>0</formula>
    </cfRule>
  </conditionalFormatting>
  <conditionalFormatting sqref="M4">
    <cfRule type="cellIs" dxfId="218" priority="14" operator="equal">
      <formula>0</formula>
    </cfRule>
  </conditionalFormatting>
  <conditionalFormatting sqref="M5:M49">
    <cfRule type="cellIs" dxfId="217" priority="13" operator="equal">
      <formula>0</formula>
    </cfRule>
  </conditionalFormatting>
  <conditionalFormatting sqref="M50">
    <cfRule type="cellIs" dxfId="216" priority="12" operator="equal">
      <formula>0</formula>
    </cfRule>
  </conditionalFormatting>
  <conditionalFormatting sqref="M2:M3 M52:M1048576">
    <cfRule type="cellIs" dxfId="215" priority="11" operator="equal">
      <formula>0</formula>
    </cfRule>
  </conditionalFormatting>
  <conditionalFormatting sqref="O5">
    <cfRule type="cellIs" dxfId="21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8" orientation="portrait" r:id="rId1"/>
  <headerFooter>
    <oddHeader>&amp;C&amp;G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0">
    <tabColor rgb="FFA50021"/>
    <pageSetUpPr fitToPage="1"/>
  </sheetPr>
  <dimension ref="A1:GC42"/>
  <sheetViews>
    <sheetView showGridLines="0" workbookViewId="0">
      <selection sqref="A1:M2"/>
    </sheetView>
  </sheetViews>
  <sheetFormatPr defaultColWidth="9.140625" defaultRowHeight="11.25"/>
  <cols>
    <col min="1" max="1" width="14.7109375" style="132" customWidth="1"/>
    <col min="2" max="2" width="2.42578125" style="132" customWidth="1"/>
    <col min="3" max="13" width="6.42578125" style="132" customWidth="1"/>
    <col min="14" max="185" width="9.140625" style="132"/>
    <col min="186" max="16384" width="9.140625" style="29"/>
  </cols>
  <sheetData>
    <row r="1" spans="1:15" s="137" customFormat="1" ht="28.5" customHeight="1">
      <c r="A1" s="767" t="s">
        <v>737</v>
      </c>
      <c r="B1" s="767"/>
      <c r="C1" s="767"/>
      <c r="D1" s="767"/>
      <c r="E1" s="767"/>
      <c r="F1" s="767"/>
      <c r="G1" s="767"/>
      <c r="H1" s="767"/>
      <c r="I1" s="767"/>
      <c r="J1" s="767"/>
      <c r="K1" s="767"/>
      <c r="L1" s="767"/>
      <c r="M1" s="767"/>
    </row>
    <row r="2" spans="1:15" s="138" customFormat="1" ht="15" customHeight="1">
      <c r="A2" s="90"/>
      <c r="B2" s="90"/>
      <c r="C2" s="91"/>
      <c r="D2" s="91"/>
      <c r="E2" s="91"/>
      <c r="F2" s="91"/>
      <c r="G2" s="91"/>
      <c r="H2" s="91"/>
      <c r="I2" s="91"/>
      <c r="J2" s="91"/>
      <c r="K2" s="91"/>
      <c r="L2" s="91"/>
      <c r="M2" s="91"/>
    </row>
    <row r="3" spans="1:15" s="61" customFormat="1" ht="15" customHeight="1">
      <c r="A3" s="67" t="s">
        <v>14</v>
      </c>
      <c r="B3" s="68"/>
      <c r="C3" s="145"/>
      <c r="E3" s="190"/>
      <c r="F3" s="227"/>
      <c r="G3" s="224"/>
      <c r="H3" s="320"/>
      <c r="I3" s="272"/>
      <c r="J3" s="327"/>
      <c r="K3" s="427"/>
      <c r="L3" s="427"/>
      <c r="M3" s="427" t="s">
        <v>68</v>
      </c>
    </row>
    <row r="4" spans="1:15" s="122" customFormat="1" ht="29.25" customHeight="1" thickBot="1">
      <c r="A4" s="69"/>
      <c r="B4" s="69"/>
      <c r="C4" s="43">
        <v>2013</v>
      </c>
      <c r="D4" s="43">
        <v>2014</v>
      </c>
      <c r="E4" s="43">
        <v>2015</v>
      </c>
      <c r="F4" s="43">
        <v>2016</v>
      </c>
      <c r="G4" s="43">
        <v>2017</v>
      </c>
      <c r="H4" s="43">
        <v>2018</v>
      </c>
      <c r="I4" s="43">
        <v>2019</v>
      </c>
      <c r="J4" s="43">
        <v>2020</v>
      </c>
      <c r="K4" s="43">
        <v>2021</v>
      </c>
      <c r="L4" s="43">
        <v>2022</v>
      </c>
      <c r="M4" s="43">
        <v>2023</v>
      </c>
    </row>
    <row r="5" spans="1:15" s="71" customFormat="1" ht="16.5" customHeight="1" thickTop="1">
      <c r="A5" s="65" t="s">
        <v>12</v>
      </c>
      <c r="B5" s="68" t="s">
        <v>45</v>
      </c>
      <c r="C5" s="401">
        <v>1093.82</v>
      </c>
      <c r="D5" s="401">
        <v>1093.21</v>
      </c>
      <c r="E5" s="401">
        <v>1096.6600000000001</v>
      </c>
      <c r="F5" s="401">
        <v>1107.8599999999999</v>
      </c>
      <c r="G5" s="401">
        <v>1133.3399999999999</v>
      </c>
      <c r="H5" s="401">
        <v>1170.25</v>
      </c>
      <c r="I5" s="401">
        <v>1209.94</v>
      </c>
      <c r="J5" s="401">
        <v>1250.75</v>
      </c>
      <c r="K5" s="401">
        <v>1294.1099999999999</v>
      </c>
      <c r="L5" s="401">
        <v>1368</v>
      </c>
      <c r="M5" s="401">
        <v>1466.66</v>
      </c>
      <c r="O5" s="429"/>
    </row>
    <row r="6" spans="1:15" s="71" customFormat="1" ht="12.75" customHeight="1">
      <c r="A6" s="40"/>
      <c r="B6" s="68" t="s">
        <v>53</v>
      </c>
      <c r="C6" s="400">
        <v>1209.21</v>
      </c>
      <c r="D6" s="400">
        <v>1203.32</v>
      </c>
      <c r="E6" s="400">
        <v>1207.76</v>
      </c>
      <c r="F6" s="400">
        <v>1215.1099999999999</v>
      </c>
      <c r="G6" s="400">
        <v>1236.8499999999999</v>
      </c>
      <c r="H6" s="400">
        <v>1273.99</v>
      </c>
      <c r="I6" s="400">
        <v>1312.43</v>
      </c>
      <c r="J6" s="400">
        <v>1349.35</v>
      </c>
      <c r="K6" s="400">
        <v>1395.7</v>
      </c>
      <c r="L6" s="400">
        <v>1476.2</v>
      </c>
      <c r="M6" s="400">
        <v>1577.33</v>
      </c>
      <c r="O6" s="429"/>
    </row>
    <row r="7" spans="1:15" s="71" customFormat="1" ht="12.75" customHeight="1">
      <c r="A7" s="40"/>
      <c r="B7" s="68" t="s">
        <v>54</v>
      </c>
      <c r="C7" s="400">
        <v>958.12</v>
      </c>
      <c r="D7" s="400">
        <v>963.12</v>
      </c>
      <c r="E7" s="400">
        <v>966.85</v>
      </c>
      <c r="F7" s="400">
        <v>982.49</v>
      </c>
      <c r="G7" s="400">
        <v>1011.02</v>
      </c>
      <c r="H7" s="400">
        <v>1046.5899999999999</v>
      </c>
      <c r="I7" s="400">
        <v>1086.97</v>
      </c>
      <c r="J7" s="400">
        <v>1130.8699999999999</v>
      </c>
      <c r="K7" s="400">
        <v>1172.08</v>
      </c>
      <c r="L7" s="400">
        <v>1237.52</v>
      </c>
      <c r="M7" s="400">
        <v>1332.02</v>
      </c>
      <c r="O7" s="429"/>
    </row>
    <row r="8" spans="1:15" s="71" customFormat="1" ht="16.5" customHeight="1">
      <c r="A8" s="72" t="s">
        <v>32</v>
      </c>
      <c r="B8" s="68" t="s">
        <v>45</v>
      </c>
      <c r="C8" s="400">
        <v>799.84</v>
      </c>
      <c r="D8" s="400">
        <v>807.75</v>
      </c>
      <c r="E8" s="400">
        <v>801.28</v>
      </c>
      <c r="F8" s="400">
        <v>818.74</v>
      </c>
      <c r="G8" s="400">
        <v>843.63</v>
      </c>
      <c r="H8" s="400">
        <v>873.63</v>
      </c>
      <c r="I8" s="400">
        <v>909.38</v>
      </c>
      <c r="J8" s="400">
        <v>943.37</v>
      </c>
      <c r="K8" s="400">
        <v>982.2</v>
      </c>
      <c r="L8" s="400">
        <v>1033.6600000000001</v>
      </c>
      <c r="M8" s="400">
        <v>1118.18</v>
      </c>
    </row>
    <row r="9" spans="1:15" s="71" customFormat="1" ht="12.75" customHeight="1">
      <c r="A9" s="66"/>
      <c r="B9" s="73" t="s">
        <v>53</v>
      </c>
      <c r="C9" s="402">
        <v>851.21</v>
      </c>
      <c r="D9" s="402">
        <v>855.99</v>
      </c>
      <c r="E9" s="402">
        <v>849.99</v>
      </c>
      <c r="F9" s="402">
        <v>864.71</v>
      </c>
      <c r="G9" s="402">
        <v>888.8</v>
      </c>
      <c r="H9" s="402">
        <v>919.24</v>
      </c>
      <c r="I9" s="402">
        <v>956.75</v>
      </c>
      <c r="J9" s="402">
        <v>990.38</v>
      </c>
      <c r="K9" s="402">
        <v>1031.6099999999999</v>
      </c>
      <c r="L9" s="402">
        <v>1085.54</v>
      </c>
      <c r="M9" s="402">
        <v>1170.1400000000001</v>
      </c>
    </row>
    <row r="10" spans="1:15" s="71" customFormat="1" ht="12.75" customHeight="1">
      <c r="A10" s="66"/>
      <c r="B10" s="73" t="s">
        <v>54</v>
      </c>
      <c r="C10" s="402">
        <v>747.77</v>
      </c>
      <c r="D10" s="402">
        <v>758.83</v>
      </c>
      <c r="E10" s="402">
        <v>753.07</v>
      </c>
      <c r="F10" s="402">
        <v>772.61</v>
      </c>
      <c r="G10" s="402">
        <v>798.22</v>
      </c>
      <c r="H10" s="402">
        <v>827.54</v>
      </c>
      <c r="I10" s="402">
        <v>861.25</v>
      </c>
      <c r="J10" s="402">
        <v>894.41</v>
      </c>
      <c r="K10" s="402">
        <v>931.26</v>
      </c>
      <c r="L10" s="402">
        <v>980.42</v>
      </c>
      <c r="M10" s="402">
        <v>1064.9100000000001</v>
      </c>
    </row>
    <row r="11" spans="1:15" s="127" customFormat="1" ht="16.5" customHeight="1">
      <c r="A11" s="72" t="s">
        <v>33</v>
      </c>
      <c r="B11" s="68" t="s">
        <v>45</v>
      </c>
      <c r="C11" s="400">
        <v>945.4</v>
      </c>
      <c r="D11" s="400">
        <v>943.52</v>
      </c>
      <c r="E11" s="400">
        <v>938.69</v>
      </c>
      <c r="F11" s="400">
        <v>944.26</v>
      </c>
      <c r="G11" s="400">
        <v>962.82</v>
      </c>
      <c r="H11" s="400">
        <v>989.21</v>
      </c>
      <c r="I11" s="400">
        <v>1016.15</v>
      </c>
      <c r="J11" s="400">
        <v>1055.55</v>
      </c>
      <c r="K11" s="400">
        <v>1090.07</v>
      </c>
      <c r="L11" s="400">
        <v>1140.05</v>
      </c>
      <c r="M11" s="400">
        <v>1220.49</v>
      </c>
    </row>
    <row r="12" spans="1:15" s="71" customFormat="1" ht="12.75" customHeight="1">
      <c r="A12" s="66"/>
      <c r="B12" s="73" t="s">
        <v>53</v>
      </c>
      <c r="C12" s="402">
        <v>998.88</v>
      </c>
      <c r="D12" s="402">
        <v>991.32</v>
      </c>
      <c r="E12" s="402">
        <v>983.19</v>
      </c>
      <c r="F12" s="402">
        <v>986.26</v>
      </c>
      <c r="G12" s="402">
        <v>1001.68</v>
      </c>
      <c r="H12" s="402">
        <v>1029.0999999999999</v>
      </c>
      <c r="I12" s="402">
        <v>1054.94</v>
      </c>
      <c r="J12" s="402">
        <v>1093.76</v>
      </c>
      <c r="K12" s="402">
        <v>1129.1500000000001</v>
      </c>
      <c r="L12" s="402">
        <v>1182.83</v>
      </c>
      <c r="M12" s="402">
        <v>1263.18</v>
      </c>
    </row>
    <row r="13" spans="1:15" s="71" customFormat="1" ht="12.75" customHeight="1">
      <c r="A13" s="66"/>
      <c r="B13" s="73" t="s">
        <v>54</v>
      </c>
      <c r="C13" s="402">
        <v>881.77</v>
      </c>
      <c r="D13" s="402">
        <v>886.66</v>
      </c>
      <c r="E13" s="402">
        <v>886.4</v>
      </c>
      <c r="F13" s="402">
        <v>894.76</v>
      </c>
      <c r="G13" s="402">
        <v>917.4</v>
      </c>
      <c r="H13" s="402">
        <v>942.39</v>
      </c>
      <c r="I13" s="402">
        <v>970.37</v>
      </c>
      <c r="J13" s="402">
        <v>1009.03</v>
      </c>
      <c r="K13" s="402">
        <v>1043.1300000000001</v>
      </c>
      <c r="L13" s="402">
        <v>1089.45</v>
      </c>
      <c r="M13" s="402">
        <v>1169.6199999999999</v>
      </c>
    </row>
    <row r="14" spans="1:15" s="127" customFormat="1" ht="16.5" customHeight="1">
      <c r="A14" s="72" t="s">
        <v>34</v>
      </c>
      <c r="B14" s="68" t="s">
        <v>45</v>
      </c>
      <c r="C14" s="400">
        <v>991.35</v>
      </c>
      <c r="D14" s="400">
        <v>992.6</v>
      </c>
      <c r="E14" s="400">
        <v>990.45</v>
      </c>
      <c r="F14" s="400">
        <v>994.21</v>
      </c>
      <c r="G14" s="400">
        <v>1017.87</v>
      </c>
      <c r="H14" s="400">
        <v>1046.67</v>
      </c>
      <c r="I14" s="400">
        <v>1076.53</v>
      </c>
      <c r="J14" s="400">
        <v>1122.79</v>
      </c>
      <c r="K14" s="400">
        <v>1155.2</v>
      </c>
      <c r="L14" s="400">
        <v>1209.76</v>
      </c>
      <c r="M14" s="400">
        <v>1293.48</v>
      </c>
    </row>
    <row r="15" spans="1:15" s="71" customFormat="1" ht="12.75" customHeight="1">
      <c r="A15" s="66"/>
      <c r="B15" s="73" t="s">
        <v>53</v>
      </c>
      <c r="C15" s="402">
        <v>1067.97</v>
      </c>
      <c r="D15" s="402">
        <v>1065.08</v>
      </c>
      <c r="E15" s="402">
        <v>1063.74</v>
      </c>
      <c r="F15" s="402">
        <v>1059.92</v>
      </c>
      <c r="G15" s="402">
        <v>1080.57</v>
      </c>
      <c r="H15" s="402">
        <v>1108.77</v>
      </c>
      <c r="I15" s="402">
        <v>1139.4000000000001</v>
      </c>
      <c r="J15" s="402">
        <v>1183.01</v>
      </c>
      <c r="K15" s="402">
        <v>1218.78</v>
      </c>
      <c r="L15" s="402">
        <v>1273.77</v>
      </c>
      <c r="M15" s="402">
        <v>1356.37</v>
      </c>
    </row>
    <row r="16" spans="1:15" s="71" customFormat="1" ht="12.75" customHeight="1">
      <c r="A16" s="66"/>
      <c r="B16" s="73" t="s">
        <v>54</v>
      </c>
      <c r="C16" s="402">
        <v>894.61</v>
      </c>
      <c r="D16" s="402">
        <v>901.55</v>
      </c>
      <c r="E16" s="402">
        <v>900.05</v>
      </c>
      <c r="F16" s="402">
        <v>912.18</v>
      </c>
      <c r="G16" s="402">
        <v>938.81</v>
      </c>
      <c r="H16" s="402">
        <v>968.43</v>
      </c>
      <c r="I16" s="402">
        <v>996.33</v>
      </c>
      <c r="J16" s="402">
        <v>1042.02</v>
      </c>
      <c r="K16" s="402">
        <v>1072.4100000000001</v>
      </c>
      <c r="L16" s="402">
        <v>1126.48</v>
      </c>
      <c r="M16" s="402">
        <v>1212.06</v>
      </c>
    </row>
    <row r="17" spans="1:13" s="127" customFormat="1" ht="16.5" customHeight="1">
      <c r="A17" s="72" t="s">
        <v>35</v>
      </c>
      <c r="B17" s="68" t="s">
        <v>45</v>
      </c>
      <c r="C17" s="400">
        <v>1077.58</v>
      </c>
      <c r="D17" s="400">
        <v>1073.23</v>
      </c>
      <c r="E17" s="400">
        <v>1071.8800000000001</v>
      </c>
      <c r="F17" s="400">
        <v>1077.8800000000001</v>
      </c>
      <c r="G17" s="400">
        <v>1097.3599999999999</v>
      </c>
      <c r="H17" s="400">
        <v>1128.57</v>
      </c>
      <c r="I17" s="400">
        <v>1168.72</v>
      </c>
      <c r="J17" s="400">
        <v>1211.7</v>
      </c>
      <c r="K17" s="400">
        <v>1250.6400000000001</v>
      </c>
      <c r="L17" s="400">
        <v>1303.3499999999999</v>
      </c>
      <c r="M17" s="400">
        <v>1402.73</v>
      </c>
    </row>
    <row r="18" spans="1:13" s="71" customFormat="1" ht="12.75" customHeight="1">
      <c r="A18" s="66"/>
      <c r="B18" s="73" t="s">
        <v>53</v>
      </c>
      <c r="C18" s="402">
        <v>1209.51</v>
      </c>
      <c r="D18" s="402">
        <v>1201.45</v>
      </c>
      <c r="E18" s="402">
        <v>1192.8</v>
      </c>
      <c r="F18" s="402">
        <v>1193.95</v>
      </c>
      <c r="G18" s="402">
        <v>1207.56</v>
      </c>
      <c r="H18" s="402">
        <v>1235.6600000000001</v>
      </c>
      <c r="I18" s="402">
        <v>1274.7</v>
      </c>
      <c r="J18" s="402">
        <v>1318.5</v>
      </c>
      <c r="K18" s="402">
        <v>1360.47</v>
      </c>
      <c r="L18" s="402">
        <v>1413.74</v>
      </c>
      <c r="M18" s="402">
        <v>1515.37</v>
      </c>
    </row>
    <row r="19" spans="1:13" s="71" customFormat="1" ht="12.75" customHeight="1">
      <c r="A19" s="66"/>
      <c r="B19" s="73" t="s">
        <v>54</v>
      </c>
      <c r="C19" s="402">
        <v>927.58</v>
      </c>
      <c r="D19" s="402">
        <v>927.35</v>
      </c>
      <c r="E19" s="402">
        <v>932.86</v>
      </c>
      <c r="F19" s="402">
        <v>944.06</v>
      </c>
      <c r="G19" s="402">
        <v>968.84</v>
      </c>
      <c r="H19" s="402">
        <v>1002.6</v>
      </c>
      <c r="I19" s="402">
        <v>1039.92</v>
      </c>
      <c r="J19" s="402">
        <v>1079.06</v>
      </c>
      <c r="K19" s="402">
        <v>1115.78</v>
      </c>
      <c r="L19" s="402">
        <v>1168.23</v>
      </c>
      <c r="M19" s="402">
        <v>1262.29</v>
      </c>
    </row>
    <row r="20" spans="1:13" s="127" customFormat="1" ht="16.5" customHeight="1">
      <c r="A20" s="72" t="s">
        <v>36</v>
      </c>
      <c r="B20" s="68" t="s">
        <v>45</v>
      </c>
      <c r="C20" s="400">
        <v>1144.75</v>
      </c>
      <c r="D20" s="400">
        <v>1150.3900000000001</v>
      </c>
      <c r="E20" s="400">
        <v>1152.7</v>
      </c>
      <c r="F20" s="400">
        <v>1157.8499999999999</v>
      </c>
      <c r="G20" s="400">
        <v>1193.68</v>
      </c>
      <c r="H20" s="400">
        <v>1225.69</v>
      </c>
      <c r="I20" s="400">
        <v>1259.05</v>
      </c>
      <c r="J20" s="400">
        <v>1298.27</v>
      </c>
      <c r="K20" s="400">
        <v>1354.79</v>
      </c>
      <c r="L20" s="400">
        <v>1418.21</v>
      </c>
      <c r="M20" s="400">
        <v>1513.04</v>
      </c>
    </row>
    <row r="21" spans="1:13" s="71" customFormat="1" ht="12.75" customHeight="1">
      <c r="A21" s="66"/>
      <c r="B21" s="73" t="s">
        <v>53</v>
      </c>
      <c r="C21" s="402">
        <v>1302.48</v>
      </c>
      <c r="D21" s="402">
        <v>1303.53</v>
      </c>
      <c r="E21" s="402">
        <v>1305.5999999999999</v>
      </c>
      <c r="F21" s="402">
        <v>1304.81</v>
      </c>
      <c r="G21" s="402">
        <v>1340.33</v>
      </c>
      <c r="H21" s="402">
        <v>1371.62</v>
      </c>
      <c r="I21" s="402">
        <v>1397.33</v>
      </c>
      <c r="J21" s="402">
        <v>1431.57</v>
      </c>
      <c r="K21" s="402">
        <v>1497.9</v>
      </c>
      <c r="L21" s="402">
        <v>1563.11</v>
      </c>
      <c r="M21" s="402">
        <v>1653.43</v>
      </c>
    </row>
    <row r="22" spans="1:13" s="71" customFormat="1" ht="12.75" customHeight="1">
      <c r="A22" s="66"/>
      <c r="B22" s="73" t="s">
        <v>54</v>
      </c>
      <c r="C22" s="402">
        <v>968.99</v>
      </c>
      <c r="D22" s="402">
        <v>979.47</v>
      </c>
      <c r="E22" s="402">
        <v>984.32</v>
      </c>
      <c r="F22" s="402">
        <v>995.59</v>
      </c>
      <c r="G22" s="402">
        <v>1027.6199999999999</v>
      </c>
      <c r="H22" s="402">
        <v>1059.51</v>
      </c>
      <c r="I22" s="402">
        <v>1099.8499999999999</v>
      </c>
      <c r="J22" s="402">
        <v>1143.3</v>
      </c>
      <c r="K22" s="402">
        <v>1190.68</v>
      </c>
      <c r="L22" s="402">
        <v>1249.28</v>
      </c>
      <c r="M22" s="402">
        <v>1347.45</v>
      </c>
    </row>
    <row r="23" spans="1:13" s="127" customFormat="1" ht="16.5" customHeight="1">
      <c r="A23" s="72" t="s">
        <v>37</v>
      </c>
      <c r="B23" s="68" t="s">
        <v>45</v>
      </c>
      <c r="C23" s="400">
        <v>1323.3</v>
      </c>
      <c r="D23" s="400">
        <v>1313.56</v>
      </c>
      <c r="E23" s="400">
        <v>1327.59</v>
      </c>
      <c r="F23" s="400">
        <v>1303.5</v>
      </c>
      <c r="G23" s="400">
        <v>1300.19</v>
      </c>
      <c r="H23" s="400">
        <v>1352.9</v>
      </c>
      <c r="I23" s="400">
        <v>1389.89</v>
      </c>
      <c r="J23" s="400">
        <v>1425.82</v>
      </c>
      <c r="K23" s="400">
        <v>1467.44</v>
      </c>
      <c r="L23" s="400">
        <v>1552.23</v>
      </c>
      <c r="M23" s="400">
        <v>1671.12</v>
      </c>
    </row>
    <row r="24" spans="1:13" s="71" customFormat="1" ht="12.75" customHeight="1">
      <c r="A24" s="66"/>
      <c r="B24" s="73" t="s">
        <v>53</v>
      </c>
      <c r="C24" s="402">
        <v>1487.56</v>
      </c>
      <c r="D24" s="402">
        <v>1472.2</v>
      </c>
      <c r="E24" s="402">
        <v>1490.16</v>
      </c>
      <c r="F24" s="402">
        <v>1453.72</v>
      </c>
      <c r="G24" s="402">
        <v>1430.19</v>
      </c>
      <c r="H24" s="402">
        <v>1475.82</v>
      </c>
      <c r="I24" s="402">
        <v>1514.58</v>
      </c>
      <c r="J24" s="402">
        <v>1550.11</v>
      </c>
      <c r="K24" s="402">
        <v>1599.54</v>
      </c>
      <c r="L24" s="402">
        <v>1681.31</v>
      </c>
      <c r="M24" s="402">
        <v>1806.44</v>
      </c>
    </row>
    <row r="25" spans="1:13" s="71" customFormat="1" ht="12.75" customHeight="1">
      <c r="A25" s="66"/>
      <c r="B25" s="73" t="s">
        <v>54</v>
      </c>
      <c r="C25" s="402">
        <v>1112.81</v>
      </c>
      <c r="D25" s="402">
        <v>1105.3699999999999</v>
      </c>
      <c r="E25" s="402">
        <v>1113.8800000000001</v>
      </c>
      <c r="F25" s="402">
        <v>1112.76</v>
      </c>
      <c r="G25" s="402">
        <v>1130.1400000000001</v>
      </c>
      <c r="H25" s="402">
        <v>1190.72</v>
      </c>
      <c r="I25" s="402">
        <v>1227.28</v>
      </c>
      <c r="J25" s="402">
        <v>1261.93</v>
      </c>
      <c r="K25" s="402">
        <v>1296.28</v>
      </c>
      <c r="L25" s="402">
        <v>1384.33</v>
      </c>
      <c r="M25" s="402">
        <v>1491.86</v>
      </c>
    </row>
    <row r="26" spans="1:13" s="126" customFormat="1" ht="16.5" customHeight="1">
      <c r="A26" s="72" t="s">
        <v>38</v>
      </c>
      <c r="B26" s="68" t="s">
        <v>45</v>
      </c>
      <c r="C26" s="400">
        <v>1400.59</v>
      </c>
      <c r="D26" s="400">
        <v>1384.81</v>
      </c>
      <c r="E26" s="400">
        <v>1322.84</v>
      </c>
      <c r="F26" s="400">
        <v>1445.39</v>
      </c>
      <c r="G26" s="400">
        <v>1376.14</v>
      </c>
      <c r="H26" s="400">
        <v>1396.1</v>
      </c>
      <c r="I26" s="400">
        <v>1402.4</v>
      </c>
      <c r="J26" s="400">
        <v>1472.49</v>
      </c>
      <c r="K26" s="400">
        <v>1512</v>
      </c>
      <c r="L26" s="400">
        <v>1587.08</v>
      </c>
      <c r="M26" s="400">
        <v>1701.74</v>
      </c>
    </row>
    <row r="27" spans="1:13" s="119" customFormat="1" ht="12.75" customHeight="1">
      <c r="A27" s="66"/>
      <c r="B27" s="73" t="s">
        <v>53</v>
      </c>
      <c r="C27" s="402">
        <v>1541.41</v>
      </c>
      <c r="D27" s="402">
        <v>1526.42</v>
      </c>
      <c r="E27" s="402">
        <v>1434.04</v>
      </c>
      <c r="F27" s="402">
        <v>1628.69</v>
      </c>
      <c r="G27" s="402">
        <v>1522.4</v>
      </c>
      <c r="H27" s="402">
        <v>1534.08</v>
      </c>
      <c r="I27" s="402">
        <v>1506.43</v>
      </c>
      <c r="J27" s="402">
        <v>1558.5</v>
      </c>
      <c r="K27" s="402">
        <v>1624.77</v>
      </c>
      <c r="L27" s="402">
        <v>1706.09</v>
      </c>
      <c r="M27" s="402">
        <v>1809.92</v>
      </c>
    </row>
    <row r="28" spans="1:13" s="119" customFormat="1" ht="12.75" customHeight="1">
      <c r="A28" s="66"/>
      <c r="B28" s="73" t="s">
        <v>54</v>
      </c>
      <c r="C28" s="402">
        <v>1193.19</v>
      </c>
      <c r="D28" s="402">
        <v>1188.25</v>
      </c>
      <c r="E28" s="402">
        <v>1163.6400000000001</v>
      </c>
      <c r="F28" s="402">
        <v>1192.8</v>
      </c>
      <c r="G28" s="402">
        <v>1183.98</v>
      </c>
      <c r="H28" s="402">
        <v>1210.93</v>
      </c>
      <c r="I28" s="402">
        <v>1262.6600000000001</v>
      </c>
      <c r="J28" s="402">
        <v>1352.63</v>
      </c>
      <c r="K28" s="402">
        <v>1367.16</v>
      </c>
      <c r="L28" s="402">
        <v>1433.89</v>
      </c>
      <c r="M28" s="402">
        <v>1553.99</v>
      </c>
    </row>
    <row r="29" spans="1:13" s="126" customFormat="1" ht="16.5" customHeight="1">
      <c r="A29" s="72" t="s">
        <v>39</v>
      </c>
      <c r="B29" s="68" t="s">
        <v>45</v>
      </c>
      <c r="C29" s="400">
        <v>1439.84</v>
      </c>
      <c r="D29" s="400">
        <v>1389.18</v>
      </c>
      <c r="E29" s="400">
        <v>1550.47</v>
      </c>
      <c r="F29" s="400">
        <v>1457.94</v>
      </c>
      <c r="G29" s="400">
        <v>1565.5</v>
      </c>
      <c r="H29" s="400">
        <v>1614.65</v>
      </c>
      <c r="I29" s="400">
        <v>1633.33</v>
      </c>
      <c r="J29" s="400">
        <v>1753.65</v>
      </c>
      <c r="K29" s="400">
        <v>1653.73</v>
      </c>
      <c r="L29" s="400">
        <v>1727.94</v>
      </c>
      <c r="M29" s="400">
        <v>1769.4</v>
      </c>
    </row>
    <row r="30" spans="1:13" s="119" customFormat="1" ht="12.75" customHeight="1">
      <c r="A30" s="66"/>
      <c r="B30" s="73" t="s">
        <v>53</v>
      </c>
      <c r="C30" s="402">
        <v>1618.35</v>
      </c>
      <c r="D30" s="402">
        <v>1529.71</v>
      </c>
      <c r="E30" s="402">
        <v>1747.43</v>
      </c>
      <c r="F30" s="402">
        <v>1590.94</v>
      </c>
      <c r="G30" s="402">
        <v>1803.78</v>
      </c>
      <c r="H30" s="402">
        <v>1843.08</v>
      </c>
      <c r="I30" s="402">
        <v>1875.32</v>
      </c>
      <c r="J30" s="402">
        <v>2004.11</v>
      </c>
      <c r="K30" s="402">
        <v>1802.34</v>
      </c>
      <c r="L30" s="402">
        <v>1868.14</v>
      </c>
      <c r="M30" s="402">
        <v>1952.17</v>
      </c>
    </row>
    <row r="31" spans="1:13" s="119" customFormat="1" ht="12.75" customHeight="1">
      <c r="A31" s="66"/>
      <c r="B31" s="73" t="s">
        <v>54</v>
      </c>
      <c r="C31" s="402">
        <v>1192.27</v>
      </c>
      <c r="D31" s="402">
        <v>1186.27</v>
      </c>
      <c r="E31" s="402">
        <v>1268.79</v>
      </c>
      <c r="F31" s="402">
        <v>1255.68</v>
      </c>
      <c r="G31" s="402">
        <v>1218.51</v>
      </c>
      <c r="H31" s="402">
        <v>1272.8499999999999</v>
      </c>
      <c r="I31" s="402">
        <v>1272.74</v>
      </c>
      <c r="J31" s="402">
        <v>1379.96</v>
      </c>
      <c r="K31" s="402">
        <v>1435.63</v>
      </c>
      <c r="L31" s="402">
        <v>1513.81</v>
      </c>
      <c r="M31" s="402">
        <v>1532.98</v>
      </c>
    </row>
    <row r="32" spans="1:13" s="126" customFormat="1" ht="16.5" customHeight="1">
      <c r="A32" s="72" t="s">
        <v>40</v>
      </c>
      <c r="B32" s="68" t="s">
        <v>45</v>
      </c>
      <c r="C32" s="400">
        <v>1331.73</v>
      </c>
      <c r="D32" s="400">
        <v>1380.77</v>
      </c>
      <c r="E32" s="400">
        <v>1377.5</v>
      </c>
      <c r="F32" s="400">
        <v>1431.92</v>
      </c>
      <c r="G32" s="400">
        <v>1464.31</v>
      </c>
      <c r="H32" s="400">
        <v>1486.22</v>
      </c>
      <c r="I32" s="400">
        <v>1501.69</v>
      </c>
      <c r="J32" s="400">
        <v>1567.08</v>
      </c>
      <c r="K32" s="400">
        <v>1645.98</v>
      </c>
      <c r="L32" s="400">
        <v>1710.6</v>
      </c>
      <c r="M32" s="400">
        <v>1838.92</v>
      </c>
    </row>
    <row r="33" spans="1:13" s="119" customFormat="1" ht="12.75" customHeight="1">
      <c r="A33" s="66"/>
      <c r="B33" s="73" t="s">
        <v>53</v>
      </c>
      <c r="C33" s="402">
        <v>1440.6</v>
      </c>
      <c r="D33" s="402">
        <v>1496.83</v>
      </c>
      <c r="E33" s="402">
        <v>1498.32</v>
      </c>
      <c r="F33" s="402">
        <v>1550.33</v>
      </c>
      <c r="G33" s="402">
        <v>1569.7</v>
      </c>
      <c r="H33" s="402">
        <v>1588.96</v>
      </c>
      <c r="I33" s="402">
        <v>1606.96</v>
      </c>
      <c r="J33" s="402">
        <v>1674.03</v>
      </c>
      <c r="K33" s="402">
        <v>1781.25</v>
      </c>
      <c r="L33" s="402">
        <v>1854.45</v>
      </c>
      <c r="M33" s="402">
        <v>1981.43</v>
      </c>
    </row>
    <row r="34" spans="1:13" s="119" customFormat="1" ht="12.75" customHeight="1">
      <c r="A34" s="66"/>
      <c r="B34" s="73" t="s">
        <v>54</v>
      </c>
      <c r="C34" s="402">
        <v>1175.44</v>
      </c>
      <c r="D34" s="402">
        <v>1212.42</v>
      </c>
      <c r="E34" s="402">
        <v>1206.21</v>
      </c>
      <c r="F34" s="402">
        <v>1265.68</v>
      </c>
      <c r="G34" s="402">
        <v>1310.99</v>
      </c>
      <c r="H34" s="402">
        <v>1333.08</v>
      </c>
      <c r="I34" s="402">
        <v>1345.92</v>
      </c>
      <c r="J34" s="402">
        <v>1410.67</v>
      </c>
      <c r="K34" s="402">
        <v>1445.15</v>
      </c>
      <c r="L34" s="402">
        <v>1503.11</v>
      </c>
      <c r="M34" s="402">
        <v>1633.86</v>
      </c>
    </row>
    <row r="35" spans="1:13" s="126" customFormat="1" ht="16.5" customHeight="1">
      <c r="A35" s="72" t="s">
        <v>41</v>
      </c>
      <c r="B35" s="68" t="s">
        <v>45</v>
      </c>
      <c r="C35" s="400">
        <v>1485.52</v>
      </c>
      <c r="D35" s="400">
        <v>1449.4</v>
      </c>
      <c r="E35" s="400">
        <v>1435.29</v>
      </c>
      <c r="F35" s="400">
        <v>1436.39</v>
      </c>
      <c r="G35" s="400">
        <v>1413.67</v>
      </c>
      <c r="H35" s="400">
        <v>1480.55</v>
      </c>
      <c r="I35" s="400">
        <v>1546.27</v>
      </c>
      <c r="J35" s="400">
        <v>1593.82</v>
      </c>
      <c r="K35" s="400">
        <v>1639.07</v>
      </c>
      <c r="L35" s="400">
        <v>1762.6</v>
      </c>
      <c r="M35" s="400">
        <v>1881.07</v>
      </c>
    </row>
    <row r="36" spans="1:13" s="119" customFormat="1" ht="12.75" customHeight="1">
      <c r="A36" s="66"/>
      <c r="B36" s="73" t="s">
        <v>53</v>
      </c>
      <c r="C36" s="402">
        <v>1654.24</v>
      </c>
      <c r="D36" s="402">
        <v>1578.33</v>
      </c>
      <c r="E36" s="402">
        <v>1569.61</v>
      </c>
      <c r="F36" s="402">
        <v>1561.95</v>
      </c>
      <c r="G36" s="402">
        <v>1527.74</v>
      </c>
      <c r="H36" s="402">
        <v>1622.22</v>
      </c>
      <c r="I36" s="402">
        <v>1694.07</v>
      </c>
      <c r="J36" s="402">
        <v>1734.11</v>
      </c>
      <c r="K36" s="402">
        <v>1782.45</v>
      </c>
      <c r="L36" s="402">
        <v>1884.36</v>
      </c>
      <c r="M36" s="402">
        <v>1988.82</v>
      </c>
    </row>
    <row r="37" spans="1:13" s="119" customFormat="1" ht="12.75" customHeight="1">
      <c r="A37" s="74"/>
      <c r="B37" s="73" t="s">
        <v>54</v>
      </c>
      <c r="C37" s="402">
        <v>1276.51</v>
      </c>
      <c r="D37" s="402">
        <v>1287.82</v>
      </c>
      <c r="E37" s="402">
        <v>1271.83</v>
      </c>
      <c r="F37" s="402">
        <v>1279.21</v>
      </c>
      <c r="G37" s="402">
        <v>1280.1600000000001</v>
      </c>
      <c r="H37" s="402">
        <v>1313.95</v>
      </c>
      <c r="I37" s="402">
        <v>1373.97</v>
      </c>
      <c r="J37" s="402">
        <v>1418.8</v>
      </c>
      <c r="K37" s="402">
        <v>1465.14</v>
      </c>
      <c r="L37" s="402">
        <v>1608.77</v>
      </c>
      <c r="M37" s="402">
        <v>1730.83</v>
      </c>
    </row>
    <row r="38" spans="1:13" s="126" customFormat="1" ht="16.5" customHeight="1">
      <c r="A38" s="75" t="s">
        <v>72</v>
      </c>
      <c r="B38" s="68" t="s">
        <v>45</v>
      </c>
      <c r="C38" s="400">
        <v>1255.67</v>
      </c>
      <c r="D38" s="400">
        <v>1228.81</v>
      </c>
      <c r="E38" s="400">
        <v>1254.71</v>
      </c>
      <c r="F38" s="400">
        <v>1252.49</v>
      </c>
      <c r="G38" s="400">
        <v>1299.76</v>
      </c>
      <c r="H38" s="400">
        <v>1358.69</v>
      </c>
      <c r="I38" s="400">
        <v>1430.36</v>
      </c>
      <c r="J38" s="400">
        <v>1373.13</v>
      </c>
      <c r="K38" s="400">
        <v>1471.94</v>
      </c>
      <c r="L38" s="400">
        <v>1625.29</v>
      </c>
      <c r="M38" s="400">
        <v>1737.69</v>
      </c>
    </row>
    <row r="39" spans="1:13" s="119" customFormat="1" ht="12.75" customHeight="1">
      <c r="A39" s="74"/>
      <c r="B39" s="73" t="s">
        <v>53</v>
      </c>
      <c r="C39" s="402">
        <v>1408.27</v>
      </c>
      <c r="D39" s="402">
        <v>1369.93</v>
      </c>
      <c r="E39" s="402">
        <v>1410.79</v>
      </c>
      <c r="F39" s="402">
        <v>1406.31</v>
      </c>
      <c r="G39" s="402">
        <v>1427.03</v>
      </c>
      <c r="H39" s="402">
        <v>1487.08</v>
      </c>
      <c r="I39" s="402">
        <v>1570.94</v>
      </c>
      <c r="J39" s="402">
        <v>1476.01</v>
      </c>
      <c r="K39" s="402">
        <v>1577</v>
      </c>
      <c r="L39" s="402">
        <v>1807.96</v>
      </c>
      <c r="M39" s="402">
        <v>1952.08</v>
      </c>
    </row>
    <row r="40" spans="1:13" s="119" customFormat="1" ht="12.75" customHeight="1">
      <c r="A40" s="76"/>
      <c r="B40" s="77" t="s">
        <v>54</v>
      </c>
      <c r="C40" s="403">
        <v>1106.3599999999999</v>
      </c>
      <c r="D40" s="403">
        <v>1080.29</v>
      </c>
      <c r="E40" s="403">
        <v>1099.17</v>
      </c>
      <c r="F40" s="403">
        <v>1107.06</v>
      </c>
      <c r="G40" s="403">
        <v>1166.83</v>
      </c>
      <c r="H40" s="403">
        <v>1223.71</v>
      </c>
      <c r="I40" s="403">
        <v>1287.47</v>
      </c>
      <c r="J40" s="403">
        <v>1281.6600000000001</v>
      </c>
      <c r="K40" s="403">
        <v>1373.99</v>
      </c>
      <c r="L40" s="403">
        <v>1447.99</v>
      </c>
      <c r="M40" s="403">
        <v>1535.91</v>
      </c>
    </row>
    <row r="41" spans="1:13" s="61" customFormat="1" ht="15" customHeight="1">
      <c r="A41" s="21" t="s">
        <v>138</v>
      </c>
      <c r="B41" s="68"/>
      <c r="C41" s="93"/>
      <c r="D41" s="92"/>
      <c r="E41" s="92"/>
      <c r="F41" s="92"/>
      <c r="G41" s="92"/>
      <c r="H41" s="92"/>
      <c r="I41" s="92"/>
      <c r="J41" s="92"/>
      <c r="K41" s="92"/>
      <c r="L41" s="92"/>
      <c r="M41" s="92"/>
    </row>
    <row r="42" spans="1:13" s="61" customFormat="1" ht="23.25" customHeight="1">
      <c r="A42" s="768" t="s">
        <v>5</v>
      </c>
      <c r="B42" s="768"/>
      <c r="C42" s="768"/>
      <c r="D42" s="768"/>
      <c r="E42" s="768"/>
      <c r="F42" s="768"/>
      <c r="G42" s="768"/>
      <c r="H42" s="768"/>
      <c r="I42" s="768"/>
      <c r="J42" s="768"/>
      <c r="K42" s="768"/>
      <c r="L42" s="768"/>
      <c r="M42" s="768"/>
    </row>
  </sheetData>
  <mergeCells count="2">
    <mergeCell ref="A1:M1"/>
    <mergeCell ref="A42:M42"/>
  </mergeCells>
  <phoneticPr fontId="25" type="noConversion"/>
  <conditionalFormatting sqref="E3 A1 G41 A42 A2:E2 A3:C3 A43:E1048576 B41:E41 A4:E4 A5:I40 N1:XFD1048576">
    <cfRule type="cellIs" dxfId="213" priority="57" operator="equal">
      <formula>0</formula>
    </cfRule>
  </conditionalFormatting>
  <conditionalFormatting sqref="A41">
    <cfRule type="cellIs" dxfId="212" priority="56" operator="equal">
      <formula>0</formula>
    </cfRule>
  </conditionalFormatting>
  <conditionalFormatting sqref="G2:G4 G43:G1048576 H4:I4">
    <cfRule type="cellIs" dxfId="211" priority="55" operator="equal">
      <formula>0</formula>
    </cfRule>
  </conditionalFormatting>
  <conditionalFormatting sqref="F2:F4 F43:F1048576">
    <cfRule type="cellIs" dxfId="210" priority="52" operator="equal">
      <formula>0</formula>
    </cfRule>
  </conditionalFormatting>
  <conditionalFormatting sqref="F41">
    <cfRule type="cellIs" dxfId="209" priority="51" operator="equal">
      <formula>0</formula>
    </cfRule>
  </conditionalFormatting>
  <conditionalFormatting sqref="I41">
    <cfRule type="cellIs" dxfId="208" priority="49" operator="equal">
      <formula>0</formula>
    </cfRule>
  </conditionalFormatting>
  <conditionalFormatting sqref="I2:I3 I43:I1048576">
    <cfRule type="cellIs" dxfId="207" priority="48" operator="equal">
      <formula>0</formula>
    </cfRule>
  </conditionalFormatting>
  <conditionalFormatting sqref="H41">
    <cfRule type="cellIs" dxfId="206" priority="43" operator="equal">
      <formula>0</formula>
    </cfRule>
  </conditionalFormatting>
  <conditionalFormatting sqref="H2:H3 H43:H1048576">
    <cfRule type="cellIs" dxfId="205" priority="42" operator="equal">
      <formula>0</formula>
    </cfRule>
  </conditionalFormatting>
  <conditionalFormatting sqref="J8:J40">
    <cfRule type="cellIs" dxfId="204" priority="38" operator="equal">
      <formula>0</formula>
    </cfRule>
  </conditionalFormatting>
  <conditionalFormatting sqref="J4">
    <cfRule type="cellIs" dxfId="203" priority="37" operator="equal">
      <formula>0</formula>
    </cfRule>
  </conditionalFormatting>
  <conditionalFormatting sqref="J5:J7">
    <cfRule type="cellIs" dxfId="202" priority="36" operator="equal">
      <formula>0</formula>
    </cfRule>
  </conditionalFormatting>
  <conditionalFormatting sqref="J41">
    <cfRule type="cellIs" dxfId="201" priority="35" operator="equal">
      <formula>0</formula>
    </cfRule>
  </conditionalFormatting>
  <conditionalFormatting sqref="J2:J3 J43:J1048576">
    <cfRule type="cellIs" dxfId="200" priority="34" operator="equal">
      <formula>0</formula>
    </cfRule>
  </conditionalFormatting>
  <conditionalFormatting sqref="K8:K40">
    <cfRule type="cellIs" dxfId="199" priority="33" operator="equal">
      <formula>0</formula>
    </cfRule>
  </conditionalFormatting>
  <conditionalFormatting sqref="K4">
    <cfRule type="cellIs" dxfId="198" priority="32" operator="equal">
      <formula>0</formula>
    </cfRule>
  </conditionalFormatting>
  <conditionalFormatting sqref="K5:K7">
    <cfRule type="cellIs" dxfId="197" priority="31" operator="equal">
      <formula>0</formula>
    </cfRule>
  </conditionalFormatting>
  <conditionalFormatting sqref="K41">
    <cfRule type="cellIs" dxfId="196" priority="30" operator="equal">
      <formula>0</formula>
    </cfRule>
  </conditionalFormatting>
  <conditionalFormatting sqref="K2:K3 K43:K1048576">
    <cfRule type="cellIs" dxfId="195" priority="29" operator="equal">
      <formula>0</formula>
    </cfRule>
  </conditionalFormatting>
  <conditionalFormatting sqref="L8:L40">
    <cfRule type="cellIs" dxfId="194" priority="26" operator="equal">
      <formula>0</formula>
    </cfRule>
  </conditionalFormatting>
  <conditionalFormatting sqref="L4">
    <cfRule type="cellIs" dxfId="193" priority="25" operator="equal">
      <formula>0</formula>
    </cfRule>
  </conditionalFormatting>
  <conditionalFormatting sqref="L5:L7">
    <cfRule type="cellIs" dxfId="192" priority="24" operator="equal">
      <formula>0</formula>
    </cfRule>
  </conditionalFormatting>
  <conditionalFormatting sqref="L41">
    <cfRule type="cellIs" dxfId="191" priority="23" operator="equal">
      <formula>0</formula>
    </cfRule>
  </conditionalFormatting>
  <conditionalFormatting sqref="L2:L3 L43:L1048576">
    <cfRule type="cellIs" dxfId="190" priority="22" operator="equal">
      <formula>0</formula>
    </cfRule>
  </conditionalFormatting>
  <conditionalFormatting sqref="M8:M40">
    <cfRule type="cellIs" dxfId="189" priority="15" operator="equal">
      <formula>0</formula>
    </cfRule>
  </conditionalFormatting>
  <conditionalFormatting sqref="M4">
    <cfRule type="cellIs" dxfId="188" priority="14" operator="equal">
      <formula>0</formula>
    </cfRule>
  </conditionalFormatting>
  <conditionalFormatting sqref="M5:M7">
    <cfRule type="cellIs" dxfId="187" priority="13" operator="equal">
      <formula>0</formula>
    </cfRule>
  </conditionalFormatting>
  <conditionalFormatting sqref="M41">
    <cfRule type="cellIs" dxfId="186" priority="12" operator="equal">
      <formula>0</formula>
    </cfRule>
  </conditionalFormatting>
  <conditionalFormatting sqref="M2:M3 M43:M1048576">
    <cfRule type="cellIs" dxfId="185" priority="1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11">
    <tabColor rgb="FFA50021"/>
    <pageSetUpPr fitToPage="1"/>
  </sheetPr>
  <dimension ref="A1:GP25"/>
  <sheetViews>
    <sheetView showGridLines="0" workbookViewId="0">
      <selection sqref="A1:M2"/>
    </sheetView>
  </sheetViews>
  <sheetFormatPr defaultColWidth="9.140625" defaultRowHeight="15" customHeight="1"/>
  <cols>
    <col min="1" max="1" width="17.140625" style="81" customWidth="1"/>
    <col min="2" max="4" width="6.42578125" style="86" customWidth="1"/>
    <col min="5" max="12" width="6.42578125" style="81" customWidth="1"/>
    <col min="13" max="198" width="9.140625" style="81"/>
    <col min="199" max="16384" width="9.140625" style="8"/>
  </cols>
  <sheetData>
    <row r="1" spans="1:48" s="88" customFormat="1" ht="28.5" customHeight="1">
      <c r="A1" s="767" t="s">
        <v>739</v>
      </c>
      <c r="B1" s="767"/>
      <c r="C1" s="767"/>
      <c r="D1" s="767"/>
      <c r="E1" s="767"/>
      <c r="F1" s="767"/>
      <c r="G1" s="767"/>
      <c r="H1" s="767"/>
      <c r="I1" s="767"/>
      <c r="J1" s="767"/>
      <c r="K1" s="767"/>
      <c r="L1" s="767"/>
    </row>
    <row r="2" spans="1:48" s="4" customFormat="1" ht="15" customHeight="1">
      <c r="A2" s="11"/>
      <c r="B2" s="12"/>
      <c r="C2" s="12"/>
      <c r="D2" s="12"/>
    </row>
    <row r="3" spans="1:48" s="4" customFormat="1" ht="15" customHeight="1">
      <c r="A3" s="13" t="s">
        <v>14</v>
      </c>
      <c r="B3" s="145"/>
      <c r="E3" s="227"/>
      <c r="F3" s="190"/>
      <c r="G3" s="320"/>
      <c r="H3" s="272"/>
      <c r="I3" s="327"/>
      <c r="J3" s="427"/>
      <c r="K3" s="427"/>
      <c r="L3" s="427" t="s">
        <v>68</v>
      </c>
    </row>
    <row r="4" spans="1:48" s="4" customFormat="1" ht="28.5" customHeight="1" thickBot="1">
      <c r="A4" s="15"/>
      <c r="B4" s="16">
        <v>2013</v>
      </c>
      <c r="C4" s="16">
        <v>2014</v>
      </c>
      <c r="D4" s="16">
        <v>2015</v>
      </c>
      <c r="E4" s="16">
        <v>2016</v>
      </c>
      <c r="F4" s="16">
        <v>2017</v>
      </c>
      <c r="G4" s="16">
        <v>2018</v>
      </c>
      <c r="H4" s="16">
        <v>2019</v>
      </c>
      <c r="I4" s="16">
        <v>2020</v>
      </c>
      <c r="J4" s="16">
        <v>2021</v>
      </c>
      <c r="K4" s="16">
        <v>2022</v>
      </c>
      <c r="L4" s="16">
        <v>2023</v>
      </c>
      <c r="O4" s="448"/>
      <c r="P4" s="648">
        <f>+B4</f>
        <v>2013</v>
      </c>
      <c r="Q4" s="648">
        <f t="shared" ref="Q4:W4" si="0">+C4</f>
        <v>2014</v>
      </c>
      <c r="R4" s="648">
        <f t="shared" si="0"/>
        <v>2015</v>
      </c>
      <c r="S4" s="648">
        <f t="shared" si="0"/>
        <v>2016</v>
      </c>
      <c r="T4" s="648">
        <f t="shared" si="0"/>
        <v>2017</v>
      </c>
      <c r="U4" s="648">
        <f t="shared" si="0"/>
        <v>2018</v>
      </c>
      <c r="V4" s="648">
        <f t="shared" si="0"/>
        <v>2019</v>
      </c>
      <c r="W4" s="648">
        <f t="shared" si="0"/>
        <v>2020</v>
      </c>
      <c r="X4" s="648">
        <f>+J4</f>
        <v>2021</v>
      </c>
      <c r="Y4" s="648">
        <f t="shared" ref="Y4:Z4" si="1">+K4</f>
        <v>2022</v>
      </c>
      <c r="Z4" s="648">
        <f t="shared" si="1"/>
        <v>2023</v>
      </c>
      <c r="AA4" s="648">
        <f>+B4</f>
        <v>2013</v>
      </c>
      <c r="AB4" s="648">
        <f t="shared" ref="AB4:AJ4" si="2">+C4</f>
        <v>2014</v>
      </c>
      <c r="AC4" s="648">
        <f t="shared" si="2"/>
        <v>2015</v>
      </c>
      <c r="AD4" s="648">
        <f t="shared" si="2"/>
        <v>2016</v>
      </c>
      <c r="AE4" s="648">
        <f t="shared" si="2"/>
        <v>2017</v>
      </c>
      <c r="AF4" s="648">
        <f t="shared" si="2"/>
        <v>2018</v>
      </c>
      <c r="AG4" s="648">
        <f t="shared" si="2"/>
        <v>2019</v>
      </c>
      <c r="AH4" s="648">
        <f t="shared" si="2"/>
        <v>2020</v>
      </c>
      <c r="AI4" s="648">
        <f t="shared" si="2"/>
        <v>2021</v>
      </c>
      <c r="AJ4" s="648">
        <f t="shared" si="2"/>
        <v>2022</v>
      </c>
      <c r="AK4" s="648">
        <f>+L4</f>
        <v>2023</v>
      </c>
      <c r="AL4" s="648">
        <f>+B4</f>
        <v>2013</v>
      </c>
      <c r="AM4" s="648">
        <f t="shared" ref="AM4:AV4" si="3">+C4</f>
        <v>2014</v>
      </c>
      <c r="AN4" s="648">
        <f t="shared" si="3"/>
        <v>2015</v>
      </c>
      <c r="AO4" s="648">
        <f t="shared" si="3"/>
        <v>2016</v>
      </c>
      <c r="AP4" s="648">
        <f t="shared" si="3"/>
        <v>2017</v>
      </c>
      <c r="AQ4" s="648">
        <f t="shared" si="3"/>
        <v>2018</v>
      </c>
      <c r="AR4" s="648">
        <f t="shared" si="3"/>
        <v>2019</v>
      </c>
      <c r="AS4" s="648">
        <f t="shared" si="3"/>
        <v>2020</v>
      </c>
      <c r="AT4" s="648">
        <f t="shared" si="3"/>
        <v>2021</v>
      </c>
      <c r="AU4" s="648">
        <f t="shared" si="3"/>
        <v>2022</v>
      </c>
      <c r="AV4" s="648">
        <f t="shared" si="3"/>
        <v>2023</v>
      </c>
    </row>
    <row r="5" spans="1:48" s="4" customFormat="1" ht="20.25" customHeight="1" thickTop="1">
      <c r="A5" s="17" t="s">
        <v>12</v>
      </c>
      <c r="B5" s="404">
        <v>1093.82</v>
      </c>
      <c r="C5" s="404">
        <v>1093.21</v>
      </c>
      <c r="D5" s="404">
        <v>1096.6600000000001</v>
      </c>
      <c r="E5" s="404">
        <v>1107.8599999999999</v>
      </c>
      <c r="F5" s="404">
        <v>1133.3399999999999</v>
      </c>
      <c r="G5" s="404">
        <v>1170.25</v>
      </c>
      <c r="H5" s="404">
        <v>1209.94</v>
      </c>
      <c r="I5" s="404">
        <v>1250.75</v>
      </c>
      <c r="J5" s="404">
        <v>1294.1099999999999</v>
      </c>
      <c r="K5" s="404">
        <v>1368</v>
      </c>
      <c r="L5" s="404">
        <v>1466.66</v>
      </c>
      <c r="M5" s="118"/>
    </row>
    <row r="6" spans="1:48" s="4" customFormat="1" ht="20.25" customHeight="1">
      <c r="A6" s="17" t="s">
        <v>15</v>
      </c>
      <c r="B6" s="384">
        <v>961.84</v>
      </c>
      <c r="C6" s="384">
        <v>971.91</v>
      </c>
      <c r="D6" s="384">
        <v>984.24</v>
      </c>
      <c r="E6" s="384">
        <v>1001.02</v>
      </c>
      <c r="F6" s="384">
        <v>1028.8399999999999</v>
      </c>
      <c r="G6" s="384">
        <v>1070.6300000000001</v>
      </c>
      <c r="H6" s="384">
        <v>1111.21</v>
      </c>
      <c r="I6" s="384">
        <v>1147</v>
      </c>
      <c r="J6" s="384">
        <v>1177.95</v>
      </c>
      <c r="K6" s="384">
        <v>1252.03</v>
      </c>
      <c r="L6" s="384">
        <v>1348.68</v>
      </c>
      <c r="N6" s="647">
        <f>+(L6/B6-1)*100</f>
        <v>40.218747400815104</v>
      </c>
      <c r="O6" s="497">
        <f t="shared" ref="O6:O10" si="4">+L6-B6</f>
        <v>386.84000000000003</v>
      </c>
      <c r="P6" s="647">
        <f>B6*100/B$5</f>
        <v>87.934029364977789</v>
      </c>
      <c r="Q6" s="647">
        <f t="shared" ref="Q6:Z21" si="5">C6*100/C$5</f>
        <v>88.904236148589931</v>
      </c>
      <c r="R6" s="647">
        <f t="shared" si="5"/>
        <v>89.748873853336491</v>
      </c>
      <c r="S6" s="647">
        <f t="shared" si="5"/>
        <v>90.356182189085274</v>
      </c>
      <c r="T6" s="647">
        <f t="shared" si="5"/>
        <v>90.779466003141152</v>
      </c>
      <c r="U6" s="647">
        <f t="shared" si="5"/>
        <v>91.487289040803262</v>
      </c>
      <c r="V6" s="647">
        <f t="shared" si="5"/>
        <v>91.840091244193928</v>
      </c>
      <c r="W6" s="647">
        <f t="shared" si="5"/>
        <v>91.704977013791719</v>
      </c>
      <c r="X6" s="647">
        <f t="shared" si="5"/>
        <v>91.023946959686583</v>
      </c>
      <c r="Y6" s="647">
        <f t="shared" si="5"/>
        <v>91.522660818713447</v>
      </c>
      <c r="Z6" s="647">
        <f t="shared" si="5"/>
        <v>91.955872526693298</v>
      </c>
      <c r="AA6" s="4">
        <f>+RANK(B6,B$6:B$23,0)</f>
        <v>6</v>
      </c>
      <c r="AB6" s="4">
        <f t="shared" ref="AB6:AK21" si="6">+RANK(C6,C$6:C$23,0)</f>
        <v>5</v>
      </c>
      <c r="AC6" s="4">
        <f t="shared" si="6"/>
        <v>4</v>
      </c>
      <c r="AD6" s="4">
        <f t="shared" si="6"/>
        <v>4</v>
      </c>
      <c r="AE6" s="4">
        <f t="shared" si="6"/>
        <v>4</v>
      </c>
      <c r="AF6" s="4">
        <f t="shared" si="6"/>
        <v>4</v>
      </c>
      <c r="AG6" s="4">
        <f t="shared" si="6"/>
        <v>4</v>
      </c>
      <c r="AH6" s="4">
        <f t="shared" si="6"/>
        <v>4</v>
      </c>
      <c r="AI6" s="4">
        <f t="shared" si="6"/>
        <v>4</v>
      </c>
      <c r="AJ6" s="4">
        <f t="shared" si="6"/>
        <v>4</v>
      </c>
      <c r="AK6" s="4">
        <f>+RANK(L6,L$6:L$23,0)</f>
        <v>4</v>
      </c>
      <c r="AL6" s="647">
        <f>+(B6/B$5-1)*100</f>
        <v>-12.065970635022206</v>
      </c>
      <c r="AM6" s="647">
        <f t="shared" ref="AM6:AV21" si="7">+(C6/C$5-1)*100</f>
        <v>-11.095763851410078</v>
      </c>
      <c r="AN6" s="647">
        <f t="shared" si="7"/>
        <v>-10.251126146663514</v>
      </c>
      <c r="AO6" s="647">
        <f t="shared" si="7"/>
        <v>-9.6438178109147348</v>
      </c>
      <c r="AP6" s="647">
        <f t="shared" si="7"/>
        <v>-9.2205339968588369</v>
      </c>
      <c r="AQ6" s="647">
        <f t="shared" si="7"/>
        <v>-8.5127109591967454</v>
      </c>
      <c r="AR6" s="647">
        <f t="shared" si="7"/>
        <v>-8.1599087558060788</v>
      </c>
      <c r="AS6" s="647">
        <f t="shared" si="7"/>
        <v>-8.2950229862082772</v>
      </c>
      <c r="AT6" s="647">
        <f t="shared" si="7"/>
        <v>-8.9760530403134133</v>
      </c>
      <c r="AU6" s="647">
        <f t="shared" si="7"/>
        <v>-8.4773391812865473</v>
      </c>
      <c r="AV6" s="647">
        <f t="shared" si="7"/>
        <v>-8.0441274733066948</v>
      </c>
    </row>
    <row r="7" spans="1:48" s="4" customFormat="1" ht="15" customHeight="1">
      <c r="A7" s="17" t="s">
        <v>16</v>
      </c>
      <c r="B7" s="384">
        <v>991.36</v>
      </c>
      <c r="C7" s="384">
        <v>983.84</v>
      </c>
      <c r="D7" s="384">
        <v>984.04</v>
      </c>
      <c r="E7" s="384">
        <v>981.92</v>
      </c>
      <c r="F7" s="384">
        <v>1009.59</v>
      </c>
      <c r="G7" s="384">
        <v>1059.6099999999999</v>
      </c>
      <c r="H7" s="384">
        <v>1062.3599999999999</v>
      </c>
      <c r="I7" s="384">
        <v>1092.76</v>
      </c>
      <c r="J7" s="384">
        <v>1153.3900000000001</v>
      </c>
      <c r="K7" s="384">
        <v>1192.76</v>
      </c>
      <c r="L7" s="384">
        <v>1305.52</v>
      </c>
      <c r="N7" s="647">
        <f t="shared" ref="N7:N23" si="8">+(L7/B7-1)*100</f>
        <v>31.689799870884428</v>
      </c>
      <c r="O7" s="497">
        <f t="shared" si="4"/>
        <v>314.15999999999997</v>
      </c>
      <c r="P7" s="647">
        <f t="shared" ref="P7:Z23" si="9">B7*100/B$5</f>
        <v>90.632828070432069</v>
      </c>
      <c r="Q7" s="647">
        <f t="shared" si="5"/>
        <v>89.995517787067442</v>
      </c>
      <c r="R7" s="647">
        <f t="shared" si="5"/>
        <v>89.730636660405224</v>
      </c>
      <c r="S7" s="647">
        <f t="shared" si="5"/>
        <v>88.6321376347192</v>
      </c>
      <c r="T7" s="647">
        <f t="shared" si="5"/>
        <v>89.080946582667167</v>
      </c>
      <c r="U7" s="647">
        <f t="shared" si="5"/>
        <v>90.545609912411862</v>
      </c>
      <c r="V7" s="647">
        <f t="shared" si="5"/>
        <v>87.802700960378189</v>
      </c>
      <c r="W7" s="647">
        <f t="shared" si="5"/>
        <v>87.368378972616426</v>
      </c>
      <c r="X7" s="647">
        <f t="shared" si="5"/>
        <v>89.126117563421985</v>
      </c>
      <c r="Y7" s="647">
        <f t="shared" si="5"/>
        <v>87.190058479532169</v>
      </c>
      <c r="Z7" s="647">
        <f t="shared" si="5"/>
        <v>89.013131877872169</v>
      </c>
      <c r="AA7" s="4">
        <f t="shared" ref="AA7:AK23" si="10">+RANK(B7,B$6:B$23,0)</f>
        <v>4</v>
      </c>
      <c r="AB7" s="4">
        <f t="shared" si="6"/>
        <v>4</v>
      </c>
      <c r="AC7" s="4">
        <f t="shared" si="6"/>
        <v>5</v>
      </c>
      <c r="AD7" s="4">
        <f t="shared" si="6"/>
        <v>6</v>
      </c>
      <c r="AE7" s="4">
        <f t="shared" si="6"/>
        <v>6</v>
      </c>
      <c r="AF7" s="4">
        <f t="shared" si="6"/>
        <v>5</v>
      </c>
      <c r="AG7" s="4">
        <f t="shared" si="6"/>
        <v>7</v>
      </c>
      <c r="AH7" s="4">
        <f t="shared" si="6"/>
        <v>7</v>
      </c>
      <c r="AI7" s="4">
        <f t="shared" si="6"/>
        <v>7</v>
      </c>
      <c r="AJ7" s="4">
        <f t="shared" si="6"/>
        <v>7</v>
      </c>
      <c r="AK7" s="4">
        <f t="shared" si="6"/>
        <v>6</v>
      </c>
      <c r="AL7" s="647">
        <f t="shared" ref="AL7:AV23" si="11">+(B7/B$5-1)*100</f>
        <v>-9.367171929567931</v>
      </c>
      <c r="AM7" s="647">
        <f t="shared" si="7"/>
        <v>-10.004482212932553</v>
      </c>
      <c r="AN7" s="647">
        <f t="shared" si="7"/>
        <v>-10.269363339594783</v>
      </c>
      <c r="AO7" s="647">
        <f t="shared" si="7"/>
        <v>-11.367862365280812</v>
      </c>
      <c r="AP7" s="647">
        <f t="shared" si="7"/>
        <v>-10.919053417332824</v>
      </c>
      <c r="AQ7" s="647">
        <f t="shared" si="7"/>
        <v>-9.454390087588127</v>
      </c>
      <c r="AR7" s="647">
        <f t="shared" si="7"/>
        <v>-12.197299039621811</v>
      </c>
      <c r="AS7" s="647">
        <f t="shared" si="7"/>
        <v>-12.631621027383567</v>
      </c>
      <c r="AT7" s="647">
        <f t="shared" si="7"/>
        <v>-10.87388243657802</v>
      </c>
      <c r="AU7" s="647">
        <f t="shared" si="7"/>
        <v>-12.809941520467838</v>
      </c>
      <c r="AV7" s="647">
        <f t="shared" si="7"/>
        <v>-10.986868122127834</v>
      </c>
    </row>
    <row r="8" spans="1:48" s="4" customFormat="1" ht="15" customHeight="1">
      <c r="A8" s="17" t="s">
        <v>66</v>
      </c>
      <c r="B8" s="384">
        <v>868.5</v>
      </c>
      <c r="C8" s="384">
        <v>876.17</v>
      </c>
      <c r="D8" s="384">
        <v>880.48</v>
      </c>
      <c r="E8" s="384">
        <v>895.72</v>
      </c>
      <c r="F8" s="384">
        <v>929.88</v>
      </c>
      <c r="G8" s="384">
        <v>968.01</v>
      </c>
      <c r="H8" s="384">
        <v>1012.37</v>
      </c>
      <c r="I8" s="384">
        <v>1057.55</v>
      </c>
      <c r="J8" s="384">
        <v>1105.67</v>
      </c>
      <c r="K8" s="384">
        <v>1156.32</v>
      </c>
      <c r="L8" s="384">
        <v>1244.8900000000001</v>
      </c>
      <c r="N8" s="647">
        <f t="shared" si="8"/>
        <v>43.337938975244697</v>
      </c>
      <c r="O8" s="497">
        <f t="shared" si="4"/>
        <v>376.3900000000001</v>
      </c>
      <c r="P8" s="647">
        <f t="shared" si="9"/>
        <v>79.400632645225002</v>
      </c>
      <c r="Q8" s="647">
        <f t="shared" si="5"/>
        <v>80.146540920774598</v>
      </c>
      <c r="R8" s="647">
        <f t="shared" si="5"/>
        <v>80.287418160596715</v>
      </c>
      <c r="S8" s="647">
        <f t="shared" si="5"/>
        <v>80.851371111873348</v>
      </c>
      <c r="T8" s="647">
        <f t="shared" si="5"/>
        <v>82.047752660278476</v>
      </c>
      <c r="U8" s="647">
        <f t="shared" si="5"/>
        <v>82.718222602008112</v>
      </c>
      <c r="V8" s="647">
        <f t="shared" si="5"/>
        <v>83.671091128485713</v>
      </c>
      <c r="W8" s="647">
        <f t="shared" si="5"/>
        <v>84.553268039176487</v>
      </c>
      <c r="X8" s="647">
        <f t="shared" si="5"/>
        <v>85.438641228334532</v>
      </c>
      <c r="Y8" s="647">
        <f t="shared" si="5"/>
        <v>84.526315789473685</v>
      </c>
      <c r="Z8" s="647">
        <f t="shared" si="5"/>
        <v>84.879249451133873</v>
      </c>
      <c r="AA8" s="4">
        <f t="shared" si="10"/>
        <v>15</v>
      </c>
      <c r="AB8" s="4">
        <f t="shared" si="6"/>
        <v>15</v>
      </c>
      <c r="AC8" s="4">
        <f t="shared" si="6"/>
        <v>15</v>
      </c>
      <c r="AD8" s="4">
        <f t="shared" si="6"/>
        <v>14</v>
      </c>
      <c r="AE8" s="4">
        <f t="shared" si="6"/>
        <v>14</v>
      </c>
      <c r="AF8" s="4">
        <f t="shared" si="6"/>
        <v>13</v>
      </c>
      <c r="AG8" s="4">
        <f t="shared" si="6"/>
        <v>12</v>
      </c>
      <c r="AH8" s="4">
        <f t="shared" si="6"/>
        <v>11</v>
      </c>
      <c r="AI8" s="4">
        <f t="shared" si="6"/>
        <v>11</v>
      </c>
      <c r="AJ8" s="4">
        <f t="shared" si="6"/>
        <v>10</v>
      </c>
      <c r="AK8" s="4">
        <f t="shared" si="6"/>
        <v>10</v>
      </c>
      <c r="AL8" s="647">
        <f t="shared" si="11"/>
        <v>-20.599367354775001</v>
      </c>
      <c r="AM8" s="647">
        <f t="shared" si="7"/>
        <v>-19.853459079225409</v>
      </c>
      <c r="AN8" s="647">
        <f t="shared" si="7"/>
        <v>-19.712581839403288</v>
      </c>
      <c r="AO8" s="647">
        <f t="shared" si="7"/>
        <v>-19.148628888126652</v>
      </c>
      <c r="AP8" s="647">
        <f t="shared" si="7"/>
        <v>-17.952247339721527</v>
      </c>
      <c r="AQ8" s="647">
        <f t="shared" si="7"/>
        <v>-17.281777397991881</v>
      </c>
      <c r="AR8" s="647">
        <f t="shared" si="7"/>
        <v>-16.32890887151429</v>
      </c>
      <c r="AS8" s="647">
        <f t="shared" si="7"/>
        <v>-15.446731960823513</v>
      </c>
      <c r="AT8" s="647">
        <f t="shared" si="7"/>
        <v>-14.561358771665455</v>
      </c>
      <c r="AU8" s="647">
        <f t="shared" si="7"/>
        <v>-15.473684210526317</v>
      </c>
      <c r="AV8" s="647">
        <f t="shared" si="7"/>
        <v>-15.120750548866123</v>
      </c>
    </row>
    <row r="9" spans="1:48" s="4" customFormat="1" ht="15" customHeight="1">
      <c r="A9" s="17" t="s">
        <v>17</v>
      </c>
      <c r="B9" s="384">
        <v>851.39</v>
      </c>
      <c r="C9" s="384">
        <v>838.71</v>
      </c>
      <c r="D9" s="384">
        <v>838.85</v>
      </c>
      <c r="E9" s="384">
        <v>858.81</v>
      </c>
      <c r="F9" s="384">
        <v>882.59</v>
      </c>
      <c r="G9" s="384">
        <v>910.81</v>
      </c>
      <c r="H9" s="384">
        <v>944.95</v>
      </c>
      <c r="I9" s="384">
        <v>977.7</v>
      </c>
      <c r="J9" s="384">
        <v>1012.23</v>
      </c>
      <c r="K9" s="384">
        <v>1054.3699999999999</v>
      </c>
      <c r="L9" s="384">
        <v>1136.1600000000001</v>
      </c>
      <c r="N9" s="647">
        <f t="shared" si="8"/>
        <v>33.447656185766817</v>
      </c>
      <c r="O9" s="497">
        <f t="shared" si="4"/>
        <v>284.7700000000001</v>
      </c>
      <c r="P9" s="647">
        <f t="shared" si="9"/>
        <v>77.836389899617856</v>
      </c>
      <c r="Q9" s="647">
        <f t="shared" si="5"/>
        <v>76.719934870701877</v>
      </c>
      <c r="R9" s="647">
        <f t="shared" si="5"/>
        <v>76.491346451954115</v>
      </c>
      <c r="S9" s="647">
        <f t="shared" si="5"/>
        <v>77.519722708645503</v>
      </c>
      <c r="T9" s="647">
        <f t="shared" si="5"/>
        <v>77.875130146293259</v>
      </c>
      <c r="U9" s="647">
        <f t="shared" si="5"/>
        <v>77.830378124332412</v>
      </c>
      <c r="V9" s="647">
        <f t="shared" si="5"/>
        <v>78.098913995735316</v>
      </c>
      <c r="W9" s="647">
        <f t="shared" si="5"/>
        <v>78.169098540875481</v>
      </c>
      <c r="X9" s="647">
        <f t="shared" si="5"/>
        <v>78.218234925933658</v>
      </c>
      <c r="Y9" s="647">
        <f t="shared" si="5"/>
        <v>77.073830409356717</v>
      </c>
      <c r="Z9" s="647">
        <f t="shared" si="5"/>
        <v>77.465806662757558</v>
      </c>
      <c r="AA9" s="4">
        <f t="shared" si="10"/>
        <v>16</v>
      </c>
      <c r="AB9" s="4">
        <f t="shared" si="6"/>
        <v>17</v>
      </c>
      <c r="AC9" s="4">
        <f t="shared" si="6"/>
        <v>17</v>
      </c>
      <c r="AD9" s="4">
        <f t="shared" si="6"/>
        <v>17</v>
      </c>
      <c r="AE9" s="4">
        <f t="shared" si="6"/>
        <v>18</v>
      </c>
      <c r="AF9" s="4">
        <f t="shared" si="6"/>
        <v>18</v>
      </c>
      <c r="AG9" s="4">
        <f t="shared" si="6"/>
        <v>18</v>
      </c>
      <c r="AH9" s="4">
        <f t="shared" si="6"/>
        <v>18</v>
      </c>
      <c r="AI9" s="4">
        <f t="shared" si="6"/>
        <v>18</v>
      </c>
      <c r="AJ9" s="4">
        <f t="shared" si="6"/>
        <v>18</v>
      </c>
      <c r="AK9" s="4">
        <f t="shared" si="6"/>
        <v>18</v>
      </c>
      <c r="AL9" s="647">
        <f t="shared" si="11"/>
        <v>-22.163610100382147</v>
      </c>
      <c r="AM9" s="647">
        <f t="shared" si="7"/>
        <v>-23.280065129298123</v>
      </c>
      <c r="AN9" s="647">
        <f t="shared" si="7"/>
        <v>-23.508653548045888</v>
      </c>
      <c r="AO9" s="647">
        <f t="shared" si="7"/>
        <v>-22.480277291354501</v>
      </c>
      <c r="AP9" s="647">
        <f t="shared" si="7"/>
        <v>-22.124869853706731</v>
      </c>
      <c r="AQ9" s="647">
        <f t="shared" si="7"/>
        <v>-22.169621875667602</v>
      </c>
      <c r="AR9" s="647">
        <f t="shared" si="7"/>
        <v>-21.90108600426467</v>
      </c>
      <c r="AS9" s="647">
        <f t="shared" si="7"/>
        <v>-21.830901459124519</v>
      </c>
      <c r="AT9" s="647">
        <f t="shared" si="7"/>
        <v>-21.781765074066339</v>
      </c>
      <c r="AU9" s="647">
        <f t="shared" si="7"/>
        <v>-22.926169590643287</v>
      </c>
      <c r="AV9" s="647">
        <f t="shared" si="7"/>
        <v>-22.534193337242435</v>
      </c>
    </row>
    <row r="10" spans="1:48" s="4" customFormat="1" ht="15" customHeight="1">
      <c r="A10" s="17" t="s">
        <v>18</v>
      </c>
      <c r="B10" s="384">
        <v>841.84</v>
      </c>
      <c r="C10" s="384">
        <v>853.23</v>
      </c>
      <c r="D10" s="384">
        <v>858.65</v>
      </c>
      <c r="E10" s="384">
        <v>875.03</v>
      </c>
      <c r="F10" s="384">
        <v>904.07</v>
      </c>
      <c r="G10" s="384">
        <v>935.09</v>
      </c>
      <c r="H10" s="384">
        <v>971.15</v>
      </c>
      <c r="I10" s="384">
        <v>1010.47</v>
      </c>
      <c r="J10" s="384">
        <v>1053.79</v>
      </c>
      <c r="K10" s="384">
        <v>1106.6500000000001</v>
      </c>
      <c r="L10" s="384">
        <v>1180.77</v>
      </c>
      <c r="N10" s="647">
        <f t="shared" si="8"/>
        <v>40.260619595172464</v>
      </c>
      <c r="O10" s="497">
        <f t="shared" si="4"/>
        <v>338.92999999999995</v>
      </c>
      <c r="P10" s="647">
        <f t="shared" si="9"/>
        <v>76.963302920041698</v>
      </c>
      <c r="Q10" s="647">
        <f t="shared" si="5"/>
        <v>78.048133478471655</v>
      </c>
      <c r="R10" s="647">
        <f t="shared" si="5"/>
        <v>78.29682855214925</v>
      </c>
      <c r="S10" s="647">
        <f t="shared" si="5"/>
        <v>78.983806618164763</v>
      </c>
      <c r="T10" s="647">
        <f t="shared" si="5"/>
        <v>79.770413115216968</v>
      </c>
      <c r="U10" s="647">
        <f t="shared" si="5"/>
        <v>79.905148472548603</v>
      </c>
      <c r="V10" s="647">
        <f t="shared" si="5"/>
        <v>80.264310626973241</v>
      </c>
      <c r="W10" s="647">
        <f t="shared" si="5"/>
        <v>80.789126524085546</v>
      </c>
      <c r="X10" s="647">
        <f t="shared" si="5"/>
        <v>81.429708448277196</v>
      </c>
      <c r="Y10" s="647">
        <f t="shared" si="5"/>
        <v>80.895467836257325</v>
      </c>
      <c r="Z10" s="647">
        <f t="shared" si="5"/>
        <v>80.507411397324532</v>
      </c>
      <c r="AA10" s="4">
        <f t="shared" si="10"/>
        <v>17</v>
      </c>
      <c r="AB10" s="4">
        <f t="shared" si="6"/>
        <v>16</v>
      </c>
      <c r="AC10" s="4">
        <f t="shared" si="6"/>
        <v>16</v>
      </c>
      <c r="AD10" s="4">
        <f t="shared" si="6"/>
        <v>16</v>
      </c>
      <c r="AE10" s="4">
        <f t="shared" si="6"/>
        <v>16</v>
      </c>
      <c r="AF10" s="4">
        <f t="shared" si="6"/>
        <v>16</v>
      </c>
      <c r="AG10" s="4">
        <f t="shared" si="6"/>
        <v>17</v>
      </c>
      <c r="AH10" s="4">
        <f t="shared" si="6"/>
        <v>17</v>
      </c>
      <c r="AI10" s="4">
        <f t="shared" si="6"/>
        <v>15</v>
      </c>
      <c r="AJ10" s="4">
        <f t="shared" si="6"/>
        <v>15</v>
      </c>
      <c r="AK10" s="4">
        <f t="shared" si="6"/>
        <v>16</v>
      </c>
      <c r="AL10" s="647">
        <f t="shared" si="11"/>
        <v>-23.036697079958302</v>
      </c>
      <c r="AM10" s="647">
        <f t="shared" si="7"/>
        <v>-21.951866521528341</v>
      </c>
      <c r="AN10" s="647">
        <f t="shared" si="7"/>
        <v>-21.703171447850757</v>
      </c>
      <c r="AO10" s="647">
        <f t="shared" si="7"/>
        <v>-21.016193381835247</v>
      </c>
      <c r="AP10" s="647">
        <f t="shared" si="7"/>
        <v>-20.229586884783025</v>
      </c>
      <c r="AQ10" s="647">
        <f t="shared" si="7"/>
        <v>-20.094851527451397</v>
      </c>
      <c r="AR10" s="647">
        <f t="shared" si="7"/>
        <v>-19.735689373026766</v>
      </c>
      <c r="AS10" s="647">
        <f t="shared" si="7"/>
        <v>-19.210873475914447</v>
      </c>
      <c r="AT10" s="647">
        <f t="shared" si="7"/>
        <v>-18.570291551722807</v>
      </c>
      <c r="AU10" s="647">
        <f t="shared" si="7"/>
        <v>-19.104532163742682</v>
      </c>
      <c r="AV10" s="647">
        <f t="shared" si="7"/>
        <v>-19.492588602675475</v>
      </c>
    </row>
    <row r="11" spans="1:48" s="4" customFormat="1" ht="15" customHeight="1">
      <c r="A11" s="17" t="s">
        <v>19</v>
      </c>
      <c r="B11" s="384">
        <v>978.02</v>
      </c>
      <c r="C11" s="384">
        <v>966.21</v>
      </c>
      <c r="D11" s="384">
        <v>967</v>
      </c>
      <c r="E11" s="384">
        <v>990.53</v>
      </c>
      <c r="F11" s="384">
        <v>1018.25</v>
      </c>
      <c r="G11" s="384">
        <v>1053.3599999999999</v>
      </c>
      <c r="H11" s="384">
        <v>1094.1400000000001</v>
      </c>
      <c r="I11" s="384">
        <v>1118.0999999999999</v>
      </c>
      <c r="J11" s="384">
        <v>1169.3900000000001</v>
      </c>
      <c r="K11" s="384">
        <v>1222.97</v>
      </c>
      <c r="L11" s="384">
        <v>1317.31</v>
      </c>
      <c r="N11" s="647">
        <f t="shared" si="8"/>
        <v>34.691519600826147</v>
      </c>
      <c r="O11" s="497">
        <f t="shared" ref="O11:O23" si="12">+L11-B11</f>
        <v>339.28999999999996</v>
      </c>
      <c r="P11" s="647">
        <f t="shared" si="9"/>
        <v>89.413248980636666</v>
      </c>
      <c r="Q11" s="647">
        <f t="shared" si="5"/>
        <v>88.382835868680303</v>
      </c>
      <c r="R11" s="647">
        <f t="shared" si="5"/>
        <v>88.176827822661522</v>
      </c>
      <c r="S11" s="647">
        <f t="shared" si="5"/>
        <v>89.409311645875846</v>
      </c>
      <c r="T11" s="647">
        <f t="shared" si="5"/>
        <v>89.845059734942737</v>
      </c>
      <c r="U11" s="647">
        <f t="shared" si="5"/>
        <v>90.011535996581912</v>
      </c>
      <c r="V11" s="647">
        <f t="shared" si="5"/>
        <v>90.42927748483396</v>
      </c>
      <c r="W11" s="647">
        <f t="shared" si="5"/>
        <v>89.394363381970805</v>
      </c>
      <c r="X11" s="647">
        <f t="shared" si="5"/>
        <v>90.362488505613911</v>
      </c>
      <c r="Y11" s="647">
        <f t="shared" si="5"/>
        <v>89.398391812865498</v>
      </c>
      <c r="Z11" s="647">
        <f t="shared" si="5"/>
        <v>89.816999168178029</v>
      </c>
      <c r="AA11" s="4">
        <f t="shared" si="10"/>
        <v>5</v>
      </c>
      <c r="AB11" s="4">
        <f t="shared" si="6"/>
        <v>6</v>
      </c>
      <c r="AC11" s="4">
        <f t="shared" si="6"/>
        <v>6</v>
      </c>
      <c r="AD11" s="4">
        <f t="shared" si="6"/>
        <v>5</v>
      </c>
      <c r="AE11" s="4">
        <f t="shared" si="6"/>
        <v>5</v>
      </c>
      <c r="AF11" s="4">
        <f t="shared" si="6"/>
        <v>6</v>
      </c>
      <c r="AG11" s="4">
        <f t="shared" si="6"/>
        <v>5</v>
      </c>
      <c r="AH11" s="4">
        <f t="shared" si="6"/>
        <v>5</v>
      </c>
      <c r="AI11" s="4">
        <f t="shared" si="6"/>
        <v>5</v>
      </c>
      <c r="AJ11" s="4">
        <f t="shared" si="6"/>
        <v>5</v>
      </c>
      <c r="AK11" s="4">
        <f t="shared" si="6"/>
        <v>5</v>
      </c>
      <c r="AL11" s="647">
        <f t="shared" si="11"/>
        <v>-10.586751019363327</v>
      </c>
      <c r="AM11" s="647">
        <f t="shared" si="7"/>
        <v>-11.61716413131969</v>
      </c>
      <c r="AN11" s="647">
        <f t="shared" si="7"/>
        <v>-11.823172177338471</v>
      </c>
      <c r="AO11" s="647">
        <f t="shared" si="7"/>
        <v>-10.590688354124167</v>
      </c>
      <c r="AP11" s="647">
        <f t="shared" si="7"/>
        <v>-10.154940265057256</v>
      </c>
      <c r="AQ11" s="647">
        <f t="shared" si="7"/>
        <v>-9.988464003418084</v>
      </c>
      <c r="AR11" s="647">
        <f t="shared" si="7"/>
        <v>-9.5707225151660413</v>
      </c>
      <c r="AS11" s="647">
        <f t="shared" si="7"/>
        <v>-10.605636618029191</v>
      </c>
      <c r="AT11" s="647">
        <f t="shared" si="7"/>
        <v>-9.6375114943860858</v>
      </c>
      <c r="AU11" s="647">
        <f t="shared" si="7"/>
        <v>-10.601608187134504</v>
      </c>
      <c r="AV11" s="647">
        <f t="shared" si="7"/>
        <v>-10.183000831821975</v>
      </c>
    </row>
    <row r="12" spans="1:48" s="4" customFormat="1" ht="15" customHeight="1">
      <c r="A12" s="17" t="s">
        <v>20</v>
      </c>
      <c r="B12" s="384">
        <v>955.21</v>
      </c>
      <c r="C12" s="384">
        <v>955.65</v>
      </c>
      <c r="D12" s="384">
        <v>956.12</v>
      </c>
      <c r="E12" s="384">
        <v>967.64</v>
      </c>
      <c r="F12" s="384">
        <v>992.35</v>
      </c>
      <c r="G12" s="384">
        <v>1020.7</v>
      </c>
      <c r="H12" s="384">
        <v>1045.47</v>
      </c>
      <c r="I12" s="384">
        <v>1086.77</v>
      </c>
      <c r="J12" s="384">
        <v>1127.29</v>
      </c>
      <c r="K12" s="384">
        <v>1190.57</v>
      </c>
      <c r="L12" s="384">
        <v>1271.71</v>
      </c>
      <c r="N12" s="647">
        <f t="shared" si="8"/>
        <v>33.134075229530666</v>
      </c>
      <c r="O12" s="497">
        <f t="shared" si="12"/>
        <v>316.5</v>
      </c>
      <c r="P12" s="647">
        <f t="shared" si="9"/>
        <v>87.32789672889507</v>
      </c>
      <c r="Q12" s="647">
        <f t="shared" si="5"/>
        <v>87.416873244847736</v>
      </c>
      <c r="R12" s="647">
        <f t="shared" si="5"/>
        <v>87.184724527200771</v>
      </c>
      <c r="S12" s="647">
        <f t="shared" si="5"/>
        <v>87.343166104020369</v>
      </c>
      <c r="T12" s="647">
        <f t="shared" si="5"/>
        <v>87.559779060123176</v>
      </c>
      <c r="U12" s="647">
        <f t="shared" si="5"/>
        <v>87.220679342020929</v>
      </c>
      <c r="V12" s="647">
        <f t="shared" si="5"/>
        <v>86.406763971767191</v>
      </c>
      <c r="W12" s="647">
        <f t="shared" si="5"/>
        <v>86.889466320207873</v>
      </c>
      <c r="X12" s="647">
        <f t="shared" si="5"/>
        <v>87.109287463971384</v>
      </c>
      <c r="Y12" s="647">
        <f t="shared" si="5"/>
        <v>87.029970760233923</v>
      </c>
      <c r="Z12" s="647">
        <f t="shared" si="5"/>
        <v>86.707894126791487</v>
      </c>
      <c r="AA12" s="4">
        <f t="shared" si="10"/>
        <v>7</v>
      </c>
      <c r="AB12" s="4">
        <f t="shared" si="6"/>
        <v>7</v>
      </c>
      <c r="AC12" s="4">
        <f t="shared" si="6"/>
        <v>9</v>
      </c>
      <c r="AD12" s="4">
        <f t="shared" si="6"/>
        <v>8</v>
      </c>
      <c r="AE12" s="4">
        <f t="shared" si="6"/>
        <v>8</v>
      </c>
      <c r="AF12" s="4">
        <f t="shared" si="6"/>
        <v>9</v>
      </c>
      <c r="AG12" s="4">
        <f t="shared" si="6"/>
        <v>9</v>
      </c>
      <c r="AH12" s="4">
        <f t="shared" si="6"/>
        <v>8</v>
      </c>
      <c r="AI12" s="4">
        <f t="shared" si="6"/>
        <v>8</v>
      </c>
      <c r="AJ12" s="4">
        <f t="shared" si="6"/>
        <v>8</v>
      </c>
      <c r="AK12" s="4">
        <f t="shared" si="6"/>
        <v>8</v>
      </c>
      <c r="AL12" s="647">
        <f t="shared" si="11"/>
        <v>-12.672103271104929</v>
      </c>
      <c r="AM12" s="647">
        <f t="shared" si="7"/>
        <v>-12.583126755152263</v>
      </c>
      <c r="AN12" s="647">
        <f t="shared" si="7"/>
        <v>-12.815275472799236</v>
      </c>
      <c r="AO12" s="647">
        <f t="shared" si="7"/>
        <v>-12.656833895979624</v>
      </c>
      <c r="AP12" s="647">
        <f t="shared" si="7"/>
        <v>-12.440220939876811</v>
      </c>
      <c r="AQ12" s="647">
        <f t="shared" si="7"/>
        <v>-12.779320657979065</v>
      </c>
      <c r="AR12" s="647">
        <f t="shared" si="7"/>
        <v>-13.593236028232802</v>
      </c>
      <c r="AS12" s="647">
        <f t="shared" si="7"/>
        <v>-13.110533679792125</v>
      </c>
      <c r="AT12" s="647">
        <f t="shared" si="7"/>
        <v>-12.890712536028614</v>
      </c>
      <c r="AU12" s="647">
        <f t="shared" si="7"/>
        <v>-12.97002923976609</v>
      </c>
      <c r="AV12" s="647">
        <f t="shared" si="7"/>
        <v>-13.292105873208515</v>
      </c>
    </row>
    <row r="13" spans="1:48" s="4" customFormat="1" ht="15" customHeight="1">
      <c r="A13" s="17" t="s">
        <v>21</v>
      </c>
      <c r="B13" s="384">
        <v>930.97</v>
      </c>
      <c r="C13" s="384">
        <v>927.58</v>
      </c>
      <c r="D13" s="384">
        <v>926.13</v>
      </c>
      <c r="E13" s="384">
        <v>942.73</v>
      </c>
      <c r="F13" s="384">
        <v>968.19</v>
      </c>
      <c r="G13" s="384">
        <v>999.05</v>
      </c>
      <c r="H13" s="384">
        <v>1029.01</v>
      </c>
      <c r="I13" s="384">
        <v>1070.96</v>
      </c>
      <c r="J13" s="384">
        <v>1106.32</v>
      </c>
      <c r="K13" s="384">
        <v>1150.81</v>
      </c>
      <c r="L13" s="384">
        <v>1238.68</v>
      </c>
      <c r="N13" s="647">
        <f t="shared" si="8"/>
        <v>33.052622533486577</v>
      </c>
      <c r="O13" s="497">
        <f t="shared" si="12"/>
        <v>307.71000000000004</v>
      </c>
      <c r="P13" s="647">
        <f t="shared" si="9"/>
        <v>85.111809987017978</v>
      </c>
      <c r="Q13" s="647">
        <f t="shared" si="5"/>
        <v>84.849205550626138</v>
      </c>
      <c r="R13" s="647">
        <f t="shared" si="5"/>
        <v>84.450057447157732</v>
      </c>
      <c r="S13" s="647">
        <f t="shared" si="5"/>
        <v>85.094687054320957</v>
      </c>
      <c r="T13" s="647">
        <f t="shared" si="5"/>
        <v>85.428026893959455</v>
      </c>
      <c r="U13" s="647">
        <f t="shared" si="5"/>
        <v>85.37064729758599</v>
      </c>
      <c r="V13" s="647">
        <f t="shared" si="5"/>
        <v>85.04636593550093</v>
      </c>
      <c r="W13" s="647">
        <f t="shared" si="5"/>
        <v>85.625424745152912</v>
      </c>
      <c r="X13" s="647">
        <f t="shared" si="5"/>
        <v>85.488868797861088</v>
      </c>
      <c r="Y13" s="647">
        <f t="shared" si="5"/>
        <v>84.123538011695913</v>
      </c>
      <c r="Z13" s="647">
        <f t="shared" si="5"/>
        <v>84.455838435629246</v>
      </c>
      <c r="AA13" s="4">
        <f t="shared" si="10"/>
        <v>10</v>
      </c>
      <c r="AB13" s="4">
        <f t="shared" si="6"/>
        <v>10</v>
      </c>
      <c r="AC13" s="4">
        <f t="shared" si="6"/>
        <v>10</v>
      </c>
      <c r="AD13" s="4">
        <f t="shared" si="6"/>
        <v>10</v>
      </c>
      <c r="AE13" s="4">
        <f t="shared" si="6"/>
        <v>10</v>
      </c>
      <c r="AF13" s="4">
        <f t="shared" si="6"/>
        <v>10</v>
      </c>
      <c r="AG13" s="4">
        <f t="shared" si="6"/>
        <v>10</v>
      </c>
      <c r="AH13" s="4">
        <f t="shared" si="6"/>
        <v>10</v>
      </c>
      <c r="AI13" s="4">
        <f t="shared" si="6"/>
        <v>10</v>
      </c>
      <c r="AJ13" s="4">
        <f t="shared" si="6"/>
        <v>12</v>
      </c>
      <c r="AK13" s="4">
        <f t="shared" si="6"/>
        <v>11</v>
      </c>
      <c r="AL13" s="647">
        <f t="shared" si="11"/>
        <v>-14.888190012982017</v>
      </c>
      <c r="AM13" s="647">
        <f t="shared" si="7"/>
        <v>-15.150794449373862</v>
      </c>
      <c r="AN13" s="647">
        <f t="shared" si="7"/>
        <v>-15.549942552842278</v>
      </c>
      <c r="AO13" s="647">
        <f t="shared" si="7"/>
        <v>-14.90531294567905</v>
      </c>
      <c r="AP13" s="647">
        <f t="shared" si="7"/>
        <v>-14.571973106040536</v>
      </c>
      <c r="AQ13" s="647">
        <f t="shared" si="7"/>
        <v>-14.629352702414023</v>
      </c>
      <c r="AR13" s="647">
        <f t="shared" si="7"/>
        <v>-14.953634064499067</v>
      </c>
      <c r="AS13" s="647">
        <f t="shared" si="7"/>
        <v>-14.374575254847088</v>
      </c>
      <c r="AT13" s="647">
        <f t="shared" si="7"/>
        <v>-14.511131202138916</v>
      </c>
      <c r="AU13" s="647">
        <f t="shared" si="7"/>
        <v>-15.876461988304102</v>
      </c>
      <c r="AV13" s="647">
        <f t="shared" si="7"/>
        <v>-15.54416156437075</v>
      </c>
    </row>
    <row r="14" spans="1:48" s="4" customFormat="1" ht="15" customHeight="1">
      <c r="A14" s="17" t="s">
        <v>22</v>
      </c>
      <c r="B14" s="384">
        <v>814.63</v>
      </c>
      <c r="C14" s="384">
        <v>830.16</v>
      </c>
      <c r="D14" s="384">
        <v>837.53</v>
      </c>
      <c r="E14" s="384">
        <v>857.61</v>
      </c>
      <c r="F14" s="384">
        <v>896.02</v>
      </c>
      <c r="G14" s="384">
        <v>934.77</v>
      </c>
      <c r="H14" s="384">
        <v>973.04</v>
      </c>
      <c r="I14" s="384">
        <v>1010.86</v>
      </c>
      <c r="J14" s="384">
        <v>1047.3699999999999</v>
      </c>
      <c r="K14" s="384">
        <v>1100.0999999999999</v>
      </c>
      <c r="L14" s="384">
        <v>1176.51</v>
      </c>
      <c r="N14" s="647">
        <f t="shared" si="8"/>
        <v>44.422621312743217</v>
      </c>
      <c r="O14" s="497">
        <f t="shared" si="12"/>
        <v>361.88</v>
      </c>
      <c r="P14" s="647">
        <f t="shared" si="9"/>
        <v>74.475690698652429</v>
      </c>
      <c r="Q14" s="647">
        <f t="shared" si="5"/>
        <v>75.937834450837443</v>
      </c>
      <c r="R14" s="647">
        <f t="shared" si="5"/>
        <v>76.370980978607761</v>
      </c>
      <c r="S14" s="647">
        <f t="shared" si="5"/>
        <v>77.411405773292657</v>
      </c>
      <c r="T14" s="647">
        <f t="shared" si="5"/>
        <v>79.060123175746028</v>
      </c>
      <c r="U14" s="647">
        <f t="shared" si="5"/>
        <v>79.877803888058111</v>
      </c>
      <c r="V14" s="647">
        <f t="shared" si="5"/>
        <v>80.420516719837337</v>
      </c>
      <c r="W14" s="647">
        <f t="shared" si="5"/>
        <v>80.820307815310812</v>
      </c>
      <c r="X14" s="647">
        <f t="shared" si="5"/>
        <v>80.933614607722674</v>
      </c>
      <c r="Y14" s="647">
        <f t="shared" si="5"/>
        <v>80.416666666666657</v>
      </c>
      <c r="Z14" s="647">
        <f t="shared" si="5"/>
        <v>80.216955531616051</v>
      </c>
      <c r="AA14" s="4">
        <f t="shared" si="10"/>
        <v>18</v>
      </c>
      <c r="AB14" s="4">
        <f t="shared" si="6"/>
        <v>18</v>
      </c>
      <c r="AC14" s="4">
        <f t="shared" si="6"/>
        <v>18</v>
      </c>
      <c r="AD14" s="4">
        <f t="shared" si="6"/>
        <v>18</v>
      </c>
      <c r="AE14" s="4">
        <f t="shared" si="6"/>
        <v>17</v>
      </c>
      <c r="AF14" s="4">
        <f t="shared" si="6"/>
        <v>17</v>
      </c>
      <c r="AG14" s="4">
        <f t="shared" si="6"/>
        <v>16</v>
      </c>
      <c r="AH14" s="4">
        <f t="shared" si="6"/>
        <v>16</v>
      </c>
      <c r="AI14" s="4">
        <f t="shared" si="6"/>
        <v>16</v>
      </c>
      <c r="AJ14" s="4">
        <f t="shared" si="6"/>
        <v>17</v>
      </c>
      <c r="AK14" s="4">
        <f t="shared" si="6"/>
        <v>17</v>
      </c>
      <c r="AL14" s="647">
        <f t="shared" si="11"/>
        <v>-25.524309301347571</v>
      </c>
      <c r="AM14" s="647">
        <f t="shared" si="7"/>
        <v>-24.062165549162561</v>
      </c>
      <c r="AN14" s="647">
        <f t="shared" si="7"/>
        <v>-23.629019021392239</v>
      </c>
      <c r="AO14" s="647">
        <f t="shared" si="7"/>
        <v>-22.588594226707336</v>
      </c>
      <c r="AP14" s="647">
        <f t="shared" si="7"/>
        <v>-20.939876824253968</v>
      </c>
      <c r="AQ14" s="647">
        <f t="shared" si="7"/>
        <v>-20.122196111941893</v>
      </c>
      <c r="AR14" s="647">
        <f t="shared" si="7"/>
        <v>-19.579483280162655</v>
      </c>
      <c r="AS14" s="647">
        <f t="shared" si="7"/>
        <v>-19.179692184689191</v>
      </c>
      <c r="AT14" s="647">
        <f t="shared" si="7"/>
        <v>-19.066385392277319</v>
      </c>
      <c r="AU14" s="647">
        <f t="shared" si="7"/>
        <v>-19.583333333333343</v>
      </c>
      <c r="AV14" s="647">
        <f t="shared" si="7"/>
        <v>-19.783044468383949</v>
      </c>
    </row>
    <row r="15" spans="1:48" s="4" customFormat="1" ht="15" customHeight="1">
      <c r="A15" s="17" t="s">
        <v>23</v>
      </c>
      <c r="B15" s="384">
        <v>945.12</v>
      </c>
      <c r="C15" s="384">
        <v>953.78</v>
      </c>
      <c r="D15" s="384">
        <v>959.4</v>
      </c>
      <c r="E15" s="384">
        <v>975.87</v>
      </c>
      <c r="F15" s="384">
        <v>1005.47</v>
      </c>
      <c r="G15" s="384">
        <v>1040.3800000000001</v>
      </c>
      <c r="H15" s="384">
        <v>1073.6500000000001</v>
      </c>
      <c r="I15" s="384">
        <v>1108.21</v>
      </c>
      <c r="J15" s="384">
        <v>1156.54</v>
      </c>
      <c r="K15" s="384">
        <v>1211.27</v>
      </c>
      <c r="L15" s="384">
        <v>1289.3599999999999</v>
      </c>
      <c r="N15" s="647">
        <f t="shared" si="8"/>
        <v>36.422888098865734</v>
      </c>
      <c r="O15" s="497">
        <f t="shared" si="12"/>
        <v>344.2399999999999</v>
      </c>
      <c r="P15" s="647">
        <f t="shared" si="9"/>
        <v>86.405441480316696</v>
      </c>
      <c r="Q15" s="647">
        <f t="shared" si="5"/>
        <v>87.245817363544049</v>
      </c>
      <c r="R15" s="647">
        <f t="shared" si="5"/>
        <v>87.483814491273492</v>
      </c>
      <c r="S15" s="647">
        <f t="shared" si="5"/>
        <v>88.086039752315287</v>
      </c>
      <c r="T15" s="647">
        <f t="shared" si="5"/>
        <v>88.717419309298194</v>
      </c>
      <c r="U15" s="647">
        <f t="shared" si="5"/>
        <v>88.902371288186302</v>
      </c>
      <c r="V15" s="647">
        <f t="shared" si="5"/>
        <v>88.735805081243711</v>
      </c>
      <c r="W15" s="647">
        <f t="shared" si="5"/>
        <v>88.603637817309618</v>
      </c>
      <c r="X15" s="647">
        <f t="shared" si="5"/>
        <v>89.369528092666016</v>
      </c>
      <c r="Y15" s="647">
        <f t="shared" si="5"/>
        <v>88.543128654970758</v>
      </c>
      <c r="Z15" s="647">
        <f t="shared" si="5"/>
        <v>87.911308687766748</v>
      </c>
      <c r="AA15" s="4">
        <f t="shared" si="10"/>
        <v>9</v>
      </c>
      <c r="AB15" s="4">
        <f t="shared" si="6"/>
        <v>8</v>
      </c>
      <c r="AC15" s="4">
        <f t="shared" si="6"/>
        <v>7</v>
      </c>
      <c r="AD15" s="4">
        <f t="shared" si="6"/>
        <v>7</v>
      </c>
      <c r="AE15" s="4">
        <f t="shared" si="6"/>
        <v>7</v>
      </c>
      <c r="AF15" s="4">
        <f t="shared" si="6"/>
        <v>7</v>
      </c>
      <c r="AG15" s="4">
        <f t="shared" si="6"/>
        <v>6</v>
      </c>
      <c r="AH15" s="4">
        <f t="shared" si="6"/>
        <v>6</v>
      </c>
      <c r="AI15" s="4">
        <f t="shared" si="6"/>
        <v>6</v>
      </c>
      <c r="AJ15" s="4">
        <f t="shared" si="6"/>
        <v>6</v>
      </c>
      <c r="AK15" s="4">
        <f t="shared" si="6"/>
        <v>7</v>
      </c>
      <c r="AL15" s="647">
        <f t="shared" si="11"/>
        <v>-13.594558519683309</v>
      </c>
      <c r="AM15" s="647">
        <f t="shared" si="7"/>
        <v>-12.754182636455946</v>
      </c>
      <c r="AN15" s="647">
        <f t="shared" si="7"/>
        <v>-12.516185508726508</v>
      </c>
      <c r="AO15" s="647">
        <f t="shared" si="7"/>
        <v>-11.913960247684718</v>
      </c>
      <c r="AP15" s="647">
        <f t="shared" si="7"/>
        <v>-11.282580690701815</v>
      </c>
      <c r="AQ15" s="647">
        <f t="shared" si="7"/>
        <v>-11.097628711813702</v>
      </c>
      <c r="AR15" s="647">
        <f t="shared" si="7"/>
        <v>-11.264194918756299</v>
      </c>
      <c r="AS15" s="647">
        <f t="shared" si="7"/>
        <v>-11.396362182690378</v>
      </c>
      <c r="AT15" s="647">
        <f t="shared" si="7"/>
        <v>-10.630471907333995</v>
      </c>
      <c r="AU15" s="647">
        <f t="shared" si="7"/>
        <v>-11.45687134502924</v>
      </c>
      <c r="AV15" s="647">
        <f t="shared" si="7"/>
        <v>-12.088691312233246</v>
      </c>
    </row>
    <row r="16" spans="1:48" s="4" customFormat="1" ht="15" customHeight="1">
      <c r="A16" s="17" t="s">
        <v>24</v>
      </c>
      <c r="B16" s="384">
        <v>1399.09</v>
      </c>
      <c r="C16" s="384">
        <v>1392.42</v>
      </c>
      <c r="D16" s="384">
        <v>1391.17</v>
      </c>
      <c r="E16" s="384">
        <v>1395.75</v>
      </c>
      <c r="F16" s="384">
        <v>1416.56</v>
      </c>
      <c r="G16" s="384">
        <v>1449.43</v>
      </c>
      <c r="H16" s="384">
        <v>1487.75</v>
      </c>
      <c r="I16" s="384">
        <v>1526.77</v>
      </c>
      <c r="J16" s="384">
        <v>1576.15</v>
      </c>
      <c r="K16" s="384">
        <v>1668.92</v>
      </c>
      <c r="L16" s="384">
        <v>1779.36</v>
      </c>
      <c r="N16" s="647">
        <f t="shared" si="8"/>
        <v>27.179809733469607</v>
      </c>
      <c r="O16" s="497">
        <f t="shared" si="12"/>
        <v>380.27</v>
      </c>
      <c r="P16" s="647">
        <f t="shared" si="9"/>
        <v>127.90861384871369</v>
      </c>
      <c r="Q16" s="647">
        <f t="shared" si="5"/>
        <v>127.36985574592255</v>
      </c>
      <c r="R16" s="647">
        <f t="shared" si="5"/>
        <v>126.85517845093283</v>
      </c>
      <c r="S16" s="647">
        <f t="shared" si="5"/>
        <v>125.98613543227485</v>
      </c>
      <c r="T16" s="647">
        <f t="shared" si="5"/>
        <v>124.98985300086471</v>
      </c>
      <c r="U16" s="647">
        <f t="shared" si="5"/>
        <v>123.85644093142491</v>
      </c>
      <c r="V16" s="647">
        <f t="shared" si="5"/>
        <v>122.96064267649635</v>
      </c>
      <c r="W16" s="647">
        <f t="shared" si="5"/>
        <v>122.06835898460923</v>
      </c>
      <c r="X16" s="647">
        <f t="shared" si="5"/>
        <v>121.79412878348828</v>
      </c>
      <c r="Y16" s="647">
        <f t="shared" si="5"/>
        <v>121.99707602339181</v>
      </c>
      <c r="Z16" s="647">
        <f t="shared" si="5"/>
        <v>121.32055145705208</v>
      </c>
      <c r="AA16" s="4">
        <f t="shared" si="10"/>
        <v>1</v>
      </c>
      <c r="AB16" s="4">
        <f t="shared" si="6"/>
        <v>1</v>
      </c>
      <c r="AC16" s="4">
        <f t="shared" si="6"/>
        <v>1</v>
      </c>
      <c r="AD16" s="4">
        <f t="shared" si="6"/>
        <v>1</v>
      </c>
      <c r="AE16" s="4">
        <f t="shared" si="6"/>
        <v>1</v>
      </c>
      <c r="AF16" s="4">
        <f t="shared" si="6"/>
        <v>1</v>
      </c>
      <c r="AG16" s="4">
        <f t="shared" si="6"/>
        <v>1</v>
      </c>
      <c r="AH16" s="4">
        <f t="shared" si="6"/>
        <v>1</v>
      </c>
      <c r="AI16" s="4">
        <f t="shared" si="6"/>
        <v>1</v>
      </c>
      <c r="AJ16" s="4">
        <f t="shared" si="6"/>
        <v>1</v>
      </c>
      <c r="AK16" s="4">
        <f t="shared" si="6"/>
        <v>1</v>
      </c>
      <c r="AL16" s="647">
        <f t="shared" si="11"/>
        <v>27.908613848713681</v>
      </c>
      <c r="AM16" s="647">
        <f t="shared" si="7"/>
        <v>27.369855745922568</v>
      </c>
      <c r="AN16" s="647">
        <f t="shared" si="7"/>
        <v>26.855178450932836</v>
      </c>
      <c r="AO16" s="647">
        <f t="shared" si="7"/>
        <v>25.986135432274835</v>
      </c>
      <c r="AP16" s="647">
        <f t="shared" si="7"/>
        <v>24.989853000864713</v>
      </c>
      <c r="AQ16" s="647">
        <f t="shared" si="7"/>
        <v>23.856440931424917</v>
      </c>
      <c r="AR16" s="647">
        <f t="shared" si="7"/>
        <v>22.960642676496356</v>
      </c>
      <c r="AS16" s="647">
        <f t="shared" si="7"/>
        <v>22.068358984609237</v>
      </c>
      <c r="AT16" s="647">
        <f t="shared" si="7"/>
        <v>21.794128783488276</v>
      </c>
      <c r="AU16" s="647">
        <f t="shared" si="7"/>
        <v>21.997076023391827</v>
      </c>
      <c r="AV16" s="647">
        <f t="shared" si="7"/>
        <v>21.320551457052073</v>
      </c>
    </row>
    <row r="17" spans="1:48" s="4" customFormat="1" ht="15" customHeight="1">
      <c r="A17" s="17" t="s">
        <v>25</v>
      </c>
      <c r="B17" s="384">
        <v>894.32</v>
      </c>
      <c r="C17" s="384">
        <v>897.83</v>
      </c>
      <c r="D17" s="384">
        <v>901.87</v>
      </c>
      <c r="E17" s="384">
        <v>915.42</v>
      </c>
      <c r="F17" s="384">
        <v>934.83</v>
      </c>
      <c r="G17" s="384">
        <v>968.23</v>
      </c>
      <c r="H17" s="384">
        <v>989.48</v>
      </c>
      <c r="I17" s="384">
        <v>1029.47</v>
      </c>
      <c r="J17" s="384">
        <v>1078.92</v>
      </c>
      <c r="K17" s="384">
        <v>1126.5999999999999</v>
      </c>
      <c r="L17" s="384">
        <v>1197.92</v>
      </c>
      <c r="N17" s="647">
        <f t="shared" si="8"/>
        <v>33.947580284461942</v>
      </c>
      <c r="O17" s="497">
        <f t="shared" si="12"/>
        <v>303.60000000000002</v>
      </c>
      <c r="P17" s="647">
        <f t="shared" si="9"/>
        <v>81.761167285293752</v>
      </c>
      <c r="Q17" s="647">
        <f t="shared" si="5"/>
        <v>82.127861984431163</v>
      </c>
      <c r="R17" s="647">
        <f t="shared" si="5"/>
        <v>82.237885944595405</v>
      </c>
      <c r="S17" s="647">
        <f t="shared" si="5"/>
        <v>82.629574133915838</v>
      </c>
      <c r="T17" s="647">
        <f t="shared" si="5"/>
        <v>82.484514796971794</v>
      </c>
      <c r="U17" s="647">
        <f t="shared" si="5"/>
        <v>82.737022003845325</v>
      </c>
      <c r="V17" s="647">
        <f t="shared" si="5"/>
        <v>81.77926178157594</v>
      </c>
      <c r="W17" s="647">
        <f t="shared" si="5"/>
        <v>82.308215070957431</v>
      </c>
      <c r="X17" s="647">
        <f t="shared" si="5"/>
        <v>83.371583559357404</v>
      </c>
      <c r="Y17" s="647">
        <f t="shared" si="5"/>
        <v>82.353801169590639</v>
      </c>
      <c r="Z17" s="647">
        <f t="shared" si="5"/>
        <v>81.67673489424952</v>
      </c>
      <c r="AA17" s="4">
        <f t="shared" si="10"/>
        <v>11</v>
      </c>
      <c r="AB17" s="4">
        <f t="shared" si="6"/>
        <v>11</v>
      </c>
      <c r="AC17" s="4">
        <f t="shared" si="6"/>
        <v>11</v>
      </c>
      <c r="AD17" s="4">
        <f t="shared" si="6"/>
        <v>11</v>
      </c>
      <c r="AE17" s="4">
        <f t="shared" si="6"/>
        <v>13</v>
      </c>
      <c r="AF17" s="4">
        <f t="shared" si="6"/>
        <v>12</v>
      </c>
      <c r="AG17" s="4">
        <f t="shared" si="6"/>
        <v>15</v>
      </c>
      <c r="AH17" s="4">
        <f t="shared" si="6"/>
        <v>14</v>
      </c>
      <c r="AI17" s="4">
        <f t="shared" si="6"/>
        <v>14</v>
      </c>
      <c r="AJ17" s="4">
        <f t="shared" si="6"/>
        <v>14</v>
      </c>
      <c r="AK17" s="4">
        <f t="shared" si="6"/>
        <v>14</v>
      </c>
      <c r="AL17" s="647">
        <f t="shared" si="11"/>
        <v>-18.238832714706255</v>
      </c>
      <c r="AM17" s="647">
        <f t="shared" si="7"/>
        <v>-17.872138015568829</v>
      </c>
      <c r="AN17" s="647">
        <f t="shared" si="7"/>
        <v>-17.762114055404599</v>
      </c>
      <c r="AO17" s="647">
        <f t="shared" si="7"/>
        <v>-17.370425866084162</v>
      </c>
      <c r="AP17" s="647">
        <f t="shared" si="7"/>
        <v>-17.515485203028202</v>
      </c>
      <c r="AQ17" s="647">
        <f t="shared" si="7"/>
        <v>-17.262977996154671</v>
      </c>
      <c r="AR17" s="647">
        <f t="shared" si="7"/>
        <v>-18.22073821842406</v>
      </c>
      <c r="AS17" s="647">
        <f t="shared" si="7"/>
        <v>-17.691784929042576</v>
      </c>
      <c r="AT17" s="647">
        <f t="shared" si="7"/>
        <v>-16.628416440642589</v>
      </c>
      <c r="AU17" s="647">
        <f t="shared" si="7"/>
        <v>-17.646198830409364</v>
      </c>
      <c r="AV17" s="647">
        <f t="shared" si="7"/>
        <v>-18.323265105750476</v>
      </c>
    </row>
    <row r="18" spans="1:48" s="4" customFormat="1" ht="15" customHeight="1">
      <c r="A18" s="17" t="s">
        <v>26</v>
      </c>
      <c r="B18" s="384">
        <v>1040.1300000000001</v>
      </c>
      <c r="C18" s="384">
        <v>1041.1099999999999</v>
      </c>
      <c r="D18" s="384">
        <v>1048.67</v>
      </c>
      <c r="E18" s="384">
        <v>1058.57</v>
      </c>
      <c r="F18" s="384">
        <v>1082.4000000000001</v>
      </c>
      <c r="G18" s="384">
        <v>1128.55</v>
      </c>
      <c r="H18" s="384">
        <v>1173.8800000000001</v>
      </c>
      <c r="I18" s="384">
        <v>1224.71</v>
      </c>
      <c r="J18" s="384">
        <v>1267.81</v>
      </c>
      <c r="K18" s="384">
        <v>1343.18</v>
      </c>
      <c r="L18" s="384">
        <v>1444.09</v>
      </c>
      <c r="N18" s="647">
        <f t="shared" si="8"/>
        <v>38.83745301068133</v>
      </c>
      <c r="O18" s="497">
        <f t="shared" si="12"/>
        <v>403.95999999999981</v>
      </c>
      <c r="P18" s="647">
        <f t="shared" si="9"/>
        <v>95.091514143094855</v>
      </c>
      <c r="Q18" s="647">
        <f t="shared" si="5"/>
        <v>95.234218494159379</v>
      </c>
      <c r="R18" s="647">
        <f t="shared" si="5"/>
        <v>95.623985556143197</v>
      </c>
      <c r="S18" s="647">
        <f t="shared" si="5"/>
        <v>95.550881880382008</v>
      </c>
      <c r="T18" s="647">
        <f t="shared" si="5"/>
        <v>95.505320556937917</v>
      </c>
      <c r="U18" s="647">
        <f t="shared" si="5"/>
        <v>96.43665883358257</v>
      </c>
      <c r="V18" s="647">
        <f t="shared" si="5"/>
        <v>97.019686926624473</v>
      </c>
      <c r="W18" s="647">
        <f t="shared" si="5"/>
        <v>97.918049170497696</v>
      </c>
      <c r="X18" s="647">
        <f t="shared" si="5"/>
        <v>97.967715263772021</v>
      </c>
      <c r="Y18" s="647">
        <f t="shared" si="5"/>
        <v>98.185672514619881</v>
      </c>
      <c r="Z18" s="647">
        <f t="shared" si="5"/>
        <v>98.461129368769846</v>
      </c>
      <c r="AA18" s="4">
        <f t="shared" si="10"/>
        <v>3</v>
      </c>
      <c r="AB18" s="4">
        <f t="shared" si="6"/>
        <v>3</v>
      </c>
      <c r="AC18" s="4">
        <f t="shared" si="6"/>
        <v>3</v>
      </c>
      <c r="AD18" s="4">
        <f t="shared" si="6"/>
        <v>3</v>
      </c>
      <c r="AE18" s="4">
        <f t="shared" si="6"/>
        <v>3</v>
      </c>
      <c r="AF18" s="4">
        <f t="shared" si="6"/>
        <v>3</v>
      </c>
      <c r="AG18" s="4">
        <f t="shared" si="6"/>
        <v>3</v>
      </c>
      <c r="AH18" s="4">
        <f t="shared" si="6"/>
        <v>3</v>
      </c>
      <c r="AI18" s="4">
        <f t="shared" si="6"/>
        <v>3</v>
      </c>
      <c r="AJ18" s="4">
        <f t="shared" si="6"/>
        <v>3</v>
      </c>
      <c r="AK18" s="4">
        <f t="shared" si="6"/>
        <v>3</v>
      </c>
      <c r="AL18" s="647">
        <f t="shared" si="11"/>
        <v>-4.9084858569051431</v>
      </c>
      <c r="AM18" s="647">
        <f t="shared" si="7"/>
        <v>-4.7657815058406054</v>
      </c>
      <c r="AN18" s="647">
        <f t="shared" si="7"/>
        <v>-4.3760144438568016</v>
      </c>
      <c r="AO18" s="647">
        <f t="shared" si="7"/>
        <v>-4.4491181196180012</v>
      </c>
      <c r="AP18" s="647">
        <f t="shared" si="7"/>
        <v>-4.494679443062088</v>
      </c>
      <c r="AQ18" s="647">
        <f t="shared" si="7"/>
        <v>-3.563341166417433</v>
      </c>
      <c r="AR18" s="647">
        <f t="shared" si="7"/>
        <v>-2.9803130733755401</v>
      </c>
      <c r="AS18" s="647">
        <f t="shared" si="7"/>
        <v>-2.0819508295022993</v>
      </c>
      <c r="AT18" s="647">
        <f t="shared" si="7"/>
        <v>-2.032284736227985</v>
      </c>
      <c r="AU18" s="647">
        <f t="shared" si="7"/>
        <v>-1.8143274853801072</v>
      </c>
      <c r="AV18" s="647">
        <f t="shared" si="7"/>
        <v>-1.5388706312301492</v>
      </c>
    </row>
    <row r="19" spans="1:48" s="4" customFormat="1" ht="15" customHeight="1">
      <c r="A19" s="17" t="s">
        <v>27</v>
      </c>
      <c r="B19" s="384">
        <v>945.7</v>
      </c>
      <c r="C19" s="384">
        <v>948.38</v>
      </c>
      <c r="D19" s="384">
        <v>957.21</v>
      </c>
      <c r="E19" s="384">
        <v>962.52</v>
      </c>
      <c r="F19" s="384">
        <v>990.46</v>
      </c>
      <c r="G19" s="384">
        <v>1023.31</v>
      </c>
      <c r="H19" s="384">
        <v>1050.52</v>
      </c>
      <c r="I19" s="384">
        <v>1086.33</v>
      </c>
      <c r="J19" s="384">
        <v>1122.5899999999999</v>
      </c>
      <c r="K19" s="384">
        <v>1182.04</v>
      </c>
      <c r="L19" s="384">
        <v>1264.1500000000001</v>
      </c>
      <c r="N19" s="647">
        <f t="shared" si="8"/>
        <v>33.673469387755105</v>
      </c>
      <c r="O19" s="497">
        <f t="shared" si="12"/>
        <v>318.45000000000005</v>
      </c>
      <c r="P19" s="647">
        <f t="shared" si="9"/>
        <v>86.458466658133887</v>
      </c>
      <c r="Q19" s="647">
        <f t="shared" si="5"/>
        <v>86.751859203629678</v>
      </c>
      <c r="R19" s="647">
        <f t="shared" si="5"/>
        <v>87.284117228676152</v>
      </c>
      <c r="S19" s="647">
        <f t="shared" si="5"/>
        <v>86.881013846514904</v>
      </c>
      <c r="T19" s="647">
        <f t="shared" si="5"/>
        <v>87.393015335203913</v>
      </c>
      <c r="U19" s="647">
        <f t="shared" si="5"/>
        <v>87.443708609271525</v>
      </c>
      <c r="V19" s="647">
        <f t="shared" si="5"/>
        <v>86.824140040001978</v>
      </c>
      <c r="W19" s="647">
        <f t="shared" si="5"/>
        <v>86.854287427543468</v>
      </c>
      <c r="X19" s="647">
        <f t="shared" si="5"/>
        <v>86.7461034997025</v>
      </c>
      <c r="Y19" s="647">
        <f t="shared" si="5"/>
        <v>86.406432748538009</v>
      </c>
      <c r="Z19" s="647">
        <f t="shared" si="5"/>
        <v>86.19243723835109</v>
      </c>
      <c r="AA19" s="4">
        <f t="shared" si="10"/>
        <v>8</v>
      </c>
      <c r="AB19" s="4">
        <f t="shared" si="6"/>
        <v>9</v>
      </c>
      <c r="AC19" s="4">
        <f t="shared" si="6"/>
        <v>8</v>
      </c>
      <c r="AD19" s="4">
        <f t="shared" si="6"/>
        <v>9</v>
      </c>
      <c r="AE19" s="4">
        <f t="shared" si="6"/>
        <v>9</v>
      </c>
      <c r="AF19" s="4">
        <f t="shared" si="6"/>
        <v>8</v>
      </c>
      <c r="AG19" s="4">
        <f t="shared" si="6"/>
        <v>8</v>
      </c>
      <c r="AH19" s="4">
        <f t="shared" si="6"/>
        <v>9</v>
      </c>
      <c r="AI19" s="4">
        <f t="shared" si="6"/>
        <v>9</v>
      </c>
      <c r="AJ19" s="4">
        <f t="shared" si="6"/>
        <v>9</v>
      </c>
      <c r="AK19" s="4">
        <f t="shared" si="6"/>
        <v>9</v>
      </c>
      <c r="AL19" s="647">
        <f t="shared" si="11"/>
        <v>-13.541533341866108</v>
      </c>
      <c r="AM19" s="647">
        <f t="shared" si="7"/>
        <v>-13.248140796370322</v>
      </c>
      <c r="AN19" s="647">
        <f t="shared" si="7"/>
        <v>-12.715882771323839</v>
      </c>
      <c r="AO19" s="647">
        <f t="shared" si="7"/>
        <v>-13.118986153485091</v>
      </c>
      <c r="AP19" s="647">
        <f t="shared" si="7"/>
        <v>-12.606984664796084</v>
      </c>
      <c r="AQ19" s="647">
        <f t="shared" si="7"/>
        <v>-12.556291390728481</v>
      </c>
      <c r="AR19" s="647">
        <f t="shared" si="7"/>
        <v>-13.175859959998027</v>
      </c>
      <c r="AS19" s="647">
        <f t="shared" si="7"/>
        <v>-13.145712572456535</v>
      </c>
      <c r="AT19" s="647">
        <f t="shared" si="7"/>
        <v>-13.253896500297502</v>
      </c>
      <c r="AU19" s="647">
        <f t="shared" si="7"/>
        <v>-13.593567251461991</v>
      </c>
      <c r="AV19" s="647">
        <f t="shared" si="7"/>
        <v>-13.807562761648917</v>
      </c>
    </row>
    <row r="20" spans="1:48" s="4" customFormat="1" ht="15" customHeight="1">
      <c r="A20" s="17" t="s">
        <v>28</v>
      </c>
      <c r="B20" s="384">
        <v>1153.1500000000001</v>
      </c>
      <c r="C20" s="384">
        <v>1148.6600000000001</v>
      </c>
      <c r="D20" s="384">
        <v>1162.18</v>
      </c>
      <c r="E20" s="384">
        <v>1190.04</v>
      </c>
      <c r="F20" s="384">
        <v>1207.8800000000001</v>
      </c>
      <c r="G20" s="384">
        <v>1219.8</v>
      </c>
      <c r="H20" s="384">
        <v>1249</v>
      </c>
      <c r="I20" s="384">
        <v>1293.57</v>
      </c>
      <c r="J20" s="384">
        <v>1308.51</v>
      </c>
      <c r="K20" s="384">
        <v>1373.25</v>
      </c>
      <c r="L20" s="384">
        <v>1456.04</v>
      </c>
      <c r="N20" s="647">
        <f t="shared" si="8"/>
        <v>26.266314009452362</v>
      </c>
      <c r="O20" s="497">
        <f t="shared" si="12"/>
        <v>302.88999999999987</v>
      </c>
      <c r="P20" s="647">
        <f t="shared" si="9"/>
        <v>105.42410999981718</v>
      </c>
      <c r="Q20" s="647">
        <f t="shared" si="5"/>
        <v>105.07221851245416</v>
      </c>
      <c r="R20" s="647">
        <f t="shared" si="5"/>
        <v>105.97450440428209</v>
      </c>
      <c r="S20" s="647">
        <f t="shared" si="5"/>
        <v>107.41790478941384</v>
      </c>
      <c r="T20" s="647">
        <f t="shared" si="5"/>
        <v>106.5770201351757</v>
      </c>
      <c r="U20" s="647">
        <f t="shared" si="5"/>
        <v>104.23413800469984</v>
      </c>
      <c r="V20" s="647">
        <f t="shared" si="5"/>
        <v>103.22825925252491</v>
      </c>
      <c r="W20" s="647">
        <f t="shared" si="5"/>
        <v>103.42354587247651</v>
      </c>
      <c r="X20" s="647">
        <f t="shared" si="5"/>
        <v>101.11273384797275</v>
      </c>
      <c r="Y20" s="647">
        <f t="shared" si="5"/>
        <v>100.38377192982456</v>
      </c>
      <c r="Z20" s="647">
        <f t="shared" si="5"/>
        <v>99.275905799571817</v>
      </c>
      <c r="AA20" s="4">
        <f t="shared" si="10"/>
        <v>2</v>
      </c>
      <c r="AB20" s="4">
        <f t="shared" si="6"/>
        <v>2</v>
      </c>
      <c r="AC20" s="4">
        <f t="shared" si="6"/>
        <v>2</v>
      </c>
      <c r="AD20" s="4">
        <f t="shared" si="6"/>
        <v>2</v>
      </c>
      <c r="AE20" s="4">
        <f t="shared" si="6"/>
        <v>2</v>
      </c>
      <c r="AF20" s="4">
        <f t="shared" si="6"/>
        <v>2</v>
      </c>
      <c r="AG20" s="4">
        <f t="shared" si="6"/>
        <v>2</v>
      </c>
      <c r="AH20" s="4">
        <f t="shared" si="6"/>
        <v>2</v>
      </c>
      <c r="AI20" s="4">
        <f t="shared" si="6"/>
        <v>2</v>
      </c>
      <c r="AJ20" s="4">
        <f t="shared" si="6"/>
        <v>2</v>
      </c>
      <c r="AK20" s="4">
        <f t="shared" si="6"/>
        <v>2</v>
      </c>
      <c r="AL20" s="647">
        <f t="shared" si="11"/>
        <v>5.4241099998171727</v>
      </c>
      <c r="AM20" s="647">
        <f t="shared" si="7"/>
        <v>5.072218512454163</v>
      </c>
      <c r="AN20" s="647">
        <f t="shared" si="7"/>
        <v>5.9745044042820883</v>
      </c>
      <c r="AO20" s="647">
        <f t="shared" si="7"/>
        <v>7.4179047894138206</v>
      </c>
      <c r="AP20" s="647">
        <f t="shared" si="7"/>
        <v>6.5770201351756929</v>
      </c>
      <c r="AQ20" s="647">
        <f t="shared" si="7"/>
        <v>4.23413800469985</v>
      </c>
      <c r="AR20" s="647">
        <f t="shared" si="7"/>
        <v>3.2282592525249232</v>
      </c>
      <c r="AS20" s="647">
        <f t="shared" si="7"/>
        <v>3.4235458724765078</v>
      </c>
      <c r="AT20" s="647">
        <f t="shared" si="7"/>
        <v>1.1127338479727467</v>
      </c>
      <c r="AU20" s="647">
        <f t="shared" si="7"/>
        <v>0.38377192982457231</v>
      </c>
      <c r="AV20" s="647">
        <f t="shared" si="7"/>
        <v>-0.72409420042819361</v>
      </c>
    </row>
    <row r="21" spans="1:48" s="4" customFormat="1" ht="15" customHeight="1">
      <c r="A21" s="17" t="s">
        <v>29</v>
      </c>
      <c r="B21" s="384">
        <v>878.85</v>
      </c>
      <c r="C21" s="384">
        <v>881.13</v>
      </c>
      <c r="D21" s="384">
        <v>895.53</v>
      </c>
      <c r="E21" s="384">
        <v>899.57</v>
      </c>
      <c r="F21" s="384">
        <v>950.1</v>
      </c>
      <c r="G21" s="384">
        <v>978.08</v>
      </c>
      <c r="H21" s="384">
        <v>1013.26</v>
      </c>
      <c r="I21" s="384">
        <v>1057.21</v>
      </c>
      <c r="J21" s="384">
        <v>1094.98</v>
      </c>
      <c r="K21" s="384">
        <v>1154.3399999999999</v>
      </c>
      <c r="L21" s="384">
        <v>1237.67</v>
      </c>
      <c r="N21" s="647">
        <f t="shared" si="8"/>
        <v>40.828355236957407</v>
      </c>
      <c r="O21" s="497">
        <f t="shared" si="12"/>
        <v>358.82000000000005</v>
      </c>
      <c r="P21" s="647">
        <f t="shared" si="9"/>
        <v>80.346857801100739</v>
      </c>
      <c r="Q21" s="647">
        <f t="shared" si="5"/>
        <v>80.600250638029294</v>
      </c>
      <c r="R21" s="647">
        <f t="shared" si="5"/>
        <v>81.65976692867433</v>
      </c>
      <c r="S21" s="647">
        <f t="shared" si="5"/>
        <v>81.198887946130384</v>
      </c>
      <c r="T21" s="647">
        <f t="shared" si="5"/>
        <v>83.831859812589343</v>
      </c>
      <c r="U21" s="647">
        <f t="shared" si="5"/>
        <v>83.578722495193333</v>
      </c>
      <c r="V21" s="647">
        <f t="shared" si="5"/>
        <v>83.744648494966683</v>
      </c>
      <c r="W21" s="647">
        <f t="shared" si="5"/>
        <v>84.526084349390359</v>
      </c>
      <c r="X21" s="647">
        <f t="shared" si="5"/>
        <v>84.61259089258256</v>
      </c>
      <c r="Y21" s="647">
        <f t="shared" si="5"/>
        <v>84.381578947368411</v>
      </c>
      <c r="Z21" s="647">
        <f t="shared" si="5"/>
        <v>84.386974486247667</v>
      </c>
      <c r="AA21" s="4">
        <f t="shared" si="10"/>
        <v>12</v>
      </c>
      <c r="AB21" s="4">
        <f t="shared" si="6"/>
        <v>13</v>
      </c>
      <c r="AC21" s="4">
        <f t="shared" si="6"/>
        <v>12</v>
      </c>
      <c r="AD21" s="4">
        <f t="shared" si="6"/>
        <v>12</v>
      </c>
      <c r="AE21" s="4">
        <f t="shared" si="6"/>
        <v>11</v>
      </c>
      <c r="AF21" s="4">
        <f t="shared" si="6"/>
        <v>11</v>
      </c>
      <c r="AG21" s="4">
        <f t="shared" si="6"/>
        <v>11</v>
      </c>
      <c r="AH21" s="4">
        <f t="shared" si="6"/>
        <v>12</v>
      </c>
      <c r="AI21" s="4">
        <f t="shared" si="6"/>
        <v>12</v>
      </c>
      <c r="AJ21" s="4">
        <f t="shared" si="6"/>
        <v>11</v>
      </c>
      <c r="AK21" s="4">
        <f t="shared" si="6"/>
        <v>12</v>
      </c>
      <c r="AL21" s="647">
        <f t="shared" si="11"/>
        <v>-19.653142198899264</v>
      </c>
      <c r="AM21" s="647">
        <f t="shared" si="7"/>
        <v>-19.399749361970709</v>
      </c>
      <c r="AN21" s="647">
        <f t="shared" si="7"/>
        <v>-18.340233071325674</v>
      </c>
      <c r="AO21" s="647">
        <f t="shared" si="7"/>
        <v>-18.801112053869605</v>
      </c>
      <c r="AP21" s="647">
        <f t="shared" si="7"/>
        <v>-16.16814018741065</v>
      </c>
      <c r="AQ21" s="647">
        <f t="shared" si="7"/>
        <v>-16.421277504806664</v>
      </c>
      <c r="AR21" s="647">
        <f t="shared" si="7"/>
        <v>-16.25535150503331</v>
      </c>
      <c r="AS21" s="647">
        <f t="shared" si="7"/>
        <v>-15.473915650609626</v>
      </c>
      <c r="AT21" s="647">
        <f t="shared" si="7"/>
        <v>-15.387409107417449</v>
      </c>
      <c r="AU21" s="647">
        <f t="shared" si="7"/>
        <v>-15.618421052631582</v>
      </c>
      <c r="AV21" s="647">
        <f t="shared" si="7"/>
        <v>-15.613025513752332</v>
      </c>
    </row>
    <row r="22" spans="1:48" s="4" customFormat="1" ht="15" customHeight="1">
      <c r="A22" s="17" t="s">
        <v>30</v>
      </c>
      <c r="B22" s="384">
        <v>868.76</v>
      </c>
      <c r="C22" s="384">
        <v>880.9</v>
      </c>
      <c r="D22" s="384">
        <v>893.71</v>
      </c>
      <c r="E22" s="384">
        <v>897.29</v>
      </c>
      <c r="F22" s="384">
        <v>935.06</v>
      </c>
      <c r="G22" s="384">
        <v>966.03</v>
      </c>
      <c r="H22" s="384">
        <v>994.48</v>
      </c>
      <c r="I22" s="384">
        <v>1017.83</v>
      </c>
      <c r="J22" s="384">
        <v>1045.4000000000001</v>
      </c>
      <c r="K22" s="384">
        <v>1104.24</v>
      </c>
      <c r="L22" s="384">
        <v>1185.9000000000001</v>
      </c>
      <c r="N22" s="647">
        <f t="shared" si="8"/>
        <v>36.504903540678683</v>
      </c>
      <c r="O22" s="497">
        <f t="shared" si="12"/>
        <v>317.1400000000001</v>
      </c>
      <c r="P22" s="647">
        <f t="shared" si="9"/>
        <v>79.424402552522352</v>
      </c>
      <c r="Q22" s="647">
        <f t="shared" si="9"/>
        <v>80.579211679366267</v>
      </c>
      <c r="R22" s="647">
        <f t="shared" si="9"/>
        <v>81.493808472999831</v>
      </c>
      <c r="S22" s="647">
        <f t="shared" si="9"/>
        <v>80.993085768959986</v>
      </c>
      <c r="T22" s="647">
        <f t="shared" si="9"/>
        <v>82.504808795242383</v>
      </c>
      <c r="U22" s="647">
        <f t="shared" si="9"/>
        <v>82.549027985473188</v>
      </c>
      <c r="V22" s="647">
        <f t="shared" si="9"/>
        <v>82.192505413491574</v>
      </c>
      <c r="W22" s="647">
        <f t="shared" si="9"/>
        <v>81.377573455926438</v>
      </c>
      <c r="X22" s="647">
        <f t="shared" si="9"/>
        <v>80.781386435465322</v>
      </c>
      <c r="Y22" s="647">
        <f t="shared" si="9"/>
        <v>80.719298245614041</v>
      </c>
      <c r="Z22" s="647">
        <f t="shared" si="9"/>
        <v>80.857185714480522</v>
      </c>
      <c r="AA22" s="4">
        <f t="shared" si="10"/>
        <v>14</v>
      </c>
      <c r="AB22" s="4">
        <f t="shared" si="10"/>
        <v>14</v>
      </c>
      <c r="AC22" s="4">
        <f t="shared" si="10"/>
        <v>13</v>
      </c>
      <c r="AD22" s="4">
        <f t="shared" si="10"/>
        <v>13</v>
      </c>
      <c r="AE22" s="4">
        <f t="shared" si="10"/>
        <v>12</v>
      </c>
      <c r="AF22" s="4">
        <f t="shared" si="10"/>
        <v>14</v>
      </c>
      <c r="AG22" s="4">
        <f t="shared" si="10"/>
        <v>14</v>
      </c>
      <c r="AH22" s="4">
        <f t="shared" si="10"/>
        <v>15</v>
      </c>
      <c r="AI22" s="4">
        <f t="shared" si="10"/>
        <v>17</v>
      </c>
      <c r="AJ22" s="4">
        <f t="shared" si="10"/>
        <v>16</v>
      </c>
      <c r="AK22" s="4">
        <f t="shared" si="10"/>
        <v>15</v>
      </c>
      <c r="AL22" s="647">
        <f t="shared" si="11"/>
        <v>-20.575597447477644</v>
      </c>
      <c r="AM22" s="647">
        <f t="shared" si="11"/>
        <v>-19.420788320633729</v>
      </c>
      <c r="AN22" s="647">
        <f t="shared" si="11"/>
        <v>-18.506191527000169</v>
      </c>
      <c r="AO22" s="647">
        <f t="shared" si="11"/>
        <v>-19.006914231040017</v>
      </c>
      <c r="AP22" s="647">
        <f t="shared" si="11"/>
        <v>-17.495191204757621</v>
      </c>
      <c r="AQ22" s="647">
        <f t="shared" si="11"/>
        <v>-17.450972014526812</v>
      </c>
      <c r="AR22" s="647">
        <f t="shared" si="11"/>
        <v>-17.807494586508422</v>
      </c>
      <c r="AS22" s="647">
        <f t="shared" si="11"/>
        <v>-18.622426544073555</v>
      </c>
      <c r="AT22" s="647">
        <f t="shared" si="11"/>
        <v>-19.218613564534682</v>
      </c>
      <c r="AU22" s="647">
        <f t="shared" si="11"/>
        <v>-19.280701754385966</v>
      </c>
      <c r="AV22" s="647">
        <f t="shared" si="11"/>
        <v>-19.142814285519481</v>
      </c>
    </row>
    <row r="23" spans="1:48" s="20" customFormat="1" ht="15" customHeight="1">
      <c r="A23" s="19" t="s">
        <v>31</v>
      </c>
      <c r="B23" s="386">
        <v>878.77</v>
      </c>
      <c r="C23" s="386">
        <v>884.4</v>
      </c>
      <c r="D23" s="386">
        <v>887.05</v>
      </c>
      <c r="E23" s="386">
        <v>894.61</v>
      </c>
      <c r="F23" s="386">
        <v>922.31</v>
      </c>
      <c r="G23" s="386">
        <v>963.93</v>
      </c>
      <c r="H23" s="386">
        <v>1002.21</v>
      </c>
      <c r="I23" s="386">
        <v>1032.4000000000001</v>
      </c>
      <c r="J23" s="386">
        <v>1081.24</v>
      </c>
      <c r="K23" s="386">
        <v>1127.4000000000001</v>
      </c>
      <c r="L23" s="386">
        <v>1214.08</v>
      </c>
      <c r="N23" s="647">
        <f t="shared" si="8"/>
        <v>38.156741809574733</v>
      </c>
      <c r="O23" s="497">
        <f t="shared" si="12"/>
        <v>335.30999999999995</v>
      </c>
      <c r="P23" s="647">
        <f t="shared" si="9"/>
        <v>80.339543983470776</v>
      </c>
      <c r="Q23" s="647">
        <f t="shared" si="9"/>
        <v>80.899369745977438</v>
      </c>
      <c r="R23" s="647">
        <f t="shared" si="9"/>
        <v>80.886509948388735</v>
      </c>
      <c r="S23" s="647">
        <f t="shared" si="9"/>
        <v>80.751177946671973</v>
      </c>
      <c r="T23" s="647">
        <f t="shared" si="9"/>
        <v>81.379815412850519</v>
      </c>
      <c r="U23" s="647">
        <f t="shared" si="9"/>
        <v>82.36957914975433</v>
      </c>
      <c r="V23" s="647">
        <f t="shared" si="9"/>
        <v>82.831380068433148</v>
      </c>
      <c r="W23" s="647">
        <f t="shared" si="9"/>
        <v>82.542474515290834</v>
      </c>
      <c r="X23" s="647">
        <f t="shared" si="9"/>
        <v>83.550857345975231</v>
      </c>
      <c r="Y23" s="647">
        <f t="shared" si="9"/>
        <v>82.412280701754398</v>
      </c>
      <c r="Z23" s="647">
        <f t="shared" si="9"/>
        <v>82.778558084354927</v>
      </c>
      <c r="AA23" s="4">
        <f t="shared" si="10"/>
        <v>13</v>
      </c>
      <c r="AB23" s="4">
        <f t="shared" si="10"/>
        <v>12</v>
      </c>
      <c r="AC23" s="4">
        <f t="shared" si="10"/>
        <v>14</v>
      </c>
      <c r="AD23" s="4">
        <f t="shared" si="10"/>
        <v>15</v>
      </c>
      <c r="AE23" s="4">
        <f t="shared" si="10"/>
        <v>15</v>
      </c>
      <c r="AF23" s="4">
        <f t="shared" si="10"/>
        <v>15</v>
      </c>
      <c r="AG23" s="4">
        <f t="shared" si="10"/>
        <v>13</v>
      </c>
      <c r="AH23" s="4">
        <f t="shared" si="10"/>
        <v>13</v>
      </c>
      <c r="AI23" s="4">
        <f t="shared" si="10"/>
        <v>13</v>
      </c>
      <c r="AJ23" s="4">
        <f t="shared" si="10"/>
        <v>13</v>
      </c>
      <c r="AK23" s="4">
        <f t="shared" si="10"/>
        <v>13</v>
      </c>
      <c r="AL23" s="647">
        <f t="shared" si="11"/>
        <v>-19.660456016529228</v>
      </c>
      <c r="AM23" s="647">
        <f t="shared" si="11"/>
        <v>-19.100630254022565</v>
      </c>
      <c r="AN23" s="647">
        <f t="shared" si="11"/>
        <v>-19.113490051611272</v>
      </c>
      <c r="AO23" s="647">
        <f t="shared" si="11"/>
        <v>-19.248822053328031</v>
      </c>
      <c r="AP23" s="647">
        <f t="shared" si="11"/>
        <v>-18.620184587149492</v>
      </c>
      <c r="AQ23" s="647">
        <f t="shared" si="11"/>
        <v>-17.630420850245677</v>
      </c>
      <c r="AR23" s="647">
        <f t="shared" si="11"/>
        <v>-17.168619931566852</v>
      </c>
      <c r="AS23" s="647">
        <f t="shared" si="11"/>
        <v>-17.457525484709169</v>
      </c>
      <c r="AT23" s="647">
        <f t="shared" si="11"/>
        <v>-16.449142654024762</v>
      </c>
      <c r="AU23" s="647">
        <f t="shared" si="11"/>
        <v>-17.587719298245609</v>
      </c>
      <c r="AV23" s="647">
        <f t="shared" si="11"/>
        <v>-17.221441915645087</v>
      </c>
    </row>
    <row r="24" spans="1:48" s="4" customFormat="1" ht="15" customHeight="1">
      <c r="A24" s="21" t="s">
        <v>138</v>
      </c>
      <c r="B24" s="89"/>
      <c r="C24" s="89"/>
      <c r="D24" s="89"/>
      <c r="F24" s="89"/>
      <c r="G24" s="89"/>
      <c r="H24" s="89"/>
      <c r="I24" s="89"/>
      <c r="J24" s="89"/>
      <c r="K24" s="89"/>
      <c r="L24" s="89"/>
    </row>
    <row r="25" spans="1:48" s="4" customFormat="1" ht="21.75" customHeight="1">
      <c r="A25" s="768" t="s">
        <v>99</v>
      </c>
      <c r="B25" s="768"/>
      <c r="C25" s="768"/>
      <c r="D25" s="768"/>
      <c r="E25" s="768"/>
      <c r="F25" s="768"/>
      <c r="G25" s="768"/>
      <c r="H25" s="768"/>
      <c r="I25" s="768"/>
      <c r="J25" s="768"/>
      <c r="K25" s="768"/>
      <c r="L25" s="768"/>
    </row>
  </sheetData>
  <mergeCells count="2">
    <mergeCell ref="A1:L1"/>
    <mergeCell ref="A25:L25"/>
  </mergeCells>
  <phoneticPr fontId="25" type="noConversion"/>
  <conditionalFormatting sqref="A1 F2:F4 F24 A25:A1048576 G4:H4 F26:F1048576 B5:H23 A2:D2 A3:B3 B24:D24 A4:D23 B26:D1048576 M1:XFD3 M24:XFD1048576 M4:M23 AW4:XFD23">
    <cfRule type="cellIs" dxfId="184" priority="26" operator="equal">
      <formula>0</formula>
    </cfRule>
  </conditionalFormatting>
  <conditionalFormatting sqref="A24">
    <cfRule type="cellIs" dxfId="183" priority="25" operator="equal">
      <formula>0</formula>
    </cfRule>
  </conditionalFormatting>
  <conditionalFormatting sqref="E24 E2:E4 E26:E1048576">
    <cfRule type="cellIs" dxfId="182" priority="23" operator="equal">
      <formula>0</formula>
    </cfRule>
  </conditionalFormatting>
  <conditionalFormatting sqref="H2:H3 H24 H26:H1048576">
    <cfRule type="cellIs" dxfId="181" priority="21" operator="equal">
      <formula>0</formula>
    </cfRule>
  </conditionalFormatting>
  <conditionalFormatting sqref="G2:G3 G24 G26:G1048576">
    <cfRule type="cellIs" dxfId="180" priority="19" operator="equal">
      <formula>0</formula>
    </cfRule>
  </conditionalFormatting>
  <conditionalFormatting sqref="I4:I23">
    <cfRule type="cellIs" dxfId="179" priority="18" operator="equal">
      <formula>0</formula>
    </cfRule>
  </conditionalFormatting>
  <conditionalFormatting sqref="I2:I3 I24 I26:I1048576">
    <cfRule type="cellIs" dxfId="178" priority="17" operator="equal">
      <formula>0</formula>
    </cfRule>
  </conditionalFormatting>
  <conditionalFormatting sqref="J4:J23">
    <cfRule type="cellIs" dxfId="177" priority="16" operator="equal">
      <formula>0</formula>
    </cfRule>
  </conditionalFormatting>
  <conditionalFormatting sqref="J2:J3 J24 J26:J1048576">
    <cfRule type="cellIs" dxfId="176" priority="15" operator="equal">
      <formula>0</formula>
    </cfRule>
  </conditionalFormatting>
  <conditionalFormatting sqref="K4:K23">
    <cfRule type="cellIs" dxfId="175" priority="12" operator="equal">
      <formula>0</formula>
    </cfRule>
  </conditionalFormatting>
  <conditionalFormatting sqref="K2:K3 K24 K26:K1048576">
    <cfRule type="cellIs" dxfId="174" priority="11" operator="equal">
      <formula>0</formula>
    </cfRule>
  </conditionalFormatting>
  <conditionalFormatting sqref="L4:L23">
    <cfRule type="cellIs" dxfId="173" priority="3" operator="equal">
      <formula>0</formula>
    </cfRule>
  </conditionalFormatting>
  <conditionalFormatting sqref="L2:L3 L24 L26:L1048576">
    <cfRule type="cellIs" dxfId="172" priority="2" operator="equal">
      <formula>0</formula>
    </cfRule>
  </conditionalFormatting>
  <conditionalFormatting sqref="AL4:AV23">
    <cfRule type="cellIs" dxfId="171"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8445-5801-4EDD-85B9-F3C7562894A5}">
  <sheetPr>
    <tabColor rgb="FFA50021"/>
    <pageSetUpPr fitToPage="1"/>
  </sheetPr>
  <dimension ref="A1:GF35"/>
  <sheetViews>
    <sheetView showGridLines="0" workbookViewId="0">
      <selection sqref="A1:M2"/>
    </sheetView>
  </sheetViews>
  <sheetFormatPr defaultColWidth="9.140625" defaultRowHeight="15" customHeight="1"/>
  <cols>
    <col min="1" max="1" width="23.5703125" style="670" customWidth="1"/>
    <col min="2" max="3" width="6.42578125" style="671" customWidth="1"/>
    <col min="4" max="12" width="6.42578125" style="670" customWidth="1"/>
    <col min="13" max="188" width="9.140625" style="670"/>
    <col min="189" max="16384" width="9.140625" style="672"/>
  </cols>
  <sheetData>
    <row r="1" spans="1:13" s="664" customFormat="1" ht="28.5" customHeight="1">
      <c r="A1" s="797" t="s">
        <v>741</v>
      </c>
      <c r="B1" s="797"/>
      <c r="C1" s="797"/>
      <c r="D1" s="797"/>
      <c r="E1" s="797"/>
      <c r="F1" s="797"/>
      <c r="G1" s="797"/>
      <c r="H1" s="797"/>
      <c r="I1" s="797"/>
      <c r="J1" s="797"/>
      <c r="K1" s="797"/>
      <c r="L1" s="797"/>
    </row>
    <row r="2" spans="1:13" s="4" customFormat="1" ht="15" customHeight="1">
      <c r="A2" s="11"/>
      <c r="B2" s="12"/>
      <c r="C2" s="12"/>
    </row>
    <row r="3" spans="1:13" s="4" customFormat="1" ht="15" customHeight="1">
      <c r="A3" s="13" t="s">
        <v>14</v>
      </c>
      <c r="D3" s="665"/>
      <c r="E3" s="665"/>
      <c r="F3" s="665"/>
      <c r="G3" s="665"/>
      <c r="H3" s="665"/>
      <c r="I3" s="665"/>
      <c r="J3" s="665"/>
      <c r="K3" s="665"/>
      <c r="L3" s="665" t="s">
        <v>68</v>
      </c>
    </row>
    <row r="4" spans="1:13" s="4" customFormat="1" ht="28.5" customHeight="1" thickBot="1">
      <c r="A4" s="15"/>
      <c r="B4" s="16">
        <v>2013</v>
      </c>
      <c r="C4" s="16">
        <v>2014</v>
      </c>
      <c r="D4" s="16">
        <v>2015</v>
      </c>
      <c r="E4" s="16">
        <v>2016</v>
      </c>
      <c r="F4" s="16">
        <v>2017</v>
      </c>
      <c r="G4" s="16">
        <v>2018</v>
      </c>
      <c r="H4" s="16">
        <v>2019</v>
      </c>
      <c r="I4" s="16">
        <v>2020</v>
      </c>
      <c r="J4" s="16">
        <v>2021</v>
      </c>
      <c r="K4" s="16">
        <v>2022</v>
      </c>
      <c r="L4" s="16">
        <v>2023</v>
      </c>
    </row>
    <row r="5" spans="1:13" s="4" customFormat="1" ht="20.25" customHeight="1" thickTop="1">
      <c r="A5" s="116" t="s">
        <v>12</v>
      </c>
      <c r="B5" s="383">
        <v>1093.82</v>
      </c>
      <c r="C5" s="383">
        <v>1093.21</v>
      </c>
      <c r="D5" s="383">
        <v>1096.6600000000001</v>
      </c>
      <c r="E5" s="383">
        <v>1107.8599999999999</v>
      </c>
      <c r="F5" s="383">
        <v>1133.3399999999999</v>
      </c>
      <c r="G5" s="383">
        <v>1170.25</v>
      </c>
      <c r="H5" s="383">
        <v>1209.94</v>
      </c>
      <c r="I5" s="383">
        <v>1250.75</v>
      </c>
      <c r="J5" s="383">
        <v>1294.1099999999999</v>
      </c>
      <c r="K5" s="383">
        <v>1368</v>
      </c>
      <c r="L5" s="383">
        <v>1466.66</v>
      </c>
      <c r="M5" s="118"/>
    </row>
    <row r="6" spans="1:13" s="4" customFormat="1" ht="20.25" customHeight="1">
      <c r="A6" s="17" t="s">
        <v>551</v>
      </c>
      <c r="B6" s="667">
        <v>963.43</v>
      </c>
      <c r="C6" s="667">
        <v>967.2</v>
      </c>
      <c r="D6" s="667">
        <v>975.01</v>
      </c>
      <c r="E6" s="667">
        <v>986.93</v>
      </c>
      <c r="F6" s="667">
        <v>1015.58</v>
      </c>
      <c r="G6" s="667">
        <v>1056.5999999999999</v>
      </c>
      <c r="H6" s="667">
        <v>1100.44</v>
      </c>
      <c r="I6" s="667">
        <v>1145.23</v>
      </c>
      <c r="J6" s="667">
        <v>1187.19</v>
      </c>
      <c r="K6" s="667">
        <v>1253.46</v>
      </c>
      <c r="L6" s="667">
        <v>1348.66</v>
      </c>
    </row>
    <row r="7" spans="1:13" s="4" customFormat="1" ht="15" customHeight="1">
      <c r="A7" s="661" t="s">
        <v>552</v>
      </c>
      <c r="B7" s="385">
        <v>878.85</v>
      </c>
      <c r="C7" s="385">
        <v>881.13</v>
      </c>
      <c r="D7" s="385">
        <v>895.53</v>
      </c>
      <c r="E7" s="385">
        <v>899.57</v>
      </c>
      <c r="F7" s="385">
        <v>950.1</v>
      </c>
      <c r="G7" s="385">
        <v>978.08</v>
      </c>
      <c r="H7" s="385">
        <v>1013.26</v>
      </c>
      <c r="I7" s="385">
        <v>1057.21</v>
      </c>
      <c r="J7" s="385">
        <v>1094.98</v>
      </c>
      <c r="K7" s="385">
        <v>1154.3399999999999</v>
      </c>
      <c r="L7" s="385">
        <v>1237.67</v>
      </c>
    </row>
    <row r="8" spans="1:13" s="4" customFormat="1" ht="15" customHeight="1">
      <c r="A8" s="661" t="s">
        <v>553</v>
      </c>
      <c r="B8" s="385">
        <v>891.92</v>
      </c>
      <c r="C8" s="385">
        <v>896.26</v>
      </c>
      <c r="D8" s="385">
        <v>899.93</v>
      </c>
      <c r="E8" s="385">
        <v>913.42</v>
      </c>
      <c r="F8" s="385">
        <v>948.41</v>
      </c>
      <c r="G8" s="385">
        <v>988.7</v>
      </c>
      <c r="H8" s="385">
        <v>1044.54</v>
      </c>
      <c r="I8" s="385">
        <v>1088.49</v>
      </c>
      <c r="J8" s="385">
        <v>1134.32</v>
      </c>
      <c r="K8" s="385">
        <v>1183.08</v>
      </c>
      <c r="L8" s="385">
        <v>1276.47</v>
      </c>
    </row>
    <row r="9" spans="1:13" s="4" customFormat="1" ht="15" customHeight="1">
      <c r="A9" s="661" t="s">
        <v>554</v>
      </c>
      <c r="B9" s="385">
        <v>849.88</v>
      </c>
      <c r="C9" s="385">
        <v>860.01</v>
      </c>
      <c r="D9" s="385">
        <v>866.17</v>
      </c>
      <c r="E9" s="385">
        <v>883.04</v>
      </c>
      <c r="F9" s="385">
        <v>916.3</v>
      </c>
      <c r="G9" s="385">
        <v>952.13</v>
      </c>
      <c r="H9" s="385">
        <v>984.13</v>
      </c>
      <c r="I9" s="385">
        <v>1030.3399999999999</v>
      </c>
      <c r="J9" s="385">
        <v>1080.78</v>
      </c>
      <c r="K9" s="385">
        <v>1132.33</v>
      </c>
      <c r="L9" s="385">
        <v>1215.1300000000001</v>
      </c>
    </row>
    <row r="10" spans="1:13" s="4" customFormat="1" ht="15" customHeight="1">
      <c r="A10" s="661" t="s">
        <v>555</v>
      </c>
      <c r="B10" s="385">
        <v>1074.18</v>
      </c>
      <c r="C10" s="385">
        <v>1075.96</v>
      </c>
      <c r="D10" s="385">
        <v>1084.73</v>
      </c>
      <c r="E10" s="385">
        <v>1095.5</v>
      </c>
      <c r="F10" s="385">
        <v>1118.23</v>
      </c>
      <c r="G10" s="385">
        <v>1164.5899999999999</v>
      </c>
      <c r="H10" s="385">
        <v>1208.1300000000001</v>
      </c>
      <c r="I10" s="385">
        <v>1257.1099999999999</v>
      </c>
      <c r="J10" s="385">
        <v>1301.06</v>
      </c>
      <c r="K10" s="385">
        <v>1378.56</v>
      </c>
      <c r="L10" s="385">
        <v>1480.08</v>
      </c>
    </row>
    <row r="11" spans="1:13" s="4" customFormat="1" ht="15" customHeight="1">
      <c r="A11" s="661" t="s">
        <v>556</v>
      </c>
      <c r="B11" s="385">
        <v>803.28</v>
      </c>
      <c r="C11" s="385">
        <v>814.78</v>
      </c>
      <c r="D11" s="385">
        <v>810.7</v>
      </c>
      <c r="E11" s="385">
        <v>844.1</v>
      </c>
      <c r="F11" s="385">
        <v>919.39</v>
      </c>
      <c r="G11" s="385">
        <v>941.5</v>
      </c>
      <c r="H11" s="385">
        <v>954.21</v>
      </c>
      <c r="I11" s="385">
        <v>975.61</v>
      </c>
      <c r="J11" s="385">
        <v>995.06</v>
      </c>
      <c r="K11" s="385">
        <v>1043.3699999999999</v>
      </c>
      <c r="L11" s="385">
        <v>1128.21</v>
      </c>
    </row>
    <row r="12" spans="1:13" s="4" customFormat="1" ht="15" customHeight="1">
      <c r="A12" s="661" t="s">
        <v>557</v>
      </c>
      <c r="B12" s="385">
        <v>758.82</v>
      </c>
      <c r="C12" s="385">
        <v>773.97</v>
      </c>
      <c r="D12" s="385">
        <v>781.94</v>
      </c>
      <c r="E12" s="385">
        <v>796.84</v>
      </c>
      <c r="F12" s="385">
        <v>821.23</v>
      </c>
      <c r="G12" s="385">
        <v>858.44</v>
      </c>
      <c r="H12" s="385">
        <v>898.09</v>
      </c>
      <c r="I12" s="385">
        <v>936.96</v>
      </c>
      <c r="J12" s="385">
        <v>980.68</v>
      </c>
      <c r="K12" s="385">
        <v>1026.1300000000001</v>
      </c>
      <c r="L12" s="385">
        <v>1107.17</v>
      </c>
    </row>
    <row r="13" spans="1:13" s="4" customFormat="1" ht="15" customHeight="1">
      <c r="A13" s="661" t="s">
        <v>558</v>
      </c>
      <c r="B13" s="385">
        <v>874.98</v>
      </c>
      <c r="C13" s="385">
        <v>878.1</v>
      </c>
      <c r="D13" s="385">
        <v>887.03</v>
      </c>
      <c r="E13" s="385">
        <v>882.6</v>
      </c>
      <c r="F13" s="385">
        <v>899.6</v>
      </c>
      <c r="G13" s="385">
        <v>936.21</v>
      </c>
      <c r="H13" s="385">
        <v>971.09</v>
      </c>
      <c r="I13" s="385">
        <v>993.68</v>
      </c>
      <c r="J13" s="385">
        <v>1031.52</v>
      </c>
      <c r="K13" s="385">
        <v>1089.0999999999999</v>
      </c>
      <c r="L13" s="385">
        <v>1168.78</v>
      </c>
    </row>
    <row r="14" spans="1:13" s="4" customFormat="1" ht="15" customHeight="1">
      <c r="A14" s="661" t="s">
        <v>559</v>
      </c>
      <c r="B14" s="385">
        <v>837.58</v>
      </c>
      <c r="C14" s="385">
        <v>834.9</v>
      </c>
      <c r="D14" s="385">
        <v>845.13</v>
      </c>
      <c r="E14" s="385">
        <v>868.28</v>
      </c>
      <c r="F14" s="385">
        <v>890.97</v>
      </c>
      <c r="G14" s="385">
        <v>918.08</v>
      </c>
      <c r="H14" s="385">
        <v>953.02</v>
      </c>
      <c r="I14" s="385">
        <v>988.17</v>
      </c>
      <c r="J14" s="385">
        <v>1021.88</v>
      </c>
      <c r="K14" s="385">
        <v>1066.68</v>
      </c>
      <c r="L14" s="385">
        <v>1149.46</v>
      </c>
    </row>
    <row r="15" spans="1:13" s="4" customFormat="1" ht="15" customHeight="1">
      <c r="A15" s="17" t="s">
        <v>560</v>
      </c>
      <c r="B15" s="667">
        <v>945.21</v>
      </c>
      <c r="C15" s="667">
        <v>949.89</v>
      </c>
      <c r="D15" s="667">
        <v>956.66</v>
      </c>
      <c r="E15" s="667">
        <v>972.23</v>
      </c>
      <c r="F15" s="667">
        <v>1002.79</v>
      </c>
      <c r="G15" s="667">
        <v>1042.94</v>
      </c>
      <c r="H15" s="667">
        <v>1082.1199999999999</v>
      </c>
      <c r="I15" s="667">
        <v>1113.26</v>
      </c>
      <c r="J15" s="667">
        <v>1157.6300000000001</v>
      </c>
      <c r="K15" s="667">
        <v>1218.07</v>
      </c>
      <c r="L15" s="667">
        <v>1305.72</v>
      </c>
    </row>
    <row r="16" spans="1:13" s="4" customFormat="1" ht="15" customHeight="1">
      <c r="A16" s="661" t="s">
        <v>561</v>
      </c>
      <c r="B16" s="385">
        <v>985.34</v>
      </c>
      <c r="C16" s="385">
        <v>996.2</v>
      </c>
      <c r="D16" s="385">
        <v>1007.63</v>
      </c>
      <c r="E16" s="385">
        <v>1017.74</v>
      </c>
      <c r="F16" s="385">
        <v>1047.92</v>
      </c>
      <c r="G16" s="385">
        <v>1091.01</v>
      </c>
      <c r="H16" s="385">
        <v>1133.26</v>
      </c>
      <c r="I16" s="385">
        <v>1165.8699999999999</v>
      </c>
      <c r="J16" s="385">
        <v>1209.9100000000001</v>
      </c>
      <c r="K16" s="385">
        <v>1282.9000000000001</v>
      </c>
      <c r="L16" s="385">
        <v>1382.49</v>
      </c>
    </row>
    <row r="17" spans="1:12" s="4" customFormat="1" ht="15" customHeight="1">
      <c r="A17" s="661" t="s">
        <v>562</v>
      </c>
      <c r="B17" s="385">
        <v>974.86</v>
      </c>
      <c r="C17" s="385">
        <v>963.48</v>
      </c>
      <c r="D17" s="385">
        <v>964.08</v>
      </c>
      <c r="E17" s="385">
        <v>988.14</v>
      </c>
      <c r="F17" s="385">
        <v>1015.53</v>
      </c>
      <c r="G17" s="385">
        <v>1052.5</v>
      </c>
      <c r="H17" s="385">
        <v>1093.1500000000001</v>
      </c>
      <c r="I17" s="385">
        <v>1119.46</v>
      </c>
      <c r="J17" s="385">
        <v>1167.5999999999999</v>
      </c>
      <c r="K17" s="385">
        <v>1223.82</v>
      </c>
      <c r="L17" s="385">
        <v>1319.21</v>
      </c>
    </row>
    <row r="18" spans="1:12" s="4" customFormat="1" ht="15" customHeight="1">
      <c r="A18" s="661" t="s">
        <v>563</v>
      </c>
      <c r="B18" s="385">
        <v>979.24</v>
      </c>
      <c r="C18" s="385">
        <v>988.89</v>
      </c>
      <c r="D18" s="385">
        <v>997.9</v>
      </c>
      <c r="E18" s="385">
        <v>1012.22</v>
      </c>
      <c r="F18" s="385">
        <v>1043.69</v>
      </c>
      <c r="G18" s="385">
        <v>1087.48</v>
      </c>
      <c r="H18" s="385">
        <v>1121.98</v>
      </c>
      <c r="I18" s="385">
        <v>1150.1300000000001</v>
      </c>
      <c r="J18" s="385">
        <v>1194.01</v>
      </c>
      <c r="K18" s="385">
        <v>1251.2</v>
      </c>
      <c r="L18" s="385">
        <v>1326.74</v>
      </c>
    </row>
    <row r="19" spans="1:12" s="4" customFormat="1" ht="15" customHeight="1">
      <c r="A19" s="661" t="s">
        <v>564</v>
      </c>
      <c r="B19" s="385">
        <v>898.96</v>
      </c>
      <c r="C19" s="385">
        <v>902.75</v>
      </c>
      <c r="D19" s="385">
        <v>906.45</v>
      </c>
      <c r="E19" s="385">
        <v>913.09</v>
      </c>
      <c r="F19" s="385">
        <v>943.87</v>
      </c>
      <c r="G19" s="385">
        <v>986.58</v>
      </c>
      <c r="H19" s="385">
        <v>1025.08</v>
      </c>
      <c r="I19" s="385">
        <v>1055.3900000000001</v>
      </c>
      <c r="J19" s="385">
        <v>1099.74</v>
      </c>
      <c r="K19" s="385">
        <v>1154.72</v>
      </c>
      <c r="L19" s="385">
        <v>1239.6199999999999</v>
      </c>
    </row>
    <row r="20" spans="1:12" s="4" customFormat="1" ht="15" customHeight="1">
      <c r="A20" s="661" t="s">
        <v>565</v>
      </c>
      <c r="B20" s="385">
        <v>857.29</v>
      </c>
      <c r="C20" s="385">
        <v>861.23</v>
      </c>
      <c r="D20" s="385">
        <v>865.41</v>
      </c>
      <c r="E20" s="385">
        <v>884.32</v>
      </c>
      <c r="F20" s="385">
        <v>914.65</v>
      </c>
      <c r="G20" s="385">
        <v>943.51</v>
      </c>
      <c r="H20" s="385">
        <v>976.21</v>
      </c>
      <c r="I20" s="385">
        <v>1016.05</v>
      </c>
      <c r="J20" s="385">
        <v>1061.8900000000001</v>
      </c>
      <c r="K20" s="385">
        <v>1106.8499999999999</v>
      </c>
      <c r="L20" s="385">
        <v>1188.93</v>
      </c>
    </row>
    <row r="21" spans="1:12" s="4" customFormat="1" ht="15" customHeight="1">
      <c r="A21" s="661" t="s">
        <v>566</v>
      </c>
      <c r="B21" s="385">
        <v>820</v>
      </c>
      <c r="C21" s="385">
        <v>837.86</v>
      </c>
      <c r="D21" s="385">
        <v>845.21</v>
      </c>
      <c r="E21" s="385">
        <v>863.35</v>
      </c>
      <c r="F21" s="385">
        <v>897.58</v>
      </c>
      <c r="G21" s="385">
        <v>934.82</v>
      </c>
      <c r="H21" s="385">
        <v>974.36</v>
      </c>
      <c r="I21" s="385">
        <v>1013.44</v>
      </c>
      <c r="J21" s="385">
        <v>1051.24</v>
      </c>
      <c r="K21" s="385">
        <v>1107.68</v>
      </c>
      <c r="L21" s="385">
        <v>1180.54</v>
      </c>
    </row>
    <row r="22" spans="1:12" s="4" customFormat="1" ht="15" customHeight="1">
      <c r="A22" s="17" t="s">
        <v>567</v>
      </c>
      <c r="B22" s="667">
        <v>936.58</v>
      </c>
      <c r="C22" s="667">
        <v>941.8</v>
      </c>
      <c r="D22" s="667">
        <v>944.36</v>
      </c>
      <c r="E22" s="667">
        <v>955.71</v>
      </c>
      <c r="F22" s="667">
        <v>976.46</v>
      </c>
      <c r="G22" s="667">
        <v>1005.57</v>
      </c>
      <c r="H22" s="667">
        <v>1035.81</v>
      </c>
      <c r="I22" s="667">
        <v>1074.8599999999999</v>
      </c>
      <c r="J22" s="667">
        <v>1115.56</v>
      </c>
      <c r="K22" s="667">
        <v>1165.73</v>
      </c>
      <c r="L22" s="667">
        <v>1249.77</v>
      </c>
    </row>
    <row r="23" spans="1:12" s="20" customFormat="1" ht="15" customHeight="1">
      <c r="A23" s="661" t="s">
        <v>568</v>
      </c>
      <c r="B23" s="385">
        <v>909.73</v>
      </c>
      <c r="C23" s="385">
        <v>919.7</v>
      </c>
      <c r="D23" s="385">
        <v>915.03</v>
      </c>
      <c r="E23" s="385">
        <v>937.13</v>
      </c>
      <c r="F23" s="385">
        <v>958.16</v>
      </c>
      <c r="G23" s="385">
        <v>984.69</v>
      </c>
      <c r="H23" s="385">
        <v>1019.34</v>
      </c>
      <c r="I23" s="385">
        <v>1061.1300000000001</v>
      </c>
      <c r="J23" s="385">
        <v>1106.76</v>
      </c>
      <c r="K23" s="385">
        <v>1152.3900000000001</v>
      </c>
      <c r="L23" s="385">
        <v>1237.75</v>
      </c>
    </row>
    <row r="24" spans="1:12" s="4" customFormat="1" ht="15" customHeight="1">
      <c r="A24" s="661" t="s">
        <v>569</v>
      </c>
      <c r="B24" s="385">
        <v>949</v>
      </c>
      <c r="C24" s="385">
        <v>952.34</v>
      </c>
      <c r="D24" s="385">
        <v>957.84</v>
      </c>
      <c r="E24" s="385">
        <v>964.48</v>
      </c>
      <c r="F24" s="385">
        <v>993.59</v>
      </c>
      <c r="G24" s="385">
        <v>1030.6199999999999</v>
      </c>
      <c r="H24" s="385">
        <v>1063.3900000000001</v>
      </c>
      <c r="I24" s="385">
        <v>1099.6199999999999</v>
      </c>
      <c r="J24" s="385">
        <v>1126.71</v>
      </c>
      <c r="K24" s="385">
        <v>1175.72</v>
      </c>
      <c r="L24" s="385">
        <v>1259.29</v>
      </c>
    </row>
    <row r="25" spans="1:12" s="4" customFormat="1" ht="19.5" customHeight="1">
      <c r="A25" s="661" t="s">
        <v>570</v>
      </c>
      <c r="B25" s="385">
        <v>965.95</v>
      </c>
      <c r="C25" s="385">
        <v>966.16</v>
      </c>
      <c r="D25" s="385">
        <v>977.93</v>
      </c>
      <c r="E25" s="385">
        <v>976.74</v>
      </c>
      <c r="F25" s="385">
        <v>989.34</v>
      </c>
      <c r="G25" s="385">
        <v>1016</v>
      </c>
      <c r="H25" s="385">
        <v>1037.32</v>
      </c>
      <c r="I25" s="385">
        <v>1075.1500000000001</v>
      </c>
      <c r="J25" s="385">
        <v>1120.1400000000001</v>
      </c>
      <c r="K25" s="385">
        <v>1178.0899999999999</v>
      </c>
      <c r="L25" s="385">
        <v>1260.73</v>
      </c>
    </row>
    <row r="26" spans="1:12" ht="15" customHeight="1">
      <c r="A26" s="17" t="s">
        <v>571</v>
      </c>
      <c r="B26" s="667">
        <v>1427.96</v>
      </c>
      <c r="C26" s="667">
        <v>1421.25</v>
      </c>
      <c r="D26" s="667">
        <v>1420.24</v>
      </c>
      <c r="E26" s="667">
        <v>1424.28</v>
      </c>
      <c r="F26" s="667">
        <v>1447.51</v>
      </c>
      <c r="G26" s="667">
        <v>1480.76</v>
      </c>
      <c r="H26" s="667">
        <v>1518.6</v>
      </c>
      <c r="I26" s="667">
        <v>1558.34</v>
      </c>
      <c r="J26" s="667">
        <v>1609.14</v>
      </c>
      <c r="K26" s="667">
        <v>1705.14</v>
      </c>
      <c r="L26" s="667">
        <v>1817.17</v>
      </c>
    </row>
    <row r="27" spans="1:12" ht="15" customHeight="1">
      <c r="A27" s="17" t="s">
        <v>572</v>
      </c>
      <c r="B27" s="667">
        <v>1134.6400000000001</v>
      </c>
      <c r="C27" s="667">
        <v>1132.8499999999999</v>
      </c>
      <c r="D27" s="667">
        <v>1148.9000000000001</v>
      </c>
      <c r="E27" s="667">
        <v>1180.1199999999999</v>
      </c>
      <c r="F27" s="667">
        <v>1199.6600000000001</v>
      </c>
      <c r="G27" s="667">
        <v>1208.21</v>
      </c>
      <c r="H27" s="667">
        <v>1239.43</v>
      </c>
      <c r="I27" s="667">
        <v>1283.04</v>
      </c>
      <c r="J27" s="667">
        <v>1296.72</v>
      </c>
      <c r="K27" s="667">
        <v>1361.01</v>
      </c>
      <c r="L27" s="667">
        <v>1433.11</v>
      </c>
    </row>
    <row r="28" spans="1:12" ht="15" customHeight="1">
      <c r="A28" s="17" t="s">
        <v>573</v>
      </c>
      <c r="B28" s="667">
        <v>1008.37</v>
      </c>
      <c r="C28" s="667">
        <v>1002.5</v>
      </c>
      <c r="D28" s="667">
        <v>1002.63</v>
      </c>
      <c r="E28" s="667">
        <v>1008.46</v>
      </c>
      <c r="F28" s="667">
        <v>1030.52</v>
      </c>
      <c r="G28" s="667">
        <v>1069.43</v>
      </c>
      <c r="H28" s="667">
        <v>1083.6300000000001</v>
      </c>
      <c r="I28" s="667">
        <v>1124.75</v>
      </c>
      <c r="J28" s="667">
        <v>1171.17</v>
      </c>
      <c r="K28" s="667">
        <v>1225.05</v>
      </c>
      <c r="L28" s="667">
        <v>1326.13</v>
      </c>
    </row>
    <row r="29" spans="1:12" ht="15" customHeight="1">
      <c r="A29" s="661" t="s">
        <v>574</v>
      </c>
      <c r="B29" s="385">
        <v>1182.1400000000001</v>
      </c>
      <c r="C29" s="385">
        <v>1155.58</v>
      </c>
      <c r="D29" s="385">
        <v>1137.03</v>
      </c>
      <c r="E29" s="385">
        <v>1131.0999999999999</v>
      </c>
      <c r="F29" s="385">
        <v>1142.95</v>
      </c>
      <c r="G29" s="385">
        <v>1184</v>
      </c>
      <c r="H29" s="385">
        <v>1165.44</v>
      </c>
      <c r="I29" s="385">
        <v>1206.6300000000001</v>
      </c>
      <c r="J29" s="385">
        <v>1232.3399999999999</v>
      </c>
      <c r="K29" s="385">
        <v>1283.29</v>
      </c>
      <c r="L29" s="385">
        <v>1419.88</v>
      </c>
    </row>
    <row r="30" spans="1:12" ht="15" customHeight="1">
      <c r="A30" s="661" t="s">
        <v>575</v>
      </c>
      <c r="B30" s="385">
        <v>1021.51</v>
      </c>
      <c r="C30" s="385">
        <v>1016.33</v>
      </c>
      <c r="D30" s="385">
        <v>1025.9100000000001</v>
      </c>
      <c r="E30" s="385">
        <v>1026.24</v>
      </c>
      <c r="F30" s="385">
        <v>1053.33</v>
      </c>
      <c r="G30" s="385">
        <v>1104.1400000000001</v>
      </c>
      <c r="H30" s="385">
        <v>1129.81</v>
      </c>
      <c r="I30" s="385">
        <v>1166.3</v>
      </c>
      <c r="J30" s="385">
        <v>1237.79</v>
      </c>
      <c r="K30" s="385">
        <v>1284.96</v>
      </c>
      <c r="L30" s="385">
        <v>1401.29</v>
      </c>
    </row>
    <row r="31" spans="1:12" ht="15" customHeight="1">
      <c r="A31" s="661" t="s">
        <v>576</v>
      </c>
      <c r="B31" s="385">
        <v>894.32</v>
      </c>
      <c r="C31" s="385">
        <v>897.83</v>
      </c>
      <c r="D31" s="385">
        <v>901.87</v>
      </c>
      <c r="E31" s="385">
        <v>915.42</v>
      </c>
      <c r="F31" s="385">
        <v>934.83</v>
      </c>
      <c r="G31" s="385">
        <v>968.23</v>
      </c>
      <c r="H31" s="385">
        <v>989.48</v>
      </c>
      <c r="I31" s="385">
        <v>1029.47</v>
      </c>
      <c r="J31" s="385">
        <v>1078.92</v>
      </c>
      <c r="K31" s="385">
        <v>1126.5999999999999</v>
      </c>
      <c r="L31" s="385">
        <v>1197.92</v>
      </c>
    </row>
    <row r="32" spans="1:12" ht="15" customHeight="1">
      <c r="A32" s="661" t="s">
        <v>577</v>
      </c>
      <c r="B32" s="385">
        <v>955.21</v>
      </c>
      <c r="C32" s="385">
        <v>955.65</v>
      </c>
      <c r="D32" s="385">
        <v>956.12</v>
      </c>
      <c r="E32" s="385">
        <v>967.64</v>
      </c>
      <c r="F32" s="385">
        <v>992.35</v>
      </c>
      <c r="G32" s="385">
        <v>1020.7</v>
      </c>
      <c r="H32" s="385">
        <v>1045.47</v>
      </c>
      <c r="I32" s="385">
        <v>1086.77</v>
      </c>
      <c r="J32" s="385">
        <v>1127.29</v>
      </c>
      <c r="K32" s="385">
        <v>1190.57</v>
      </c>
      <c r="L32" s="385">
        <v>1271.71</v>
      </c>
    </row>
    <row r="33" spans="1:12" ht="15" customHeight="1">
      <c r="A33" s="19" t="s">
        <v>578</v>
      </c>
      <c r="B33" s="669">
        <v>930.97</v>
      </c>
      <c r="C33" s="669">
        <v>927.58</v>
      </c>
      <c r="D33" s="669">
        <v>926.13</v>
      </c>
      <c r="E33" s="669">
        <v>942.73</v>
      </c>
      <c r="F33" s="669">
        <v>968.19</v>
      </c>
      <c r="G33" s="669">
        <v>999.05</v>
      </c>
      <c r="H33" s="669">
        <v>1029.01</v>
      </c>
      <c r="I33" s="669">
        <v>1070.96</v>
      </c>
      <c r="J33" s="669">
        <v>1106.32</v>
      </c>
      <c r="K33" s="669">
        <v>1150.81</v>
      </c>
      <c r="L33" s="669">
        <v>1238.68</v>
      </c>
    </row>
    <row r="34" spans="1:12" ht="15" customHeight="1">
      <c r="A34" s="222" t="s">
        <v>138</v>
      </c>
      <c r="B34" s="309"/>
      <c r="C34" s="309"/>
      <c r="D34" s="143"/>
      <c r="E34" s="143"/>
      <c r="F34" s="143"/>
      <c r="G34" s="143"/>
      <c r="H34" s="143"/>
      <c r="I34" s="143"/>
      <c r="J34" s="143"/>
      <c r="K34" s="143"/>
      <c r="L34" s="143"/>
    </row>
    <row r="35" spans="1:12" ht="15" customHeight="1">
      <c r="A35" s="803" t="s">
        <v>130</v>
      </c>
      <c r="B35" s="803"/>
      <c r="C35" s="803"/>
      <c r="D35" s="803"/>
      <c r="E35" s="803"/>
      <c r="F35" s="803"/>
      <c r="G35" s="803"/>
      <c r="H35" s="803"/>
      <c r="I35" s="803"/>
      <c r="J35" s="803"/>
      <c r="K35" s="803"/>
      <c r="L35" s="803"/>
    </row>
  </sheetData>
  <mergeCells count="2">
    <mergeCell ref="A1:L1"/>
    <mergeCell ref="A35:L35"/>
  </mergeCells>
  <conditionalFormatting sqref="A1 E2:E3 E36:E1048576 A2:C2 A3 A36:C1048576 M1:XFD1048576">
    <cfRule type="cellIs" dxfId="170" priority="26" operator="equal">
      <formula>0</formula>
    </cfRule>
  </conditionalFormatting>
  <conditionalFormatting sqref="D2:D3 D36:D1048576">
    <cfRule type="cellIs" dxfId="169" priority="25" operator="equal">
      <formula>0</formula>
    </cfRule>
  </conditionalFormatting>
  <conditionalFormatting sqref="G2:G3 G36:G1048576">
    <cfRule type="cellIs" dxfId="168" priority="24" operator="equal">
      <formula>0</formula>
    </cfRule>
  </conditionalFormatting>
  <conditionalFormatting sqref="F2:F3 F36:F1048576">
    <cfRule type="cellIs" dxfId="167" priority="23" operator="equal">
      <formula>0</formula>
    </cfRule>
  </conditionalFormatting>
  <conditionalFormatting sqref="H2:H3 H36:H1048576">
    <cfRule type="cellIs" dxfId="166" priority="22" operator="equal">
      <formula>0</formula>
    </cfRule>
  </conditionalFormatting>
  <conditionalFormatting sqref="I2:I3 I36:I1048576">
    <cfRule type="cellIs" dxfId="165" priority="21" operator="equal">
      <formula>0</formula>
    </cfRule>
  </conditionalFormatting>
  <conditionalFormatting sqref="J2:J3 J36:J1048576">
    <cfRule type="cellIs" dxfId="164" priority="20" operator="equal">
      <formula>0</formula>
    </cfRule>
  </conditionalFormatting>
  <conditionalFormatting sqref="K2:K3 K36:K1048576">
    <cfRule type="cellIs" dxfId="163" priority="19" operator="equal">
      <formula>0</formula>
    </cfRule>
  </conditionalFormatting>
  <conditionalFormatting sqref="L2:L3 L36:L1048576">
    <cfRule type="cellIs" dxfId="162" priority="18" operator="equal">
      <formula>0</formula>
    </cfRule>
  </conditionalFormatting>
  <conditionalFormatting sqref="A35 A4:C4 B34:D34 B5:L33">
    <cfRule type="cellIs" dxfId="161" priority="17" operator="equal">
      <formula>0</formula>
    </cfRule>
  </conditionalFormatting>
  <conditionalFormatting sqref="A34">
    <cfRule type="cellIs" dxfId="160" priority="16" operator="equal">
      <formula>0</formula>
    </cfRule>
  </conditionalFormatting>
  <conditionalFormatting sqref="D4">
    <cfRule type="cellIs" dxfId="159" priority="15" operator="equal">
      <formula>0</formula>
    </cfRule>
  </conditionalFormatting>
  <conditionalFormatting sqref="G34">
    <cfRule type="cellIs" dxfId="158" priority="14" operator="equal">
      <formula>0</formula>
    </cfRule>
  </conditionalFormatting>
  <conditionalFormatting sqref="E34">
    <cfRule type="cellIs" dxfId="157" priority="13" operator="equal">
      <formula>0</formula>
    </cfRule>
  </conditionalFormatting>
  <conditionalFormatting sqref="E4:G4">
    <cfRule type="cellIs" dxfId="156" priority="12" operator="equal">
      <formula>0</formula>
    </cfRule>
  </conditionalFormatting>
  <conditionalFormatting sqref="F34">
    <cfRule type="cellIs" dxfId="155" priority="11" operator="equal">
      <formula>0</formula>
    </cfRule>
  </conditionalFormatting>
  <conditionalFormatting sqref="H34">
    <cfRule type="cellIs" dxfId="154" priority="10" operator="equal">
      <formula>0</formula>
    </cfRule>
  </conditionalFormatting>
  <conditionalFormatting sqref="H4">
    <cfRule type="cellIs" dxfId="153" priority="9" operator="equal">
      <formula>0</formula>
    </cfRule>
  </conditionalFormatting>
  <conditionalFormatting sqref="I34">
    <cfRule type="cellIs" dxfId="152" priority="8" operator="equal">
      <formula>0</formula>
    </cfRule>
  </conditionalFormatting>
  <conditionalFormatting sqref="I4">
    <cfRule type="cellIs" dxfId="151" priority="7" operator="equal">
      <formula>0</formula>
    </cfRule>
  </conditionalFormatting>
  <conditionalFormatting sqref="J34">
    <cfRule type="cellIs" dxfId="150" priority="6" operator="equal">
      <formula>0</formula>
    </cfRule>
  </conditionalFormatting>
  <conditionalFormatting sqref="J4">
    <cfRule type="cellIs" dxfId="149" priority="5" operator="equal">
      <formula>0</formula>
    </cfRule>
  </conditionalFormatting>
  <conditionalFormatting sqref="K34">
    <cfRule type="cellIs" dxfId="148" priority="4" operator="equal">
      <formula>0</formula>
    </cfRule>
  </conditionalFormatting>
  <conditionalFormatting sqref="K4">
    <cfRule type="cellIs" dxfId="147" priority="3" operator="equal">
      <formula>0</formula>
    </cfRule>
  </conditionalFormatting>
  <conditionalFormatting sqref="L34">
    <cfRule type="cellIs" dxfId="146" priority="2" operator="equal">
      <formula>0</formula>
    </cfRule>
  </conditionalFormatting>
  <conditionalFormatting sqref="L4">
    <cfRule type="cellIs" dxfId="145"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2">
    <tabColor rgb="FFA50021"/>
    <pageSetUpPr fitToPage="1"/>
  </sheetPr>
  <dimension ref="A1:O45"/>
  <sheetViews>
    <sheetView showGridLines="0" workbookViewId="0">
      <selection sqref="A1:M2"/>
    </sheetView>
  </sheetViews>
  <sheetFormatPr defaultColWidth="9.140625" defaultRowHeight="17.25" customHeight="1"/>
  <cols>
    <col min="1" max="1" width="14.7109375" style="132" customWidth="1"/>
    <col min="2" max="2" width="2.7109375" style="141" customWidth="1"/>
    <col min="3" max="13" width="6.42578125" style="142" customWidth="1"/>
    <col min="14" max="16384" width="9.140625" style="132"/>
  </cols>
  <sheetData>
    <row r="1" spans="1:15" s="137" customFormat="1" ht="28.5" customHeight="1">
      <c r="A1" s="767" t="s">
        <v>742</v>
      </c>
      <c r="B1" s="767"/>
      <c r="C1" s="767"/>
      <c r="D1" s="767"/>
      <c r="E1" s="767"/>
      <c r="F1" s="767"/>
      <c r="G1" s="767"/>
      <c r="H1" s="767"/>
      <c r="I1" s="767"/>
      <c r="J1" s="767"/>
      <c r="K1" s="767"/>
      <c r="L1" s="767"/>
      <c r="M1" s="767"/>
    </row>
    <row r="2" spans="1:15" s="138" customFormat="1" ht="15" customHeight="1">
      <c r="A2" s="95"/>
      <c r="B2" s="95"/>
      <c r="C2" s="102"/>
      <c r="D2" s="102"/>
      <c r="E2" s="102"/>
      <c r="F2" s="102"/>
      <c r="G2" s="102"/>
      <c r="H2" s="102"/>
      <c r="I2" s="102"/>
      <c r="J2" s="102"/>
      <c r="K2" s="102"/>
      <c r="L2" s="102"/>
      <c r="M2" s="102"/>
    </row>
    <row r="3" spans="1:15" s="121" customFormat="1" ht="15" customHeight="1">
      <c r="A3" s="67" t="s">
        <v>14</v>
      </c>
      <c r="B3" s="68"/>
      <c r="C3" s="145"/>
      <c r="E3" s="193"/>
      <c r="F3" s="227"/>
      <c r="G3" s="224"/>
      <c r="H3" s="320"/>
      <c r="I3" s="272"/>
      <c r="J3" s="327"/>
      <c r="K3" s="427"/>
      <c r="L3" s="427"/>
      <c r="M3" s="427" t="s">
        <v>68</v>
      </c>
    </row>
    <row r="4" spans="1:15" s="122" customFormat="1" ht="28.5" customHeight="1" thickBot="1">
      <c r="A4" s="69"/>
      <c r="B4" s="69"/>
      <c r="C4" s="69">
        <v>2013</v>
      </c>
      <c r="D4" s="69">
        <v>2014</v>
      </c>
      <c r="E4" s="69">
        <v>2015</v>
      </c>
      <c r="F4" s="69">
        <v>2016</v>
      </c>
      <c r="G4" s="69">
        <v>2017</v>
      </c>
      <c r="H4" s="69">
        <v>2018</v>
      </c>
      <c r="I4" s="69">
        <v>2019</v>
      </c>
      <c r="J4" s="69">
        <v>2020</v>
      </c>
      <c r="K4" s="69">
        <v>2021</v>
      </c>
      <c r="L4" s="69">
        <v>2022</v>
      </c>
      <c r="M4" s="69">
        <v>2023</v>
      </c>
    </row>
    <row r="5" spans="1:15" s="123" customFormat="1" ht="16.5" customHeight="1" thickTop="1">
      <c r="A5" s="54" t="s">
        <v>12</v>
      </c>
      <c r="B5" s="54" t="s">
        <v>45</v>
      </c>
      <c r="C5" s="388">
        <v>1093.82</v>
      </c>
      <c r="D5" s="388">
        <v>1093.21</v>
      </c>
      <c r="E5" s="388">
        <v>1096.6600000000001</v>
      </c>
      <c r="F5" s="388">
        <v>1107.8599999999999</v>
      </c>
      <c r="G5" s="388">
        <v>1133.3399999999999</v>
      </c>
      <c r="H5" s="388">
        <v>1170.25</v>
      </c>
      <c r="I5" s="388">
        <v>1209.94</v>
      </c>
      <c r="J5" s="388">
        <v>1250.75</v>
      </c>
      <c r="K5" s="388">
        <v>1294.1099999999999</v>
      </c>
      <c r="L5" s="388">
        <v>1368</v>
      </c>
      <c r="M5" s="388">
        <v>1466.66</v>
      </c>
      <c r="N5" s="122"/>
      <c r="O5" s="122"/>
    </row>
    <row r="6" spans="1:15" s="123" customFormat="1" ht="12.75" customHeight="1">
      <c r="A6" s="54"/>
      <c r="B6" s="54" t="s">
        <v>53</v>
      </c>
      <c r="C6" s="388">
        <v>1209.21</v>
      </c>
      <c r="D6" s="388">
        <v>1203.32</v>
      </c>
      <c r="E6" s="388">
        <v>1207.76</v>
      </c>
      <c r="F6" s="388">
        <v>1215.1099999999999</v>
      </c>
      <c r="G6" s="388">
        <v>1236.8499999999999</v>
      </c>
      <c r="H6" s="388">
        <v>1273.99</v>
      </c>
      <c r="I6" s="388">
        <v>1312.43</v>
      </c>
      <c r="J6" s="388">
        <v>1349.35</v>
      </c>
      <c r="K6" s="388">
        <v>1395.7</v>
      </c>
      <c r="L6" s="388">
        <v>1476.2</v>
      </c>
      <c r="M6" s="388">
        <v>1577.33</v>
      </c>
      <c r="O6" s="122"/>
    </row>
    <row r="7" spans="1:15" s="123" customFormat="1" ht="12.75" customHeight="1">
      <c r="A7" s="54"/>
      <c r="B7" s="54" t="s">
        <v>54</v>
      </c>
      <c r="C7" s="388">
        <v>958.12</v>
      </c>
      <c r="D7" s="388">
        <v>963.12</v>
      </c>
      <c r="E7" s="388">
        <v>966.85</v>
      </c>
      <c r="F7" s="388">
        <v>982.49</v>
      </c>
      <c r="G7" s="388">
        <v>1011.02</v>
      </c>
      <c r="H7" s="388">
        <v>1046.5899999999999</v>
      </c>
      <c r="I7" s="388">
        <v>1086.97</v>
      </c>
      <c r="J7" s="388">
        <v>1130.8699999999999</v>
      </c>
      <c r="K7" s="388">
        <v>1172.08</v>
      </c>
      <c r="L7" s="388">
        <v>1237.52</v>
      </c>
      <c r="M7" s="388">
        <v>1332.02</v>
      </c>
      <c r="O7" s="122"/>
    </row>
    <row r="8" spans="1:15" s="124" customFormat="1" ht="16.5" customHeight="1">
      <c r="A8" s="56" t="s">
        <v>55</v>
      </c>
      <c r="B8" s="54" t="s">
        <v>45</v>
      </c>
      <c r="C8" s="388">
        <v>626.53</v>
      </c>
      <c r="D8" s="388">
        <v>752.91</v>
      </c>
      <c r="E8" s="388">
        <v>711.88</v>
      </c>
      <c r="F8" s="388">
        <v>759.21</v>
      </c>
      <c r="G8" s="388">
        <v>761.64</v>
      </c>
      <c r="H8" s="388">
        <v>775.74</v>
      </c>
      <c r="I8" s="388">
        <v>1016.76</v>
      </c>
      <c r="J8" s="388">
        <v>1233.5</v>
      </c>
      <c r="K8" s="388">
        <v>1171.6400000000001</v>
      </c>
      <c r="L8" s="388">
        <v>1142.0999999999999</v>
      </c>
      <c r="M8" s="388">
        <v>1193.83</v>
      </c>
    </row>
    <row r="9" spans="1:15" s="124" customFormat="1" ht="12.75" customHeight="1">
      <c r="A9" s="57"/>
      <c r="B9" s="58" t="s">
        <v>53</v>
      </c>
      <c r="C9" s="390">
        <v>652.38</v>
      </c>
      <c r="D9" s="390">
        <v>837.34</v>
      </c>
      <c r="E9" s="390">
        <v>767.94</v>
      </c>
      <c r="F9" s="390">
        <v>814.54</v>
      </c>
      <c r="G9" s="390">
        <v>805.1</v>
      </c>
      <c r="H9" s="390">
        <v>813.3</v>
      </c>
      <c r="I9" s="390">
        <v>1105.51</v>
      </c>
      <c r="J9" s="390">
        <v>1339.07</v>
      </c>
      <c r="K9" s="390">
        <v>1291.68</v>
      </c>
      <c r="L9" s="390">
        <v>1255.19</v>
      </c>
      <c r="M9" s="390">
        <v>1290.02</v>
      </c>
    </row>
    <row r="10" spans="1:15" s="124" customFormat="1" ht="12.75" customHeight="1">
      <c r="A10" s="56"/>
      <c r="B10" s="58" t="s">
        <v>54</v>
      </c>
      <c r="C10" s="390">
        <v>574.46</v>
      </c>
      <c r="D10" s="390">
        <v>590.63</v>
      </c>
      <c r="E10" s="390">
        <v>590.91999999999996</v>
      </c>
      <c r="F10" s="390">
        <v>620.16</v>
      </c>
      <c r="G10" s="390">
        <v>647.80999999999995</v>
      </c>
      <c r="H10" s="390">
        <v>696.86</v>
      </c>
      <c r="I10" s="390">
        <v>782.86</v>
      </c>
      <c r="J10" s="390">
        <v>744.24</v>
      </c>
      <c r="K10" s="390">
        <v>762.78</v>
      </c>
      <c r="L10" s="390">
        <v>833.07</v>
      </c>
      <c r="M10" s="390">
        <v>912.59</v>
      </c>
    </row>
    <row r="11" spans="1:15" s="124" customFormat="1" ht="16.5" customHeight="1">
      <c r="A11" s="56" t="s">
        <v>56</v>
      </c>
      <c r="B11" s="54" t="s">
        <v>45</v>
      </c>
      <c r="C11" s="388">
        <v>715.26</v>
      </c>
      <c r="D11" s="388">
        <v>719.2</v>
      </c>
      <c r="E11" s="388">
        <v>733.69</v>
      </c>
      <c r="F11" s="388">
        <v>753.41</v>
      </c>
      <c r="G11" s="388">
        <v>788.29</v>
      </c>
      <c r="H11" s="388">
        <v>827.84</v>
      </c>
      <c r="I11" s="388">
        <v>871.35</v>
      </c>
      <c r="J11" s="388">
        <v>910.8</v>
      </c>
      <c r="K11" s="388">
        <v>948.81</v>
      </c>
      <c r="L11" s="388">
        <v>1015.84</v>
      </c>
      <c r="M11" s="388">
        <v>1100.3599999999999</v>
      </c>
    </row>
    <row r="12" spans="1:15" s="124" customFormat="1" ht="12.75" customHeight="1">
      <c r="A12" s="57"/>
      <c r="B12" s="58" t="s">
        <v>53</v>
      </c>
      <c r="C12" s="390">
        <v>753.12</v>
      </c>
      <c r="D12" s="390">
        <v>752.86</v>
      </c>
      <c r="E12" s="390">
        <v>768.96</v>
      </c>
      <c r="F12" s="390">
        <v>785.59</v>
      </c>
      <c r="G12" s="390">
        <v>818.25</v>
      </c>
      <c r="H12" s="390">
        <v>858.87</v>
      </c>
      <c r="I12" s="390">
        <v>904.02</v>
      </c>
      <c r="J12" s="390">
        <v>939.89</v>
      </c>
      <c r="K12" s="390">
        <v>975.75</v>
      </c>
      <c r="L12" s="390">
        <v>1047.2</v>
      </c>
      <c r="M12" s="390">
        <v>1135</v>
      </c>
    </row>
    <row r="13" spans="1:15" s="124" customFormat="1" ht="12.75" customHeight="1">
      <c r="A13" s="56"/>
      <c r="B13" s="58" t="s">
        <v>54</v>
      </c>
      <c r="C13" s="390">
        <v>666.16</v>
      </c>
      <c r="D13" s="390">
        <v>675</v>
      </c>
      <c r="E13" s="390">
        <v>688.01</v>
      </c>
      <c r="F13" s="390">
        <v>711.72</v>
      </c>
      <c r="G13" s="390">
        <v>749.37</v>
      </c>
      <c r="H13" s="390">
        <v>786.48</v>
      </c>
      <c r="I13" s="390">
        <v>827.95</v>
      </c>
      <c r="J13" s="390">
        <v>870.5</v>
      </c>
      <c r="K13" s="390">
        <v>912.9</v>
      </c>
      <c r="L13" s="390">
        <v>974.41</v>
      </c>
      <c r="M13" s="390">
        <v>1053.73</v>
      </c>
    </row>
    <row r="14" spans="1:15" s="124" customFormat="1" ht="16.5" customHeight="1">
      <c r="A14" s="56" t="s">
        <v>57</v>
      </c>
      <c r="B14" s="54" t="s">
        <v>45</v>
      </c>
      <c r="C14" s="388">
        <v>865.89</v>
      </c>
      <c r="D14" s="388">
        <v>862.51</v>
      </c>
      <c r="E14" s="388">
        <v>871.58</v>
      </c>
      <c r="F14" s="388">
        <v>893.31</v>
      </c>
      <c r="G14" s="388">
        <v>935.65</v>
      </c>
      <c r="H14" s="388">
        <v>980.03</v>
      </c>
      <c r="I14" s="388">
        <v>1030.8599999999999</v>
      </c>
      <c r="J14" s="388">
        <v>1074.49</v>
      </c>
      <c r="K14" s="388">
        <v>1126.1199999999999</v>
      </c>
      <c r="L14" s="388">
        <v>1206.3499999999999</v>
      </c>
      <c r="M14" s="388">
        <v>1287.3499999999999</v>
      </c>
    </row>
    <row r="15" spans="1:15" s="124" customFormat="1" ht="12.75" customHeight="1">
      <c r="A15" s="57"/>
      <c r="B15" s="58" t="s">
        <v>53</v>
      </c>
      <c r="C15" s="390">
        <v>906.41</v>
      </c>
      <c r="D15" s="390">
        <v>901.55</v>
      </c>
      <c r="E15" s="390">
        <v>917.1</v>
      </c>
      <c r="F15" s="390">
        <v>938.4</v>
      </c>
      <c r="G15" s="390">
        <v>982.93</v>
      </c>
      <c r="H15" s="390">
        <v>1028.6199999999999</v>
      </c>
      <c r="I15" s="390">
        <v>1078.1600000000001</v>
      </c>
      <c r="J15" s="390">
        <v>1116.2</v>
      </c>
      <c r="K15" s="390">
        <v>1172.81</v>
      </c>
      <c r="L15" s="390">
        <v>1256.52</v>
      </c>
      <c r="M15" s="390">
        <v>1332.6</v>
      </c>
    </row>
    <row r="16" spans="1:15" s="124" customFormat="1" ht="12.75" customHeight="1">
      <c r="A16" s="56"/>
      <c r="B16" s="58" t="s">
        <v>54</v>
      </c>
      <c r="C16" s="390">
        <v>822.22</v>
      </c>
      <c r="D16" s="390">
        <v>819.39</v>
      </c>
      <c r="E16" s="390">
        <v>821.71</v>
      </c>
      <c r="F16" s="390">
        <v>843.24</v>
      </c>
      <c r="G16" s="390">
        <v>882.47</v>
      </c>
      <c r="H16" s="390">
        <v>924.75</v>
      </c>
      <c r="I16" s="390">
        <v>976.53</v>
      </c>
      <c r="J16" s="390">
        <v>1025.45</v>
      </c>
      <c r="K16" s="390">
        <v>1071.5999999999999</v>
      </c>
      <c r="L16" s="390">
        <v>1146.3900000000001</v>
      </c>
      <c r="M16" s="390">
        <v>1232.01</v>
      </c>
    </row>
    <row r="17" spans="1:13" s="124" customFormat="1" ht="16.5" customHeight="1">
      <c r="A17" s="56" t="s">
        <v>58</v>
      </c>
      <c r="B17" s="54" t="s">
        <v>45</v>
      </c>
      <c r="C17" s="388">
        <v>997.83</v>
      </c>
      <c r="D17" s="388">
        <v>987.53</v>
      </c>
      <c r="E17" s="388">
        <v>991.06</v>
      </c>
      <c r="F17" s="388">
        <v>1003.61</v>
      </c>
      <c r="G17" s="388">
        <v>1034.78</v>
      </c>
      <c r="H17" s="388">
        <v>1081.3499999999999</v>
      </c>
      <c r="I17" s="388">
        <v>1135.05</v>
      </c>
      <c r="J17" s="388">
        <v>1176.05</v>
      </c>
      <c r="K17" s="388">
        <v>1234.8699999999999</v>
      </c>
      <c r="L17" s="388">
        <v>1319.28</v>
      </c>
      <c r="M17" s="388">
        <v>1414.1</v>
      </c>
    </row>
    <row r="18" spans="1:13" s="124" customFormat="1" ht="12.75" customHeight="1">
      <c r="A18" s="57"/>
      <c r="B18" s="58" t="s">
        <v>53</v>
      </c>
      <c r="C18" s="390">
        <v>1053</v>
      </c>
      <c r="D18" s="390">
        <v>1036.99</v>
      </c>
      <c r="E18" s="390">
        <v>1043.9100000000001</v>
      </c>
      <c r="F18" s="390">
        <v>1054.6300000000001</v>
      </c>
      <c r="G18" s="390">
        <v>1089.0999999999999</v>
      </c>
      <c r="H18" s="390">
        <v>1145.51</v>
      </c>
      <c r="I18" s="390">
        <v>1199.1600000000001</v>
      </c>
      <c r="J18" s="390">
        <v>1236.27</v>
      </c>
      <c r="K18" s="390">
        <v>1297</v>
      </c>
      <c r="L18" s="390">
        <v>1382.69</v>
      </c>
      <c r="M18" s="390">
        <v>1478.18</v>
      </c>
    </row>
    <row r="19" spans="1:13" s="124" customFormat="1" ht="12.75" customHeight="1">
      <c r="A19" s="56"/>
      <c r="B19" s="58" t="s">
        <v>54</v>
      </c>
      <c r="C19" s="390">
        <v>937.44</v>
      </c>
      <c r="D19" s="390">
        <v>932.62</v>
      </c>
      <c r="E19" s="390">
        <v>932.72</v>
      </c>
      <c r="F19" s="390">
        <v>946.64</v>
      </c>
      <c r="G19" s="390">
        <v>972.87</v>
      </c>
      <c r="H19" s="390">
        <v>1006.36</v>
      </c>
      <c r="I19" s="390">
        <v>1058.76</v>
      </c>
      <c r="J19" s="390">
        <v>1102.45</v>
      </c>
      <c r="K19" s="390">
        <v>1158.8900000000001</v>
      </c>
      <c r="L19" s="390">
        <v>1239.75</v>
      </c>
      <c r="M19" s="390">
        <v>1332.57</v>
      </c>
    </row>
    <row r="20" spans="1:13" s="124" customFormat="1" ht="16.5" customHeight="1">
      <c r="A20" s="56" t="s">
        <v>59</v>
      </c>
      <c r="B20" s="54" t="s">
        <v>45</v>
      </c>
      <c r="C20" s="388">
        <v>1137.8699999999999</v>
      </c>
      <c r="D20" s="388">
        <v>1125.56</v>
      </c>
      <c r="E20" s="388">
        <v>1118.1500000000001</v>
      </c>
      <c r="F20" s="388">
        <v>1123.67</v>
      </c>
      <c r="G20" s="388">
        <v>1143.2</v>
      </c>
      <c r="H20" s="388">
        <v>1176.19</v>
      </c>
      <c r="I20" s="388">
        <v>1219.47</v>
      </c>
      <c r="J20" s="388">
        <v>1255.8699999999999</v>
      </c>
      <c r="K20" s="388">
        <v>1302.6099999999999</v>
      </c>
      <c r="L20" s="388">
        <v>1386.25</v>
      </c>
      <c r="M20" s="388">
        <v>1486.1</v>
      </c>
    </row>
    <row r="21" spans="1:13" s="124" customFormat="1" ht="12.75" customHeight="1">
      <c r="A21" s="57"/>
      <c r="B21" s="58" t="s">
        <v>53</v>
      </c>
      <c r="C21" s="390">
        <v>1225.8</v>
      </c>
      <c r="D21" s="390">
        <v>1207.94</v>
      </c>
      <c r="E21" s="390">
        <v>1199.21</v>
      </c>
      <c r="F21" s="390">
        <v>1203.05</v>
      </c>
      <c r="G21" s="390">
        <v>1220.79</v>
      </c>
      <c r="H21" s="390">
        <v>1256.28</v>
      </c>
      <c r="I21" s="390">
        <v>1300.3599999999999</v>
      </c>
      <c r="J21" s="390">
        <v>1332.62</v>
      </c>
      <c r="K21" s="390">
        <v>1389.05</v>
      </c>
      <c r="L21" s="390">
        <v>1486.04</v>
      </c>
      <c r="M21" s="390">
        <v>1588.98</v>
      </c>
    </row>
    <row r="22" spans="1:13" s="124" customFormat="1" ht="12.75" customHeight="1">
      <c r="A22" s="56"/>
      <c r="B22" s="58" t="s">
        <v>54</v>
      </c>
      <c r="C22" s="390">
        <v>1040.19</v>
      </c>
      <c r="D22" s="390">
        <v>1033.5899999999999</v>
      </c>
      <c r="E22" s="390">
        <v>1028.94</v>
      </c>
      <c r="F22" s="390">
        <v>1036.08</v>
      </c>
      <c r="G22" s="390">
        <v>1056.9100000000001</v>
      </c>
      <c r="H22" s="390">
        <v>1085.78</v>
      </c>
      <c r="I22" s="390">
        <v>1126.5999999999999</v>
      </c>
      <c r="J22" s="390">
        <v>1165.56</v>
      </c>
      <c r="K22" s="390">
        <v>1199.9100000000001</v>
      </c>
      <c r="L22" s="390">
        <v>1265.49</v>
      </c>
      <c r="M22" s="390">
        <v>1359.26</v>
      </c>
    </row>
    <row r="23" spans="1:13" s="124" customFormat="1" ht="16.5" customHeight="1">
      <c r="A23" s="56" t="s">
        <v>60</v>
      </c>
      <c r="B23" s="54" t="s">
        <v>45</v>
      </c>
      <c r="C23" s="388">
        <v>1188.8900000000001</v>
      </c>
      <c r="D23" s="388">
        <v>1199.29</v>
      </c>
      <c r="E23" s="388">
        <v>1202.77</v>
      </c>
      <c r="F23" s="388">
        <v>1213.01</v>
      </c>
      <c r="G23" s="388">
        <v>1237.07</v>
      </c>
      <c r="H23" s="388">
        <v>1273.52</v>
      </c>
      <c r="I23" s="388">
        <v>1312.02</v>
      </c>
      <c r="J23" s="388">
        <v>1336.16</v>
      </c>
      <c r="K23" s="388">
        <v>1379.16</v>
      </c>
      <c r="L23" s="388">
        <v>1451.82</v>
      </c>
      <c r="M23" s="388">
        <v>1553.51</v>
      </c>
    </row>
    <row r="24" spans="1:13" s="124" customFormat="1" ht="12.75" customHeight="1">
      <c r="A24" s="57"/>
      <c r="B24" s="58" t="s">
        <v>53</v>
      </c>
      <c r="C24" s="390">
        <v>1319.65</v>
      </c>
      <c r="D24" s="390">
        <v>1322.59</v>
      </c>
      <c r="E24" s="390">
        <v>1324.11</v>
      </c>
      <c r="F24" s="390">
        <v>1328.89</v>
      </c>
      <c r="G24" s="390">
        <v>1345.48</v>
      </c>
      <c r="H24" s="390">
        <v>1383.56</v>
      </c>
      <c r="I24" s="390">
        <v>1423.21</v>
      </c>
      <c r="J24" s="390">
        <v>1438.53</v>
      </c>
      <c r="K24" s="390">
        <v>1488.14</v>
      </c>
      <c r="L24" s="390">
        <v>1570.45</v>
      </c>
      <c r="M24" s="390">
        <v>1675.27</v>
      </c>
    </row>
    <row r="25" spans="1:13" s="124" customFormat="1" ht="12.75" customHeight="1">
      <c r="A25" s="56"/>
      <c r="B25" s="58" t="s">
        <v>54</v>
      </c>
      <c r="C25" s="390">
        <v>1040.29</v>
      </c>
      <c r="D25" s="390">
        <v>1059.56</v>
      </c>
      <c r="E25" s="390">
        <v>1067.27</v>
      </c>
      <c r="F25" s="390">
        <v>1084.73</v>
      </c>
      <c r="G25" s="390">
        <v>1116.67</v>
      </c>
      <c r="H25" s="390">
        <v>1150.99</v>
      </c>
      <c r="I25" s="390">
        <v>1186.8499999999999</v>
      </c>
      <c r="J25" s="390">
        <v>1220.1400000000001</v>
      </c>
      <c r="K25" s="390">
        <v>1256.71</v>
      </c>
      <c r="L25" s="390">
        <v>1318.08</v>
      </c>
      <c r="M25" s="390">
        <v>1414.24</v>
      </c>
    </row>
    <row r="26" spans="1:13" s="124" customFormat="1" ht="16.5" customHeight="1">
      <c r="A26" s="56" t="s">
        <v>61</v>
      </c>
      <c r="B26" s="54" t="s">
        <v>45</v>
      </c>
      <c r="C26" s="388">
        <v>1183.1500000000001</v>
      </c>
      <c r="D26" s="388">
        <v>1181.01</v>
      </c>
      <c r="E26" s="388">
        <v>1187.8800000000001</v>
      </c>
      <c r="F26" s="388">
        <v>1205.0899999999999</v>
      </c>
      <c r="G26" s="388">
        <v>1239.57</v>
      </c>
      <c r="H26" s="388">
        <v>1285.8</v>
      </c>
      <c r="I26" s="388">
        <v>1339.38</v>
      </c>
      <c r="J26" s="388">
        <v>1380.51</v>
      </c>
      <c r="K26" s="388">
        <v>1422.45</v>
      </c>
      <c r="L26" s="388">
        <v>1499.91</v>
      </c>
      <c r="M26" s="388">
        <v>1610.09</v>
      </c>
    </row>
    <row r="27" spans="1:13" s="124" customFormat="1" ht="12.75" customHeight="1">
      <c r="A27" s="57"/>
      <c r="B27" s="58" t="s">
        <v>53</v>
      </c>
      <c r="C27" s="390">
        <v>1344.9</v>
      </c>
      <c r="D27" s="390">
        <v>1332.05</v>
      </c>
      <c r="E27" s="390">
        <v>1338.47</v>
      </c>
      <c r="F27" s="390">
        <v>1349.5</v>
      </c>
      <c r="G27" s="390">
        <v>1378.91</v>
      </c>
      <c r="H27" s="390">
        <v>1423.62</v>
      </c>
      <c r="I27" s="390">
        <v>1479.48</v>
      </c>
      <c r="J27" s="390">
        <v>1515.45</v>
      </c>
      <c r="K27" s="390">
        <v>1559.28</v>
      </c>
      <c r="L27" s="390">
        <v>1643.32</v>
      </c>
      <c r="M27" s="390">
        <v>1758.57</v>
      </c>
    </row>
    <row r="28" spans="1:13" s="124" customFormat="1" ht="12.75" customHeight="1">
      <c r="A28" s="56"/>
      <c r="B28" s="58" t="s">
        <v>54</v>
      </c>
      <c r="C28" s="390">
        <v>993.84</v>
      </c>
      <c r="D28" s="390">
        <v>1005.13</v>
      </c>
      <c r="E28" s="390">
        <v>1015.23</v>
      </c>
      <c r="F28" s="390">
        <v>1040.28</v>
      </c>
      <c r="G28" s="390">
        <v>1079.45</v>
      </c>
      <c r="H28" s="390">
        <v>1127.3</v>
      </c>
      <c r="I28" s="390">
        <v>1178.1400000000001</v>
      </c>
      <c r="J28" s="390">
        <v>1225.22</v>
      </c>
      <c r="K28" s="390">
        <v>1268.3399999999999</v>
      </c>
      <c r="L28" s="390">
        <v>1339.65</v>
      </c>
      <c r="M28" s="390">
        <v>1444.15</v>
      </c>
    </row>
    <row r="29" spans="1:13" s="124" customFormat="1" ht="16.5" customHeight="1">
      <c r="A29" s="56" t="s">
        <v>62</v>
      </c>
      <c r="B29" s="54" t="s">
        <v>45</v>
      </c>
      <c r="C29" s="388">
        <v>1196.1300000000001</v>
      </c>
      <c r="D29" s="388">
        <v>1190.3399999999999</v>
      </c>
      <c r="E29" s="388">
        <v>1189.6400000000001</v>
      </c>
      <c r="F29" s="388">
        <v>1198.54</v>
      </c>
      <c r="G29" s="388">
        <v>1218.03</v>
      </c>
      <c r="H29" s="388">
        <v>1252.93</v>
      </c>
      <c r="I29" s="388">
        <v>1283.5999999999999</v>
      </c>
      <c r="J29" s="388">
        <v>1324.32</v>
      </c>
      <c r="K29" s="388">
        <v>1369.01</v>
      </c>
      <c r="L29" s="388">
        <v>1457.11</v>
      </c>
      <c r="M29" s="388">
        <v>1577.03</v>
      </c>
    </row>
    <row r="30" spans="1:13" s="124" customFormat="1" ht="12.75" customHeight="1">
      <c r="A30" s="57"/>
      <c r="B30" s="58" t="s">
        <v>53</v>
      </c>
      <c r="C30" s="390">
        <v>1371.77</v>
      </c>
      <c r="D30" s="390">
        <v>1362.31</v>
      </c>
      <c r="E30" s="390">
        <v>1359.58</v>
      </c>
      <c r="F30" s="390">
        <v>1361.4</v>
      </c>
      <c r="G30" s="390">
        <v>1373.4</v>
      </c>
      <c r="H30" s="390">
        <v>1404.54</v>
      </c>
      <c r="I30" s="390">
        <v>1430.18</v>
      </c>
      <c r="J30" s="390">
        <v>1468.57</v>
      </c>
      <c r="K30" s="390">
        <v>1515.09</v>
      </c>
      <c r="L30" s="390">
        <v>1615.19</v>
      </c>
      <c r="M30" s="390">
        <v>1743.83</v>
      </c>
    </row>
    <row r="31" spans="1:13" s="124" customFormat="1" ht="12.75" customHeight="1">
      <c r="A31" s="56"/>
      <c r="B31" s="58" t="s">
        <v>54</v>
      </c>
      <c r="C31" s="390">
        <v>974.9</v>
      </c>
      <c r="D31" s="390">
        <v>975.55</v>
      </c>
      <c r="E31" s="390">
        <v>980.12</v>
      </c>
      <c r="F31" s="390">
        <v>999.21</v>
      </c>
      <c r="G31" s="390">
        <v>1027.31</v>
      </c>
      <c r="H31" s="390">
        <v>1067.1300000000001</v>
      </c>
      <c r="I31" s="390">
        <v>1105.46</v>
      </c>
      <c r="J31" s="390">
        <v>1148.5999999999999</v>
      </c>
      <c r="K31" s="390">
        <v>1196.0999999999999</v>
      </c>
      <c r="L31" s="390">
        <v>1272.17</v>
      </c>
      <c r="M31" s="390">
        <v>1383.68</v>
      </c>
    </row>
    <row r="32" spans="1:13" s="124" customFormat="1" ht="16.5" customHeight="1">
      <c r="A32" s="56" t="s">
        <v>63</v>
      </c>
      <c r="B32" s="54" t="s">
        <v>45</v>
      </c>
      <c r="C32" s="388">
        <v>1260.48</v>
      </c>
      <c r="D32" s="388">
        <v>1243.7</v>
      </c>
      <c r="E32" s="388">
        <v>1231.83</v>
      </c>
      <c r="F32" s="388">
        <v>1222.26</v>
      </c>
      <c r="G32" s="388">
        <v>1222.04</v>
      </c>
      <c r="H32" s="388">
        <v>1243.21</v>
      </c>
      <c r="I32" s="388">
        <v>1254.19</v>
      </c>
      <c r="J32" s="388">
        <v>1291.3399999999999</v>
      </c>
      <c r="K32" s="388">
        <v>1322.84</v>
      </c>
      <c r="L32" s="388">
        <v>1391.44</v>
      </c>
      <c r="M32" s="388">
        <v>1501.07</v>
      </c>
    </row>
    <row r="33" spans="1:13" s="124" customFormat="1" ht="12.75" customHeight="1">
      <c r="A33" s="57"/>
      <c r="B33" s="58" t="s">
        <v>53</v>
      </c>
      <c r="C33" s="390">
        <v>1449.67</v>
      </c>
      <c r="D33" s="390">
        <v>1421.03</v>
      </c>
      <c r="E33" s="390">
        <v>1403.84</v>
      </c>
      <c r="F33" s="390">
        <v>1388.66</v>
      </c>
      <c r="G33" s="390">
        <v>1378.05</v>
      </c>
      <c r="H33" s="390">
        <v>1397.96</v>
      </c>
      <c r="I33" s="390">
        <v>1408.16</v>
      </c>
      <c r="J33" s="390">
        <v>1443.49</v>
      </c>
      <c r="K33" s="390">
        <v>1472.73</v>
      </c>
      <c r="L33" s="390">
        <v>1554.15</v>
      </c>
      <c r="M33" s="390">
        <v>1671.26</v>
      </c>
    </row>
    <row r="34" spans="1:13" s="124" customFormat="1" ht="12.75" customHeight="1">
      <c r="A34" s="56"/>
      <c r="B34" s="58" t="s">
        <v>54</v>
      </c>
      <c r="C34" s="390">
        <v>989.91</v>
      </c>
      <c r="D34" s="390">
        <v>997.43</v>
      </c>
      <c r="E34" s="390">
        <v>998.73</v>
      </c>
      <c r="F34" s="390">
        <v>1000.23</v>
      </c>
      <c r="G34" s="390">
        <v>1011.79</v>
      </c>
      <c r="H34" s="390">
        <v>1036.0999999999999</v>
      </c>
      <c r="I34" s="390">
        <v>1049.6400000000001</v>
      </c>
      <c r="J34" s="390">
        <v>1090.05</v>
      </c>
      <c r="K34" s="390">
        <v>1129.96</v>
      </c>
      <c r="L34" s="390">
        <v>1187.8900000000001</v>
      </c>
      <c r="M34" s="390">
        <v>1289.45</v>
      </c>
    </row>
    <row r="35" spans="1:13" s="124" customFormat="1" ht="16.5" customHeight="1">
      <c r="A35" s="56" t="s">
        <v>64</v>
      </c>
      <c r="B35" s="54" t="s">
        <v>45</v>
      </c>
      <c r="C35" s="388">
        <v>1246.01</v>
      </c>
      <c r="D35" s="388">
        <v>1252.29</v>
      </c>
      <c r="E35" s="388">
        <v>1263.1199999999999</v>
      </c>
      <c r="F35" s="388">
        <v>1258.95</v>
      </c>
      <c r="G35" s="388">
        <v>1268.01</v>
      </c>
      <c r="H35" s="388">
        <v>1288.9000000000001</v>
      </c>
      <c r="I35" s="388">
        <v>1302.31</v>
      </c>
      <c r="J35" s="388">
        <v>1330.04</v>
      </c>
      <c r="K35" s="388">
        <v>1336.9</v>
      </c>
      <c r="L35" s="388">
        <v>1381.21</v>
      </c>
      <c r="M35" s="388">
        <v>1465.81</v>
      </c>
    </row>
    <row r="36" spans="1:13" s="124" customFormat="1" ht="12.75" customHeight="1">
      <c r="A36" s="57"/>
      <c r="B36" s="58" t="s">
        <v>53</v>
      </c>
      <c r="C36" s="390">
        <v>1452.15</v>
      </c>
      <c r="D36" s="390">
        <v>1455.06</v>
      </c>
      <c r="E36" s="390">
        <v>1469.17</v>
      </c>
      <c r="F36" s="390">
        <v>1457.86</v>
      </c>
      <c r="G36" s="390">
        <v>1446.99</v>
      </c>
      <c r="H36" s="390">
        <v>1460.43</v>
      </c>
      <c r="I36" s="390">
        <v>1461.58</v>
      </c>
      <c r="J36" s="390">
        <v>1484.54</v>
      </c>
      <c r="K36" s="390">
        <v>1484.84</v>
      </c>
      <c r="L36" s="390">
        <v>1536.23</v>
      </c>
      <c r="M36" s="390">
        <v>1629.73</v>
      </c>
    </row>
    <row r="37" spans="1:13" s="124" customFormat="1" ht="12.75" customHeight="1">
      <c r="A37" s="56"/>
      <c r="B37" s="58" t="s">
        <v>54</v>
      </c>
      <c r="C37" s="390">
        <v>941.49</v>
      </c>
      <c r="D37" s="390">
        <v>951.97</v>
      </c>
      <c r="E37" s="390">
        <v>961.12</v>
      </c>
      <c r="F37" s="390">
        <v>973.4</v>
      </c>
      <c r="G37" s="390">
        <v>1009.34</v>
      </c>
      <c r="H37" s="390">
        <v>1047.67</v>
      </c>
      <c r="I37" s="390">
        <v>1082.28</v>
      </c>
      <c r="J37" s="390">
        <v>1117.4100000000001</v>
      </c>
      <c r="K37" s="390">
        <v>1136.29</v>
      </c>
      <c r="L37" s="390">
        <v>1173.5</v>
      </c>
      <c r="M37" s="390">
        <v>1249.45</v>
      </c>
    </row>
    <row r="38" spans="1:13" s="226" customFormat="1" ht="16.5" customHeight="1">
      <c r="A38" s="159" t="s">
        <v>67</v>
      </c>
      <c r="B38" s="225" t="s">
        <v>45</v>
      </c>
      <c r="C38" s="389">
        <v>1372.67</v>
      </c>
      <c r="D38" s="389">
        <v>1328.61</v>
      </c>
      <c r="E38" s="389">
        <v>1341.63</v>
      </c>
      <c r="F38" s="389">
        <v>1337.56</v>
      </c>
      <c r="G38" s="389">
        <v>1346.83</v>
      </c>
      <c r="H38" s="389">
        <v>1353.02</v>
      </c>
      <c r="I38" s="389">
        <v>1396.55</v>
      </c>
      <c r="J38" s="389">
        <v>1462.63</v>
      </c>
      <c r="K38" s="389">
        <v>1470.97</v>
      </c>
      <c r="L38" s="389">
        <v>1488.54</v>
      </c>
      <c r="M38" s="389">
        <v>1557.94</v>
      </c>
    </row>
    <row r="39" spans="1:13" s="124" customFormat="1" ht="12.75" customHeight="1">
      <c r="A39" s="57"/>
      <c r="B39" s="58" t="s">
        <v>53</v>
      </c>
      <c r="C39" s="390">
        <v>1552.87</v>
      </c>
      <c r="D39" s="390">
        <v>1528.66</v>
      </c>
      <c r="E39" s="390">
        <v>1547.17</v>
      </c>
      <c r="F39" s="390">
        <v>1537.86</v>
      </c>
      <c r="G39" s="390">
        <v>1547.82</v>
      </c>
      <c r="H39" s="390">
        <v>1534.46</v>
      </c>
      <c r="I39" s="390">
        <v>1560.37</v>
      </c>
      <c r="J39" s="390">
        <v>1639.16</v>
      </c>
      <c r="K39" s="390">
        <v>1631.35</v>
      </c>
      <c r="L39" s="390">
        <v>1636.3</v>
      </c>
      <c r="M39" s="390">
        <v>1696.46</v>
      </c>
    </row>
    <row r="40" spans="1:13" s="124" customFormat="1" ht="12.75" customHeight="1">
      <c r="A40" s="56"/>
      <c r="B40" s="58" t="s">
        <v>54</v>
      </c>
      <c r="C40" s="390">
        <v>1027.83</v>
      </c>
      <c r="D40" s="390">
        <v>986.9</v>
      </c>
      <c r="E40" s="390">
        <v>1010.31</v>
      </c>
      <c r="F40" s="390">
        <v>1024.6099999999999</v>
      </c>
      <c r="G40" s="390">
        <v>1018.23</v>
      </c>
      <c r="H40" s="390">
        <v>1057.3800000000001</v>
      </c>
      <c r="I40" s="390">
        <v>1112.47</v>
      </c>
      <c r="J40" s="390">
        <v>1155.7</v>
      </c>
      <c r="K40" s="390">
        <v>1202</v>
      </c>
      <c r="L40" s="390">
        <v>1240.21</v>
      </c>
      <c r="M40" s="390">
        <v>1323.72</v>
      </c>
    </row>
    <row r="41" spans="1:13" s="124" customFormat="1" ht="16.5" customHeight="1">
      <c r="A41" s="56" t="s">
        <v>13</v>
      </c>
      <c r="B41" s="54" t="s">
        <v>45</v>
      </c>
      <c r="C41" s="388">
        <v>1576.02</v>
      </c>
      <c r="D41" s="388">
        <v>1575.8</v>
      </c>
      <c r="E41" s="388">
        <v>1535.44</v>
      </c>
      <c r="F41" s="388">
        <v>1559.75</v>
      </c>
      <c r="G41" s="388">
        <v>1616.05</v>
      </c>
      <c r="H41" s="388">
        <v>1651.82</v>
      </c>
      <c r="I41" s="388">
        <v>1070.05</v>
      </c>
      <c r="J41" s="388">
        <v>1183.3900000000001</v>
      </c>
      <c r="K41" s="388">
        <v>1143.72</v>
      </c>
      <c r="L41" s="388">
        <v>1226.25</v>
      </c>
      <c r="M41" s="388">
        <v>765</v>
      </c>
    </row>
    <row r="42" spans="1:13" s="124" customFormat="1" ht="12.75" customHeight="1">
      <c r="A42" s="59"/>
      <c r="B42" s="58" t="s">
        <v>53</v>
      </c>
      <c r="C42" s="390">
        <v>1743.48</v>
      </c>
      <c r="D42" s="390">
        <v>1777.61</v>
      </c>
      <c r="E42" s="390">
        <v>1696.32</v>
      </c>
      <c r="F42" s="390">
        <v>1736.81</v>
      </c>
      <c r="G42" s="390">
        <v>1791.32</v>
      </c>
      <c r="H42" s="390">
        <v>1833.13</v>
      </c>
      <c r="I42" s="390">
        <v>1099.3800000000001</v>
      </c>
      <c r="J42" s="390">
        <v>1212.5</v>
      </c>
      <c r="K42" s="390">
        <v>1180.2</v>
      </c>
      <c r="L42" s="390">
        <v>1283.81</v>
      </c>
      <c r="M42" s="390">
        <v>765</v>
      </c>
    </row>
    <row r="43" spans="1:13" s="124" customFormat="1" ht="12.75" customHeight="1">
      <c r="A43" s="9"/>
      <c r="B43" s="60" t="s">
        <v>54</v>
      </c>
      <c r="C43" s="405">
        <v>1191.54</v>
      </c>
      <c r="D43" s="405">
        <v>1172.6099999999999</v>
      </c>
      <c r="E43" s="405">
        <v>1224.5999999999999</v>
      </c>
      <c r="F43" s="405">
        <v>1197.69</v>
      </c>
      <c r="G43" s="405">
        <v>1262.06</v>
      </c>
      <c r="H43" s="405">
        <v>1262.67</v>
      </c>
      <c r="I43" s="405">
        <v>1045.04</v>
      </c>
      <c r="J43" s="405">
        <v>1144.3</v>
      </c>
      <c r="K43" s="405">
        <v>1106.46</v>
      </c>
      <c r="L43" s="405">
        <v>1151.3499999999999</v>
      </c>
      <c r="M43" s="405">
        <v>0</v>
      </c>
    </row>
    <row r="44" spans="1:13" s="121" customFormat="1" ht="15" customHeight="1">
      <c r="A44" s="21" t="s">
        <v>138</v>
      </c>
      <c r="B44" s="68"/>
      <c r="C44" s="53"/>
      <c r="D44" s="53"/>
      <c r="E44" s="53"/>
      <c r="F44" s="53"/>
      <c r="G44" s="87"/>
      <c r="H44" s="87"/>
      <c r="I44" s="87"/>
      <c r="J44" s="87"/>
      <c r="K44" s="87"/>
      <c r="L44" s="87"/>
      <c r="M44" s="87"/>
    </row>
    <row r="45" spans="1:13" s="121" customFormat="1" ht="23.25" customHeight="1">
      <c r="A45" s="780" t="s">
        <v>6</v>
      </c>
      <c r="B45" s="780"/>
      <c r="C45" s="780"/>
      <c r="D45" s="780"/>
      <c r="E45" s="780"/>
      <c r="F45" s="780"/>
      <c r="G45" s="780"/>
      <c r="H45" s="780"/>
      <c r="I45" s="780"/>
      <c r="J45" s="780"/>
      <c r="K45" s="780"/>
      <c r="L45" s="780"/>
      <c r="M45" s="780"/>
    </row>
  </sheetData>
  <mergeCells count="2">
    <mergeCell ref="A1:M1"/>
    <mergeCell ref="A45:M45"/>
  </mergeCells>
  <phoneticPr fontId="25" type="noConversion"/>
  <conditionalFormatting sqref="A45 E3 A1 G44 A46:D1048576 A2:D2 A4:D4 A3:C3 B44:D44 A5:I43 N1:XFD1048576">
    <cfRule type="cellIs" dxfId="144" priority="87" operator="equal">
      <formula>0</formula>
    </cfRule>
  </conditionalFormatting>
  <conditionalFormatting sqref="E2 E46:E1048576 E4">
    <cfRule type="cellIs" dxfId="143" priority="86" operator="equal">
      <formula>0</formula>
    </cfRule>
  </conditionalFormatting>
  <conditionalFormatting sqref="E44">
    <cfRule type="cellIs" dxfId="142" priority="85" operator="equal">
      <formula>0</formula>
    </cfRule>
  </conditionalFormatting>
  <conditionalFormatting sqref="A44">
    <cfRule type="cellIs" dxfId="141" priority="83" operator="equal">
      <formula>0</formula>
    </cfRule>
  </conditionalFormatting>
  <conditionalFormatting sqref="G3">
    <cfRule type="cellIs" dxfId="140" priority="82" operator="equal">
      <formula>0</formula>
    </cfRule>
  </conditionalFormatting>
  <conditionalFormatting sqref="G2 G46:G1048576 G4:I4">
    <cfRule type="cellIs" dxfId="139" priority="81" operator="equal">
      <formula>0</formula>
    </cfRule>
  </conditionalFormatting>
  <conditionalFormatting sqref="F3">
    <cfRule type="cellIs" dxfId="138" priority="74" operator="equal">
      <formula>0</formula>
    </cfRule>
  </conditionalFormatting>
  <conditionalFormatting sqref="F2 F46:F1048576 F4">
    <cfRule type="cellIs" dxfId="137" priority="73" operator="equal">
      <formula>0</formula>
    </cfRule>
  </conditionalFormatting>
  <conditionalFormatting sqref="F44">
    <cfRule type="cellIs" dxfId="136" priority="72" operator="equal">
      <formula>0</formula>
    </cfRule>
  </conditionalFormatting>
  <conditionalFormatting sqref="I44">
    <cfRule type="cellIs" dxfId="135" priority="66" operator="equal">
      <formula>0</formula>
    </cfRule>
  </conditionalFormatting>
  <conditionalFormatting sqref="I3">
    <cfRule type="cellIs" dxfId="134" priority="65" operator="equal">
      <formula>0</formula>
    </cfRule>
  </conditionalFormatting>
  <conditionalFormatting sqref="I2 I46:I1048576">
    <cfRule type="cellIs" dxfId="133" priority="64" operator="equal">
      <formula>0</formula>
    </cfRule>
  </conditionalFormatting>
  <conditionalFormatting sqref="H44">
    <cfRule type="cellIs" dxfId="132" priority="58" operator="equal">
      <formula>0</formula>
    </cfRule>
  </conditionalFormatting>
  <conditionalFormatting sqref="H3">
    <cfRule type="cellIs" dxfId="131" priority="57" operator="equal">
      <formula>0</formula>
    </cfRule>
  </conditionalFormatting>
  <conditionalFormatting sqref="H2 H46:H1048576">
    <cfRule type="cellIs" dxfId="130" priority="56" operator="equal">
      <formula>0</formula>
    </cfRule>
  </conditionalFormatting>
  <conditionalFormatting sqref="J11:J43">
    <cfRule type="cellIs" dxfId="129" priority="52" operator="equal">
      <formula>0</formula>
    </cfRule>
  </conditionalFormatting>
  <conditionalFormatting sqref="J4">
    <cfRule type="cellIs" dxfId="128" priority="51" operator="equal">
      <formula>0</formula>
    </cfRule>
  </conditionalFormatting>
  <conditionalFormatting sqref="J5:J7">
    <cfRule type="cellIs" dxfId="127" priority="50" operator="equal">
      <formula>0</formula>
    </cfRule>
  </conditionalFormatting>
  <conditionalFormatting sqref="J8:J10">
    <cfRule type="cellIs" dxfId="126" priority="49" operator="equal">
      <formula>0</formula>
    </cfRule>
  </conditionalFormatting>
  <conditionalFormatting sqref="J44">
    <cfRule type="cellIs" dxfId="125" priority="48" operator="equal">
      <formula>0</formula>
    </cfRule>
  </conditionalFormatting>
  <conditionalFormatting sqref="J3">
    <cfRule type="cellIs" dxfId="124" priority="47" operator="equal">
      <formula>0</formula>
    </cfRule>
  </conditionalFormatting>
  <conditionalFormatting sqref="J2 J46:J1048576">
    <cfRule type="cellIs" dxfId="123" priority="46" operator="equal">
      <formula>0</formula>
    </cfRule>
  </conditionalFormatting>
  <conditionalFormatting sqref="K11:K43">
    <cfRule type="cellIs" dxfId="122" priority="45" operator="equal">
      <formula>0</formula>
    </cfRule>
  </conditionalFormatting>
  <conditionalFormatting sqref="K4">
    <cfRule type="cellIs" dxfId="121" priority="44" operator="equal">
      <formula>0</formula>
    </cfRule>
  </conditionalFormatting>
  <conditionalFormatting sqref="K5:K7">
    <cfRule type="cellIs" dxfId="120" priority="43" operator="equal">
      <formula>0</formula>
    </cfRule>
  </conditionalFormatting>
  <conditionalFormatting sqref="K8:K10">
    <cfRule type="cellIs" dxfId="119" priority="42" operator="equal">
      <formula>0</formula>
    </cfRule>
  </conditionalFormatting>
  <conditionalFormatting sqref="K44">
    <cfRule type="cellIs" dxfId="118" priority="41" operator="equal">
      <formula>0</formula>
    </cfRule>
  </conditionalFormatting>
  <conditionalFormatting sqref="K3">
    <cfRule type="cellIs" dxfId="117" priority="40" operator="equal">
      <formula>0</formula>
    </cfRule>
  </conditionalFormatting>
  <conditionalFormatting sqref="K2 K46:K1048576">
    <cfRule type="cellIs" dxfId="116" priority="39" operator="equal">
      <formula>0</formula>
    </cfRule>
  </conditionalFormatting>
  <conditionalFormatting sqref="L11:L43">
    <cfRule type="cellIs" dxfId="115" priority="35" operator="equal">
      <formula>0</formula>
    </cfRule>
  </conditionalFormatting>
  <conditionalFormatting sqref="L4">
    <cfRule type="cellIs" dxfId="114" priority="34" operator="equal">
      <formula>0</formula>
    </cfRule>
  </conditionalFormatting>
  <conditionalFormatting sqref="L5:L7">
    <cfRule type="cellIs" dxfId="113" priority="33" operator="equal">
      <formula>0</formula>
    </cfRule>
  </conditionalFormatting>
  <conditionalFormatting sqref="L8:L10">
    <cfRule type="cellIs" dxfId="112" priority="32" operator="equal">
      <formula>0</formula>
    </cfRule>
  </conditionalFormatting>
  <conditionalFormatting sqref="L44">
    <cfRule type="cellIs" dxfId="111" priority="31" operator="equal">
      <formula>0</formula>
    </cfRule>
  </conditionalFormatting>
  <conditionalFormatting sqref="L3">
    <cfRule type="cellIs" dxfId="110" priority="30" operator="equal">
      <formula>0</formula>
    </cfRule>
  </conditionalFormatting>
  <conditionalFormatting sqref="L2 L46:L1048576">
    <cfRule type="cellIs" dxfId="109" priority="29" operator="equal">
      <formula>0</formula>
    </cfRule>
  </conditionalFormatting>
  <conditionalFormatting sqref="M11:M43">
    <cfRule type="cellIs" dxfId="108" priority="21" operator="equal">
      <formula>0</formula>
    </cfRule>
  </conditionalFormatting>
  <conditionalFormatting sqref="M4">
    <cfRule type="cellIs" dxfId="107" priority="20" operator="equal">
      <formula>0</formula>
    </cfRule>
  </conditionalFormatting>
  <conditionalFormatting sqref="M5:M7">
    <cfRule type="cellIs" dxfId="106" priority="19" operator="equal">
      <formula>0</formula>
    </cfRule>
  </conditionalFormatting>
  <conditionalFormatting sqref="M8:M10">
    <cfRule type="cellIs" dxfId="105" priority="18" operator="equal">
      <formula>0</formula>
    </cfRule>
  </conditionalFormatting>
  <conditionalFormatting sqref="M44">
    <cfRule type="cellIs" dxfId="104" priority="17" operator="equal">
      <formula>0</formula>
    </cfRule>
  </conditionalFormatting>
  <conditionalFormatting sqref="M3">
    <cfRule type="cellIs" dxfId="103" priority="16" operator="equal">
      <formula>0</formula>
    </cfRule>
  </conditionalFormatting>
  <conditionalFormatting sqref="M2 M46:M1048576">
    <cfRule type="cellIs" dxfId="102" priority="15"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3">
    <tabColor rgb="FFA50021"/>
    <pageSetUpPr fitToPage="1"/>
  </sheetPr>
  <dimension ref="A1:GN33"/>
  <sheetViews>
    <sheetView showGridLines="0" workbookViewId="0">
      <selection sqref="A1:M2"/>
    </sheetView>
  </sheetViews>
  <sheetFormatPr defaultColWidth="9.140625" defaultRowHeight="11.25"/>
  <cols>
    <col min="1" max="1" width="24.5703125" style="132" customWidth="1"/>
    <col min="2" max="2" width="2.140625" style="141" customWidth="1"/>
    <col min="3" max="13" width="6.42578125" style="132" customWidth="1"/>
    <col min="14" max="196" width="9.140625" style="132"/>
    <col min="197" max="16384" width="9.140625" style="29"/>
  </cols>
  <sheetData>
    <row r="1" spans="1:15" s="120" customFormat="1" ht="28.5" customHeight="1">
      <c r="A1" s="811" t="s">
        <v>744</v>
      </c>
      <c r="B1" s="811"/>
      <c r="C1" s="811"/>
      <c r="D1" s="811"/>
      <c r="E1" s="811"/>
      <c r="F1" s="811"/>
      <c r="G1" s="811"/>
      <c r="H1" s="811"/>
      <c r="I1" s="811"/>
      <c r="J1" s="811"/>
      <c r="K1" s="811"/>
      <c r="L1" s="811"/>
      <c r="M1" s="811"/>
    </row>
    <row r="2" spans="1:15" s="121" customFormat="1" ht="14.25" customHeight="1">
      <c r="A2" s="67"/>
      <c r="B2" s="42"/>
      <c r="C2" s="67"/>
      <c r="D2" s="67"/>
      <c r="E2" s="67"/>
      <c r="F2" s="67"/>
      <c r="G2" s="67"/>
      <c r="H2" s="67"/>
      <c r="I2" s="67"/>
      <c r="J2" s="67"/>
      <c r="K2" s="67"/>
      <c r="L2" s="67"/>
      <c r="M2" s="67"/>
    </row>
    <row r="3" spans="1:15" s="121" customFormat="1" ht="14.25" customHeight="1">
      <c r="A3" s="67" t="s">
        <v>14</v>
      </c>
      <c r="B3" s="42"/>
      <c r="C3" s="145"/>
      <c r="E3" s="193"/>
      <c r="F3" s="227"/>
      <c r="G3" s="224"/>
      <c r="H3" s="320"/>
      <c r="I3" s="272"/>
      <c r="J3" s="327"/>
      <c r="K3" s="427"/>
      <c r="L3" s="427"/>
      <c r="M3" s="427" t="s">
        <v>68</v>
      </c>
    </row>
    <row r="4" spans="1:15" s="121" customFormat="1" ht="28.5" customHeight="1" thickBot="1">
      <c r="A4" s="43"/>
      <c r="B4" s="82"/>
      <c r="C4" s="43">
        <v>2013</v>
      </c>
      <c r="D4" s="43">
        <v>2014</v>
      </c>
      <c r="E4" s="43">
        <v>2015</v>
      </c>
      <c r="F4" s="43">
        <v>2016</v>
      </c>
      <c r="G4" s="43">
        <v>2017</v>
      </c>
      <c r="H4" s="43">
        <v>2018</v>
      </c>
      <c r="I4" s="43">
        <v>2019</v>
      </c>
      <c r="J4" s="43">
        <v>2020</v>
      </c>
      <c r="K4" s="43">
        <v>2021</v>
      </c>
      <c r="L4" s="43">
        <v>2022</v>
      </c>
      <c r="M4" s="43">
        <v>2023</v>
      </c>
    </row>
    <row r="5" spans="1:15" s="121" customFormat="1" ht="20.25" customHeight="1" thickTop="1">
      <c r="A5" s="65" t="s">
        <v>12</v>
      </c>
      <c r="B5" s="65" t="s">
        <v>45</v>
      </c>
      <c r="C5" s="406">
        <v>1093.82</v>
      </c>
      <c r="D5" s="406">
        <v>1093.21</v>
      </c>
      <c r="E5" s="406">
        <v>1096.6600000000001</v>
      </c>
      <c r="F5" s="406">
        <v>1107.8599999999999</v>
      </c>
      <c r="G5" s="406">
        <v>1133.3399999999999</v>
      </c>
      <c r="H5" s="406">
        <v>1170.25</v>
      </c>
      <c r="I5" s="406">
        <v>1209.94</v>
      </c>
      <c r="J5" s="406">
        <v>1250.75</v>
      </c>
      <c r="K5" s="406">
        <v>1294.1099999999999</v>
      </c>
      <c r="L5" s="406">
        <v>1368</v>
      </c>
      <c r="M5" s="406">
        <v>1466.66</v>
      </c>
    </row>
    <row r="6" spans="1:15" s="121" customFormat="1" ht="15" customHeight="1">
      <c r="A6" s="67"/>
      <c r="B6" s="65" t="s">
        <v>53</v>
      </c>
      <c r="C6" s="406">
        <v>1209.21</v>
      </c>
      <c r="D6" s="406">
        <v>1203.32</v>
      </c>
      <c r="E6" s="406">
        <v>1207.76</v>
      </c>
      <c r="F6" s="406">
        <v>1215.1099999999999</v>
      </c>
      <c r="G6" s="406">
        <v>1236.8499999999999</v>
      </c>
      <c r="H6" s="406">
        <v>1273.99</v>
      </c>
      <c r="I6" s="406">
        <v>1312.43</v>
      </c>
      <c r="J6" s="406">
        <v>1349.35</v>
      </c>
      <c r="K6" s="406">
        <v>1395.7</v>
      </c>
      <c r="L6" s="406">
        <v>1476.2</v>
      </c>
      <c r="M6" s="406">
        <v>1577.33</v>
      </c>
      <c r="O6" s="650">
        <f>+J7/J6*100</f>
        <v>83.808500389076229</v>
      </c>
    </row>
    <row r="7" spans="1:15" s="121" customFormat="1" ht="15" customHeight="1">
      <c r="A7" s="67"/>
      <c r="B7" s="65" t="s">
        <v>54</v>
      </c>
      <c r="C7" s="406">
        <v>958.12</v>
      </c>
      <c r="D7" s="406">
        <v>963.12</v>
      </c>
      <c r="E7" s="406">
        <v>966.85</v>
      </c>
      <c r="F7" s="406">
        <v>982.49</v>
      </c>
      <c r="G7" s="406">
        <v>1011.02</v>
      </c>
      <c r="H7" s="406">
        <v>1046.5899999999999</v>
      </c>
      <c r="I7" s="406">
        <v>1086.97</v>
      </c>
      <c r="J7" s="406">
        <v>1130.8699999999999</v>
      </c>
      <c r="K7" s="406">
        <v>1172.08</v>
      </c>
      <c r="L7" s="406">
        <v>1237.52</v>
      </c>
      <c r="M7" s="406">
        <v>1332.02</v>
      </c>
      <c r="O7" s="650">
        <f t="shared" ref="O7:O30" si="0">+J8/J7*100</f>
        <v>218.02240752694831</v>
      </c>
    </row>
    <row r="8" spans="1:15" s="121" customFormat="1" ht="20.25" customHeight="1">
      <c r="A8" s="67" t="s">
        <v>48</v>
      </c>
      <c r="B8" s="65" t="s">
        <v>45</v>
      </c>
      <c r="C8" s="407">
        <v>2384.2800000000002</v>
      </c>
      <c r="D8" s="407">
        <v>2371.0300000000002</v>
      </c>
      <c r="E8" s="407">
        <v>2370.5300000000002</v>
      </c>
      <c r="F8" s="407">
        <v>2366.86</v>
      </c>
      <c r="G8" s="407">
        <v>2390.46</v>
      </c>
      <c r="H8" s="407">
        <v>2429.65</v>
      </c>
      <c r="I8" s="407">
        <v>2452.2399999999998</v>
      </c>
      <c r="J8" s="407">
        <v>2465.5500000000002</v>
      </c>
      <c r="K8" s="407">
        <v>2494.79</v>
      </c>
      <c r="L8" s="407">
        <v>2625.92</v>
      </c>
      <c r="M8" s="407">
        <v>2770.63</v>
      </c>
      <c r="O8" s="650">
        <f t="shared" si="0"/>
        <v>113.20881750522193</v>
      </c>
    </row>
    <row r="9" spans="1:15" s="61" customFormat="1" ht="15" customHeight="1">
      <c r="A9" s="62"/>
      <c r="B9" s="42" t="s">
        <v>53</v>
      </c>
      <c r="C9" s="408">
        <v>2716.13</v>
      </c>
      <c r="D9" s="408">
        <v>2704.73</v>
      </c>
      <c r="E9" s="408">
        <v>2709.33</v>
      </c>
      <c r="F9" s="408">
        <v>2707.71</v>
      </c>
      <c r="G9" s="408">
        <v>2735.76</v>
      </c>
      <c r="H9" s="408">
        <v>2778.56</v>
      </c>
      <c r="I9" s="408">
        <v>2793.19</v>
      </c>
      <c r="J9" s="408">
        <v>2791.22</v>
      </c>
      <c r="K9" s="408">
        <v>2823.58</v>
      </c>
      <c r="L9" s="408">
        <v>2978.02</v>
      </c>
      <c r="M9" s="408">
        <v>3162.63</v>
      </c>
      <c r="N9" s="121"/>
      <c r="O9" s="650">
        <f>+J10/J9*100</f>
        <v>74.840750639505302</v>
      </c>
    </row>
    <row r="10" spans="1:15" s="61" customFormat="1" ht="15" customHeight="1">
      <c r="A10" s="62"/>
      <c r="B10" s="42" t="s">
        <v>54</v>
      </c>
      <c r="C10" s="408">
        <v>1959.34</v>
      </c>
      <c r="D10" s="408">
        <v>1951.13</v>
      </c>
      <c r="E10" s="408">
        <v>1954.51</v>
      </c>
      <c r="F10" s="408">
        <v>1958.78</v>
      </c>
      <c r="G10" s="408">
        <v>1980.48</v>
      </c>
      <c r="H10" s="408">
        <v>2020.57</v>
      </c>
      <c r="I10" s="408">
        <v>2054.39</v>
      </c>
      <c r="J10" s="408">
        <v>2088.9699999999998</v>
      </c>
      <c r="K10" s="408">
        <v>2122.5500000000002</v>
      </c>
      <c r="L10" s="408">
        <v>2217.06</v>
      </c>
      <c r="M10" s="408">
        <v>2323.69</v>
      </c>
      <c r="O10" s="650">
        <f t="shared" si="0"/>
        <v>85.392801236973241</v>
      </c>
    </row>
    <row r="11" spans="1:15" s="121" customFormat="1" ht="20.25" customHeight="1">
      <c r="A11" s="67" t="s">
        <v>49</v>
      </c>
      <c r="B11" s="65" t="s">
        <v>45</v>
      </c>
      <c r="C11" s="407">
        <v>1709.25</v>
      </c>
      <c r="D11" s="407">
        <v>1696.68</v>
      </c>
      <c r="E11" s="407">
        <v>1702.15</v>
      </c>
      <c r="F11" s="407">
        <v>1703.6</v>
      </c>
      <c r="G11" s="407">
        <v>1719.08</v>
      </c>
      <c r="H11" s="407">
        <v>1753.47</v>
      </c>
      <c r="I11" s="407">
        <v>1773.89</v>
      </c>
      <c r="J11" s="407">
        <v>1783.83</v>
      </c>
      <c r="K11" s="407">
        <v>1807.26</v>
      </c>
      <c r="L11" s="407">
        <v>1923.5</v>
      </c>
      <c r="M11" s="407">
        <v>2069.0700000000002</v>
      </c>
      <c r="O11" s="650">
        <f t="shared" si="0"/>
        <v>108.04280676970339</v>
      </c>
    </row>
    <row r="12" spans="1:15" s="61" customFormat="1" ht="15" customHeight="1">
      <c r="A12" s="62"/>
      <c r="B12" s="42" t="s">
        <v>53</v>
      </c>
      <c r="C12" s="408">
        <v>1869.99</v>
      </c>
      <c r="D12" s="408">
        <v>1850.06</v>
      </c>
      <c r="E12" s="408">
        <v>1856.52</v>
      </c>
      <c r="F12" s="408">
        <v>1851.23</v>
      </c>
      <c r="G12" s="408">
        <v>1864.79</v>
      </c>
      <c r="H12" s="408">
        <v>1897.44</v>
      </c>
      <c r="I12" s="408">
        <v>1917.32</v>
      </c>
      <c r="J12" s="408">
        <v>1927.3</v>
      </c>
      <c r="K12" s="408">
        <v>1953.25</v>
      </c>
      <c r="L12" s="408">
        <v>2087.2800000000002</v>
      </c>
      <c r="M12" s="408">
        <v>2243.9499999999998</v>
      </c>
      <c r="O12" s="650">
        <f t="shared" si="0"/>
        <v>84.652622840242827</v>
      </c>
    </row>
    <row r="13" spans="1:15" s="61" customFormat="1" ht="15" customHeight="1">
      <c r="A13" s="62"/>
      <c r="B13" s="42" t="s">
        <v>54</v>
      </c>
      <c r="C13" s="408">
        <v>1528.14</v>
      </c>
      <c r="D13" s="408">
        <v>1523.64</v>
      </c>
      <c r="E13" s="408">
        <v>1532.07</v>
      </c>
      <c r="F13" s="408">
        <v>1542.53</v>
      </c>
      <c r="G13" s="408">
        <v>1559.89</v>
      </c>
      <c r="H13" s="408">
        <v>1596.09</v>
      </c>
      <c r="I13" s="408">
        <v>1621.86</v>
      </c>
      <c r="J13" s="408">
        <v>1631.51</v>
      </c>
      <c r="K13" s="408">
        <v>1651.81</v>
      </c>
      <c r="L13" s="408">
        <v>1745.69</v>
      </c>
      <c r="M13" s="408">
        <v>1876.78</v>
      </c>
      <c r="O13" s="650">
        <f t="shared" si="0"/>
        <v>106.13296884481247</v>
      </c>
    </row>
    <row r="14" spans="1:15" s="121" customFormat="1" ht="20.25" customHeight="1">
      <c r="A14" s="67" t="s">
        <v>70</v>
      </c>
      <c r="B14" s="65" t="s">
        <v>45</v>
      </c>
      <c r="C14" s="407">
        <v>1519.54</v>
      </c>
      <c r="D14" s="407">
        <v>1525.33</v>
      </c>
      <c r="E14" s="407">
        <v>1538.3</v>
      </c>
      <c r="F14" s="407">
        <v>1568.2</v>
      </c>
      <c r="G14" s="407">
        <v>1601.93</v>
      </c>
      <c r="H14" s="407">
        <v>1632.29</v>
      </c>
      <c r="I14" s="407">
        <v>1688.2</v>
      </c>
      <c r="J14" s="407">
        <v>1731.57</v>
      </c>
      <c r="K14" s="407">
        <v>1782.73</v>
      </c>
      <c r="L14" s="407">
        <v>1876.91</v>
      </c>
      <c r="M14" s="407">
        <v>1991.34</v>
      </c>
      <c r="O14" s="650">
        <f t="shared" si="0"/>
        <v>103.90685909319288</v>
      </c>
    </row>
    <row r="15" spans="1:15" s="61" customFormat="1" ht="15" customHeight="1">
      <c r="A15" s="62"/>
      <c r="B15" s="42" t="s">
        <v>53</v>
      </c>
      <c r="C15" s="408">
        <v>1575.83</v>
      </c>
      <c r="D15" s="408">
        <v>1582.61</v>
      </c>
      <c r="E15" s="408">
        <v>1597.88</v>
      </c>
      <c r="F15" s="408">
        <v>1631.39</v>
      </c>
      <c r="G15" s="408">
        <v>1660.87</v>
      </c>
      <c r="H15" s="408">
        <v>1699.76</v>
      </c>
      <c r="I15" s="408">
        <v>1753.78</v>
      </c>
      <c r="J15" s="408">
        <v>1799.22</v>
      </c>
      <c r="K15" s="408">
        <v>1852.51</v>
      </c>
      <c r="L15" s="408">
        <v>1948.92</v>
      </c>
      <c r="M15" s="408">
        <v>2066.9499999999998</v>
      </c>
      <c r="O15" s="650">
        <f t="shared" si="0"/>
        <v>89.860050466313183</v>
      </c>
    </row>
    <row r="16" spans="1:15" s="61" customFormat="1" ht="15" customHeight="1">
      <c r="A16" s="62"/>
      <c r="B16" s="42" t="s">
        <v>54</v>
      </c>
      <c r="C16" s="408">
        <v>1417.42</v>
      </c>
      <c r="D16" s="408">
        <v>1422.69</v>
      </c>
      <c r="E16" s="408">
        <v>1433.86</v>
      </c>
      <c r="F16" s="408">
        <v>1461.62</v>
      </c>
      <c r="G16" s="408">
        <v>1504.83</v>
      </c>
      <c r="H16" s="408">
        <v>1522.83</v>
      </c>
      <c r="I16" s="408">
        <v>1577.75</v>
      </c>
      <c r="J16" s="408">
        <v>1616.78</v>
      </c>
      <c r="K16" s="408">
        <v>1667.24</v>
      </c>
      <c r="L16" s="408">
        <v>1762.74</v>
      </c>
      <c r="M16" s="408">
        <v>1874.53</v>
      </c>
      <c r="O16" s="650">
        <f t="shared" si="0"/>
        <v>89.719689753707982</v>
      </c>
    </row>
    <row r="17" spans="1:15" s="121" customFormat="1" ht="20.25" customHeight="1">
      <c r="A17" s="67" t="s">
        <v>69</v>
      </c>
      <c r="B17" s="65" t="s">
        <v>45</v>
      </c>
      <c r="C17" s="407">
        <v>1420.07</v>
      </c>
      <c r="D17" s="407">
        <v>1406.4</v>
      </c>
      <c r="E17" s="407">
        <v>1414.92</v>
      </c>
      <c r="F17" s="407">
        <v>1407</v>
      </c>
      <c r="G17" s="407">
        <v>1418.91</v>
      </c>
      <c r="H17" s="407">
        <v>1443.4</v>
      </c>
      <c r="I17" s="407">
        <v>1434.98</v>
      </c>
      <c r="J17" s="407">
        <v>1450.57</v>
      </c>
      <c r="K17" s="407">
        <v>1464.69</v>
      </c>
      <c r="L17" s="407">
        <v>1529.19</v>
      </c>
      <c r="M17" s="407">
        <v>1649.77</v>
      </c>
      <c r="O17" s="650">
        <f t="shared" si="0"/>
        <v>111.01360154973563</v>
      </c>
    </row>
    <row r="18" spans="1:15" s="61" customFormat="1" ht="15" customHeight="1">
      <c r="A18" s="62"/>
      <c r="B18" s="42" t="s">
        <v>53</v>
      </c>
      <c r="C18" s="408">
        <v>1568.9</v>
      </c>
      <c r="D18" s="408">
        <v>1548.14</v>
      </c>
      <c r="E18" s="408">
        <v>1572.9</v>
      </c>
      <c r="F18" s="408">
        <v>1572.6</v>
      </c>
      <c r="G18" s="408">
        <v>1584.64</v>
      </c>
      <c r="H18" s="408">
        <v>1610.47</v>
      </c>
      <c r="I18" s="408">
        <v>1589.57</v>
      </c>
      <c r="J18" s="408">
        <v>1610.33</v>
      </c>
      <c r="K18" s="408">
        <v>1629.33</v>
      </c>
      <c r="L18" s="408">
        <v>1696.32</v>
      </c>
      <c r="M18" s="408">
        <v>1817.72</v>
      </c>
      <c r="O18" s="650">
        <f t="shared" si="0"/>
        <v>79.783025839424212</v>
      </c>
    </row>
    <row r="19" spans="1:15" s="61" customFormat="1" ht="15" customHeight="1">
      <c r="A19" s="62"/>
      <c r="B19" s="42" t="s">
        <v>54</v>
      </c>
      <c r="C19" s="408">
        <v>1261.42</v>
      </c>
      <c r="D19" s="408">
        <v>1257.99</v>
      </c>
      <c r="E19" s="408">
        <v>1254.3499999999999</v>
      </c>
      <c r="F19" s="408">
        <v>1239</v>
      </c>
      <c r="G19" s="408">
        <v>1248.8800000000001</v>
      </c>
      <c r="H19" s="408">
        <v>1273.29</v>
      </c>
      <c r="I19" s="408">
        <v>1273.3800000000001</v>
      </c>
      <c r="J19" s="408">
        <v>1284.77</v>
      </c>
      <c r="K19" s="408">
        <v>1299.05</v>
      </c>
      <c r="L19" s="408">
        <v>1355.27</v>
      </c>
      <c r="M19" s="408">
        <v>1471.6</v>
      </c>
      <c r="O19" s="650">
        <f t="shared" si="0"/>
        <v>79.488157413389175</v>
      </c>
    </row>
    <row r="20" spans="1:15" s="121" customFormat="1" ht="20.25" customHeight="1">
      <c r="A20" s="67" t="s">
        <v>50</v>
      </c>
      <c r="B20" s="65" t="s">
        <v>45</v>
      </c>
      <c r="C20" s="407">
        <v>883.5</v>
      </c>
      <c r="D20" s="407">
        <v>887.88</v>
      </c>
      <c r="E20" s="407">
        <v>893.94</v>
      </c>
      <c r="F20" s="407">
        <v>901.37</v>
      </c>
      <c r="G20" s="407">
        <v>908.5</v>
      </c>
      <c r="H20" s="407">
        <v>938.77</v>
      </c>
      <c r="I20" s="407">
        <v>990.76</v>
      </c>
      <c r="J20" s="407">
        <v>1021.24</v>
      </c>
      <c r="K20" s="407">
        <v>1052.31</v>
      </c>
      <c r="L20" s="407">
        <v>1110.75</v>
      </c>
      <c r="M20" s="407">
        <v>1193.5999999999999</v>
      </c>
      <c r="O20" s="650">
        <f t="shared" si="0"/>
        <v>105.45611217735302</v>
      </c>
    </row>
    <row r="21" spans="1:15" s="61" customFormat="1" ht="15" customHeight="1">
      <c r="A21" s="62"/>
      <c r="B21" s="42" t="s">
        <v>53</v>
      </c>
      <c r="C21" s="408">
        <v>938.24</v>
      </c>
      <c r="D21" s="408">
        <v>942.04</v>
      </c>
      <c r="E21" s="408">
        <v>952.22</v>
      </c>
      <c r="F21" s="408">
        <v>959.35</v>
      </c>
      <c r="G21" s="408">
        <v>967.68</v>
      </c>
      <c r="H21" s="408">
        <v>999.9</v>
      </c>
      <c r="I21" s="408">
        <v>1049.6400000000001</v>
      </c>
      <c r="J21" s="408">
        <v>1076.96</v>
      </c>
      <c r="K21" s="408">
        <v>1111.47</v>
      </c>
      <c r="L21" s="408">
        <v>1170.18</v>
      </c>
      <c r="M21" s="408">
        <v>1254.57</v>
      </c>
      <c r="O21" s="650">
        <f t="shared" si="0"/>
        <v>87.128584162828702</v>
      </c>
    </row>
    <row r="22" spans="1:15" s="61" customFormat="1" ht="15" customHeight="1">
      <c r="A22" s="62"/>
      <c r="B22" s="42" t="s">
        <v>54</v>
      </c>
      <c r="C22" s="408">
        <v>804.16</v>
      </c>
      <c r="D22" s="408">
        <v>809.38</v>
      </c>
      <c r="E22" s="408">
        <v>808.86</v>
      </c>
      <c r="F22" s="408">
        <v>817.35</v>
      </c>
      <c r="G22" s="408">
        <v>826.04</v>
      </c>
      <c r="H22" s="408">
        <v>852.62</v>
      </c>
      <c r="I22" s="408">
        <v>904.67</v>
      </c>
      <c r="J22" s="408">
        <v>938.34</v>
      </c>
      <c r="K22" s="408">
        <v>966.28</v>
      </c>
      <c r="L22" s="408">
        <v>1025</v>
      </c>
      <c r="M22" s="408">
        <v>1105.1600000000001</v>
      </c>
      <c r="O22" s="650">
        <f t="shared" si="0"/>
        <v>93.202890210371507</v>
      </c>
    </row>
    <row r="23" spans="1:15" s="121" customFormat="1" ht="20.25" customHeight="1">
      <c r="A23" s="67" t="s">
        <v>71</v>
      </c>
      <c r="B23" s="65" t="s">
        <v>45</v>
      </c>
      <c r="C23" s="407">
        <v>711.17</v>
      </c>
      <c r="D23" s="407">
        <v>723.66</v>
      </c>
      <c r="E23" s="407">
        <v>717.68</v>
      </c>
      <c r="F23" s="407">
        <v>733.32</v>
      </c>
      <c r="G23" s="407">
        <v>776.23</v>
      </c>
      <c r="H23" s="407">
        <v>807.78</v>
      </c>
      <c r="I23" s="407">
        <v>843.85</v>
      </c>
      <c r="J23" s="407">
        <v>874.56</v>
      </c>
      <c r="K23" s="407">
        <v>914.67</v>
      </c>
      <c r="L23" s="407">
        <v>965.04</v>
      </c>
      <c r="M23" s="407">
        <v>1028.9100000000001</v>
      </c>
      <c r="O23" s="650">
        <f t="shared" si="0"/>
        <v>107.94113611416027</v>
      </c>
    </row>
    <row r="24" spans="1:15" s="61" customFormat="1" ht="15" customHeight="1">
      <c r="A24" s="62"/>
      <c r="B24" s="42" t="s">
        <v>53</v>
      </c>
      <c r="C24" s="408">
        <v>784.03</v>
      </c>
      <c r="D24" s="408">
        <v>796.15</v>
      </c>
      <c r="E24" s="408">
        <v>780.11</v>
      </c>
      <c r="F24" s="408">
        <v>793.47</v>
      </c>
      <c r="G24" s="408">
        <v>841.11</v>
      </c>
      <c r="H24" s="408">
        <v>876.25</v>
      </c>
      <c r="I24" s="408">
        <v>915.74</v>
      </c>
      <c r="J24" s="408">
        <v>944.01</v>
      </c>
      <c r="K24" s="408">
        <v>987.75</v>
      </c>
      <c r="L24" s="408">
        <v>1039.5</v>
      </c>
      <c r="M24" s="408">
        <v>1097.93</v>
      </c>
      <c r="O24" s="650">
        <f t="shared" si="0"/>
        <v>86.355017425662879</v>
      </c>
    </row>
    <row r="25" spans="1:15" s="61" customFormat="1" ht="15" customHeight="1">
      <c r="A25" s="62"/>
      <c r="B25" s="42" t="s">
        <v>54</v>
      </c>
      <c r="C25" s="408">
        <v>654.6</v>
      </c>
      <c r="D25" s="408">
        <v>665.11</v>
      </c>
      <c r="E25" s="408">
        <v>668.41</v>
      </c>
      <c r="F25" s="408">
        <v>684.5</v>
      </c>
      <c r="G25" s="408">
        <v>720.6</v>
      </c>
      <c r="H25" s="408">
        <v>748.16</v>
      </c>
      <c r="I25" s="408">
        <v>783.48</v>
      </c>
      <c r="J25" s="408">
        <v>815.2</v>
      </c>
      <c r="K25" s="408">
        <v>852.28</v>
      </c>
      <c r="L25" s="408">
        <v>901.44</v>
      </c>
      <c r="M25" s="408">
        <v>969.55</v>
      </c>
      <c r="O25" s="650">
        <f t="shared" si="0"/>
        <v>98.553729146221784</v>
      </c>
    </row>
    <row r="26" spans="1:15" s="121" customFormat="1" ht="20.25" customHeight="1">
      <c r="A26" s="67" t="s">
        <v>51</v>
      </c>
      <c r="B26" s="65" t="s">
        <v>45</v>
      </c>
      <c r="C26" s="407">
        <v>655.57</v>
      </c>
      <c r="D26" s="407">
        <v>666.22</v>
      </c>
      <c r="E26" s="407">
        <v>671.16</v>
      </c>
      <c r="F26" s="407">
        <v>687</v>
      </c>
      <c r="G26" s="407">
        <v>717.54</v>
      </c>
      <c r="H26" s="407">
        <v>746.09</v>
      </c>
      <c r="I26" s="407">
        <v>769.39</v>
      </c>
      <c r="J26" s="407">
        <v>803.41</v>
      </c>
      <c r="K26" s="407">
        <v>837.74</v>
      </c>
      <c r="L26" s="407">
        <v>880.87</v>
      </c>
      <c r="M26" s="407">
        <v>950.15</v>
      </c>
      <c r="O26" s="650">
        <f t="shared" si="0"/>
        <v>104.75597764528698</v>
      </c>
    </row>
    <row r="27" spans="1:15" s="61" customFormat="1" ht="15" customHeight="1">
      <c r="A27" s="62"/>
      <c r="B27" s="42" t="s">
        <v>53</v>
      </c>
      <c r="C27" s="408">
        <v>710.28</v>
      </c>
      <c r="D27" s="408">
        <v>718.39</v>
      </c>
      <c r="E27" s="408">
        <v>725.24</v>
      </c>
      <c r="F27" s="408">
        <v>734.37</v>
      </c>
      <c r="G27" s="408">
        <v>760.16</v>
      </c>
      <c r="H27" s="408">
        <v>788.9</v>
      </c>
      <c r="I27" s="408">
        <v>809.64</v>
      </c>
      <c r="J27" s="408">
        <v>841.62</v>
      </c>
      <c r="K27" s="408">
        <v>875.97</v>
      </c>
      <c r="L27" s="408">
        <v>916.09</v>
      </c>
      <c r="M27" s="408">
        <v>985.99</v>
      </c>
      <c r="O27" s="650">
        <f t="shared" si="0"/>
        <v>90.047765024595421</v>
      </c>
    </row>
    <row r="28" spans="1:15" s="61" customFormat="1" ht="15" customHeight="1">
      <c r="A28" s="62"/>
      <c r="B28" s="42" t="s">
        <v>54</v>
      </c>
      <c r="C28" s="408">
        <v>600.23</v>
      </c>
      <c r="D28" s="408">
        <v>613.38</v>
      </c>
      <c r="E28" s="408">
        <v>617.4</v>
      </c>
      <c r="F28" s="408">
        <v>638.89</v>
      </c>
      <c r="G28" s="408">
        <v>670.42</v>
      </c>
      <c r="H28" s="408">
        <v>697.79</v>
      </c>
      <c r="I28" s="408">
        <v>722.65</v>
      </c>
      <c r="J28" s="408">
        <v>757.86</v>
      </c>
      <c r="K28" s="408">
        <v>791.4</v>
      </c>
      <c r="L28" s="408">
        <v>837.38</v>
      </c>
      <c r="M28" s="408">
        <v>902.36</v>
      </c>
      <c r="O28" s="650">
        <f t="shared" si="0"/>
        <v>107.71910379225716</v>
      </c>
    </row>
    <row r="29" spans="1:15" s="121" customFormat="1" ht="20.25" customHeight="1">
      <c r="A29" s="67" t="s">
        <v>52</v>
      </c>
      <c r="B29" s="65" t="s">
        <v>45</v>
      </c>
      <c r="C29" s="407">
        <v>658</v>
      </c>
      <c r="D29" s="407">
        <v>666.45</v>
      </c>
      <c r="E29" s="407">
        <v>666.8</v>
      </c>
      <c r="F29" s="407">
        <v>682.36</v>
      </c>
      <c r="G29" s="407">
        <v>717.97</v>
      </c>
      <c r="H29" s="407">
        <v>752.95</v>
      </c>
      <c r="I29" s="407">
        <v>785.14</v>
      </c>
      <c r="J29" s="407">
        <v>816.36</v>
      </c>
      <c r="K29" s="407">
        <v>853.02</v>
      </c>
      <c r="L29" s="407">
        <v>902.18</v>
      </c>
      <c r="M29" s="407">
        <v>979</v>
      </c>
      <c r="O29" s="650">
        <f t="shared" si="0"/>
        <v>102.5956685775883</v>
      </c>
    </row>
    <row r="30" spans="1:15" s="61" customFormat="1" ht="15" customHeight="1">
      <c r="A30" s="62"/>
      <c r="B30" s="42" t="s">
        <v>53</v>
      </c>
      <c r="C30" s="408">
        <v>688.15</v>
      </c>
      <c r="D30" s="408">
        <v>692.79</v>
      </c>
      <c r="E30" s="408">
        <v>693.71</v>
      </c>
      <c r="F30" s="408">
        <v>705.06</v>
      </c>
      <c r="G30" s="408">
        <v>741.7</v>
      </c>
      <c r="H30" s="408">
        <v>776.13</v>
      </c>
      <c r="I30" s="408">
        <v>806.73</v>
      </c>
      <c r="J30" s="408">
        <v>837.55</v>
      </c>
      <c r="K30" s="408">
        <v>872.98</v>
      </c>
      <c r="L30" s="408">
        <v>921.18</v>
      </c>
      <c r="M30" s="408">
        <v>997.54</v>
      </c>
      <c r="O30" s="650">
        <f t="shared" si="0"/>
        <v>93.90125962629098</v>
      </c>
    </row>
    <row r="31" spans="1:15" s="61" customFormat="1" ht="15" customHeight="1">
      <c r="A31" s="84"/>
      <c r="B31" s="85" t="s">
        <v>54</v>
      </c>
      <c r="C31" s="409">
        <v>627.20000000000005</v>
      </c>
      <c r="D31" s="409">
        <v>639.35</v>
      </c>
      <c r="E31" s="409">
        <v>638.33000000000004</v>
      </c>
      <c r="F31" s="409">
        <v>657.48</v>
      </c>
      <c r="G31" s="409">
        <v>691.32</v>
      </c>
      <c r="H31" s="409">
        <v>726.2</v>
      </c>
      <c r="I31" s="409">
        <v>758.26</v>
      </c>
      <c r="J31" s="409">
        <v>786.47</v>
      </c>
      <c r="K31" s="409">
        <v>825</v>
      </c>
      <c r="L31" s="409">
        <v>875.73</v>
      </c>
      <c r="M31" s="409">
        <v>951.06</v>
      </c>
    </row>
    <row r="32" spans="1:15" s="121" customFormat="1" ht="14.25" customHeight="1">
      <c r="A32" s="21" t="s">
        <v>139</v>
      </c>
      <c r="B32" s="42"/>
      <c r="C32" s="67"/>
      <c r="D32" s="67"/>
      <c r="E32" s="67"/>
      <c r="F32" s="67"/>
      <c r="G32" s="83"/>
      <c r="H32" s="83"/>
      <c r="I32" s="83"/>
      <c r="J32" s="83"/>
      <c r="K32" s="83"/>
      <c r="L32" s="83"/>
      <c r="M32" s="83"/>
    </row>
    <row r="33" spans="1:13" s="121" customFormat="1" ht="14.25" customHeight="1">
      <c r="A33" s="812" t="s">
        <v>7</v>
      </c>
      <c r="B33" s="812"/>
      <c r="C33" s="812"/>
      <c r="D33" s="812"/>
      <c r="E33" s="812"/>
      <c r="F33" s="812"/>
      <c r="G33" s="812"/>
      <c r="H33" s="812"/>
      <c r="I33" s="812"/>
      <c r="J33" s="812"/>
      <c r="K33" s="812"/>
      <c r="L33" s="812"/>
      <c r="M33" s="812"/>
    </row>
  </sheetData>
  <mergeCells count="2">
    <mergeCell ref="A1:M1"/>
    <mergeCell ref="A33:M33"/>
  </mergeCells>
  <phoneticPr fontId="25" type="noConversion"/>
  <conditionalFormatting sqref="E3 A1 G32 A33 A2:E2 A3:C3 A32:E32 A4:E4 A5:I31 A34:E1048576 N1:XFD1048576">
    <cfRule type="cellIs" dxfId="101" priority="67" operator="equal">
      <formula>0</formula>
    </cfRule>
  </conditionalFormatting>
  <conditionalFormatting sqref="G34:G1048576 G2:G4 H4:I4">
    <cfRule type="cellIs" dxfId="100" priority="65" operator="equal">
      <formula>0</formula>
    </cfRule>
  </conditionalFormatting>
  <conditionalFormatting sqref="F32 F2:F4 F34:F1048576">
    <cfRule type="cellIs" dxfId="99" priority="58" operator="equal">
      <formula>0</formula>
    </cfRule>
  </conditionalFormatting>
  <conditionalFormatting sqref="I32">
    <cfRule type="cellIs" dxfId="98" priority="54" operator="equal">
      <formula>0</formula>
    </cfRule>
  </conditionalFormatting>
  <conditionalFormatting sqref="I34:I1048576 I2:I3">
    <cfRule type="cellIs" dxfId="97" priority="53" operator="equal">
      <formula>0</formula>
    </cfRule>
  </conditionalFormatting>
  <conditionalFormatting sqref="H32">
    <cfRule type="cellIs" dxfId="96" priority="49" operator="equal">
      <formula>0</formula>
    </cfRule>
  </conditionalFormatting>
  <conditionalFormatting sqref="H34:H1048576 H2:H3">
    <cfRule type="cellIs" dxfId="95" priority="48" operator="equal">
      <formula>0</formula>
    </cfRule>
  </conditionalFormatting>
  <conditionalFormatting sqref="J8:J30">
    <cfRule type="cellIs" dxfId="94" priority="46" operator="equal">
      <formula>0</formula>
    </cfRule>
  </conditionalFormatting>
  <conditionalFormatting sqref="J4">
    <cfRule type="cellIs" dxfId="93" priority="45" operator="equal">
      <formula>0</formula>
    </cfRule>
  </conditionalFormatting>
  <conditionalFormatting sqref="J5:J7">
    <cfRule type="cellIs" dxfId="92" priority="44" operator="equal">
      <formula>0</formula>
    </cfRule>
  </conditionalFormatting>
  <conditionalFormatting sqref="J32">
    <cfRule type="cellIs" dxfId="91" priority="43" operator="equal">
      <formula>0</formula>
    </cfRule>
  </conditionalFormatting>
  <conditionalFormatting sqref="J34:J1048576 J2:J3">
    <cfRule type="cellIs" dxfId="90" priority="42" operator="equal">
      <formula>0</formula>
    </cfRule>
  </conditionalFormatting>
  <conditionalFormatting sqref="K8:K30">
    <cfRule type="cellIs" dxfId="89" priority="41" operator="equal">
      <formula>0</formula>
    </cfRule>
  </conditionalFormatting>
  <conditionalFormatting sqref="K4">
    <cfRule type="cellIs" dxfId="88" priority="40" operator="equal">
      <formula>0</formula>
    </cfRule>
  </conditionalFormatting>
  <conditionalFormatting sqref="K5:K7">
    <cfRule type="cellIs" dxfId="87" priority="39" operator="equal">
      <formula>0</formula>
    </cfRule>
  </conditionalFormatting>
  <conditionalFormatting sqref="K32">
    <cfRule type="cellIs" dxfId="86" priority="38" operator="equal">
      <formula>0</formula>
    </cfRule>
  </conditionalFormatting>
  <conditionalFormatting sqref="K34:K1048576 K2:K3">
    <cfRule type="cellIs" dxfId="85" priority="37" operator="equal">
      <formula>0</formula>
    </cfRule>
  </conditionalFormatting>
  <conditionalFormatting sqref="L8:L30">
    <cfRule type="cellIs" dxfId="84" priority="24" operator="equal">
      <formula>0</formula>
    </cfRule>
  </conditionalFormatting>
  <conditionalFormatting sqref="L4">
    <cfRule type="cellIs" dxfId="83" priority="23" operator="equal">
      <formula>0</formula>
    </cfRule>
  </conditionalFormatting>
  <conditionalFormatting sqref="L5:L7">
    <cfRule type="cellIs" dxfId="82" priority="22" operator="equal">
      <formula>0</formula>
    </cfRule>
  </conditionalFormatting>
  <conditionalFormatting sqref="L32">
    <cfRule type="cellIs" dxfId="81" priority="21" operator="equal">
      <formula>0</formula>
    </cfRule>
  </conditionalFormatting>
  <conditionalFormatting sqref="L34:L1048576 L2:L3">
    <cfRule type="cellIs" dxfId="80" priority="20" operator="equal">
      <formula>0</formula>
    </cfRule>
  </conditionalFormatting>
  <conditionalFormatting sqref="J31">
    <cfRule type="cellIs" dxfId="79" priority="16" operator="equal">
      <formula>0</formula>
    </cfRule>
  </conditionalFormatting>
  <conditionalFormatting sqref="K31">
    <cfRule type="cellIs" dxfId="78" priority="15" operator="equal">
      <formula>0</formula>
    </cfRule>
  </conditionalFormatting>
  <conditionalFormatting sqref="L31">
    <cfRule type="cellIs" dxfId="77" priority="14" operator="equal">
      <formula>0</formula>
    </cfRule>
  </conditionalFormatting>
  <conditionalFormatting sqref="M8:M30">
    <cfRule type="cellIs" dxfId="76" priority="6" operator="equal">
      <formula>0</formula>
    </cfRule>
  </conditionalFormatting>
  <conditionalFormatting sqref="M4">
    <cfRule type="cellIs" dxfId="75" priority="5" operator="equal">
      <formula>0</formula>
    </cfRule>
  </conditionalFormatting>
  <conditionalFormatting sqref="M5:M7">
    <cfRule type="cellIs" dxfId="74" priority="4" operator="equal">
      <formula>0</formula>
    </cfRule>
  </conditionalFormatting>
  <conditionalFormatting sqref="M32">
    <cfRule type="cellIs" dxfId="73" priority="3" operator="equal">
      <formula>0</formula>
    </cfRule>
  </conditionalFormatting>
  <conditionalFormatting sqref="M34:M1048576 M2:M3">
    <cfRule type="cellIs" dxfId="72" priority="2" operator="equal">
      <formula>0</formula>
    </cfRule>
  </conditionalFormatting>
  <conditionalFormatting sqref="M31">
    <cfRule type="cellIs" dxfId="71"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F3A51-9DA7-42AB-9C13-64688D9D77D7}">
  <sheetPr>
    <tabColor rgb="FFA50021"/>
    <pageSetUpPr fitToPage="1"/>
  </sheetPr>
  <dimension ref="A1:M58"/>
  <sheetViews>
    <sheetView showGridLines="0" workbookViewId="0">
      <selection sqref="A1:M2"/>
    </sheetView>
  </sheetViews>
  <sheetFormatPr defaultColWidth="9.140625" defaultRowHeight="11.25"/>
  <cols>
    <col min="1" max="1" width="3" style="718" customWidth="1"/>
    <col min="2" max="2" width="45.28515625" style="719" customWidth="1"/>
    <col min="3" max="13" width="6.28515625" style="696" customWidth="1"/>
    <col min="14" max="16384" width="9.140625" style="696"/>
  </cols>
  <sheetData>
    <row r="1" spans="1:13" s="693" customFormat="1" ht="26.1" customHeight="1">
      <c r="A1" s="797" t="s">
        <v>746</v>
      </c>
      <c r="B1" s="797"/>
      <c r="C1" s="797"/>
      <c r="D1" s="797"/>
      <c r="E1" s="797"/>
      <c r="F1" s="797"/>
      <c r="G1" s="797"/>
      <c r="H1" s="797"/>
      <c r="I1" s="797"/>
      <c r="J1" s="797"/>
      <c r="K1" s="797"/>
      <c r="L1" s="797"/>
      <c r="M1" s="797"/>
    </row>
    <row r="2" spans="1:13" ht="9.6" customHeight="1">
      <c r="A2" s="694"/>
      <c r="B2" s="695"/>
      <c r="C2" s="695"/>
      <c r="D2" s="695"/>
      <c r="E2" s="695"/>
      <c r="F2" s="695"/>
      <c r="G2" s="695"/>
      <c r="H2" s="695"/>
      <c r="I2" s="695"/>
      <c r="J2" s="695"/>
      <c r="K2" s="695"/>
      <c r="L2" s="695"/>
      <c r="M2" s="695"/>
    </row>
    <row r="3" spans="1:13" s="118" customFormat="1" ht="15" customHeight="1">
      <c r="A3" s="697" t="s">
        <v>42</v>
      </c>
      <c r="B3" s="698"/>
      <c r="C3" s="31"/>
      <c r="D3" s="31"/>
      <c r="E3" s="31"/>
      <c r="F3" s="31"/>
      <c r="G3" s="31"/>
      <c r="H3" s="31"/>
      <c r="I3" s="31"/>
      <c r="J3" s="31"/>
      <c r="K3" s="31"/>
      <c r="L3" s="31"/>
      <c r="M3" s="31" t="s">
        <v>68</v>
      </c>
    </row>
    <row r="4" spans="1:13" s="118" customFormat="1" ht="28.5" customHeight="1" thickBot="1">
      <c r="A4" s="107" t="s">
        <v>653</v>
      </c>
      <c r="B4" s="699"/>
      <c r="C4" s="204">
        <v>2013</v>
      </c>
      <c r="D4" s="204">
        <v>2014</v>
      </c>
      <c r="E4" s="204">
        <v>2015</v>
      </c>
      <c r="F4" s="204">
        <v>2016</v>
      </c>
      <c r="G4" s="204">
        <v>2017</v>
      </c>
      <c r="H4" s="204">
        <v>2018</v>
      </c>
      <c r="I4" s="204">
        <v>2019</v>
      </c>
      <c r="J4" s="204">
        <v>2020</v>
      </c>
      <c r="K4" s="204">
        <v>2021</v>
      </c>
      <c r="L4" s="204">
        <v>2022</v>
      </c>
      <c r="M4" s="204">
        <v>2023</v>
      </c>
    </row>
    <row r="5" spans="1:13" s="118" customFormat="1" ht="25.5" customHeight="1" thickTop="1">
      <c r="A5" s="720"/>
      <c r="B5" s="721" t="s">
        <v>12</v>
      </c>
      <c r="C5" s="722">
        <v>1093.82</v>
      </c>
      <c r="D5" s="722">
        <v>1093.21</v>
      </c>
      <c r="E5" s="722">
        <v>1096.6600000000001</v>
      </c>
      <c r="F5" s="722">
        <v>1107.8599999999999</v>
      </c>
      <c r="G5" s="722">
        <v>1133.3399999999999</v>
      </c>
      <c r="H5" s="722">
        <v>1170.25</v>
      </c>
      <c r="I5" s="722">
        <v>1209.94</v>
      </c>
      <c r="J5" s="722">
        <v>1250.75</v>
      </c>
      <c r="K5" s="722">
        <v>1294.1099999999999</v>
      </c>
      <c r="L5" s="722">
        <v>1368</v>
      </c>
      <c r="M5" s="722">
        <v>1466.66</v>
      </c>
    </row>
    <row r="6" spans="1:13" s="118" customFormat="1" ht="24" customHeight="1">
      <c r="A6" s="700">
        <v>1</v>
      </c>
      <c r="B6" s="703" t="s">
        <v>654</v>
      </c>
      <c r="C6" s="723">
        <v>2419.08</v>
      </c>
      <c r="D6" s="723">
        <v>2418.46</v>
      </c>
      <c r="E6" s="723">
        <v>2441.31</v>
      </c>
      <c r="F6" s="723">
        <v>2466.96</v>
      </c>
      <c r="G6" s="723">
        <v>2498.7199999999998</v>
      </c>
      <c r="H6" s="723">
        <v>2561.62</v>
      </c>
      <c r="I6" s="723">
        <v>2612.42</v>
      </c>
      <c r="J6" s="723">
        <v>2704.83</v>
      </c>
      <c r="K6" s="723">
        <v>2777.23</v>
      </c>
      <c r="L6" s="723">
        <v>2899.85</v>
      </c>
      <c r="M6" s="723">
        <v>3072.68</v>
      </c>
    </row>
    <row r="7" spans="1:13" s="118" customFormat="1" ht="18" customHeight="1">
      <c r="A7" s="704">
        <v>11</v>
      </c>
      <c r="B7" s="710" t="s">
        <v>655</v>
      </c>
      <c r="C7" s="724">
        <v>3110.78</v>
      </c>
      <c r="D7" s="724">
        <v>3059.75</v>
      </c>
      <c r="E7" s="724">
        <v>3074.17</v>
      </c>
      <c r="F7" s="724">
        <v>3068.39</v>
      </c>
      <c r="G7" s="724">
        <v>3238.49</v>
      </c>
      <c r="H7" s="724">
        <v>3288.84</v>
      </c>
      <c r="I7" s="724">
        <v>3413.24</v>
      </c>
      <c r="J7" s="724">
        <v>3508.48</v>
      </c>
      <c r="K7" s="724">
        <v>3576.95</v>
      </c>
      <c r="L7" s="724">
        <v>3682.38</v>
      </c>
      <c r="M7" s="724">
        <v>3923.82</v>
      </c>
    </row>
    <row r="8" spans="1:13" s="118" customFormat="1" ht="12.75" customHeight="1">
      <c r="A8" s="704">
        <v>12</v>
      </c>
      <c r="B8" s="710" t="s">
        <v>656</v>
      </c>
      <c r="C8" s="724">
        <v>2863</v>
      </c>
      <c r="D8" s="724">
        <v>2844.74</v>
      </c>
      <c r="E8" s="724">
        <v>2852.35</v>
      </c>
      <c r="F8" s="724">
        <v>2868.82</v>
      </c>
      <c r="G8" s="724">
        <v>2868.86</v>
      </c>
      <c r="H8" s="724">
        <v>2962.65</v>
      </c>
      <c r="I8" s="724">
        <v>2956.76</v>
      </c>
      <c r="J8" s="724">
        <v>3036.88</v>
      </c>
      <c r="K8" s="724">
        <v>3091.33</v>
      </c>
      <c r="L8" s="724">
        <v>3246.33</v>
      </c>
      <c r="M8" s="724">
        <v>3415.29</v>
      </c>
    </row>
    <row r="9" spans="1:13" s="118" customFormat="1" ht="12.75" customHeight="1">
      <c r="A9" s="704">
        <v>13</v>
      </c>
      <c r="B9" s="710" t="s">
        <v>657</v>
      </c>
      <c r="C9" s="724">
        <v>2521.87</v>
      </c>
      <c r="D9" s="724">
        <v>2531.4699999999998</v>
      </c>
      <c r="E9" s="724">
        <v>2564.4699999999998</v>
      </c>
      <c r="F9" s="724">
        <v>2541.4699999999998</v>
      </c>
      <c r="G9" s="724">
        <v>2572.62</v>
      </c>
      <c r="H9" s="724">
        <v>2639.73</v>
      </c>
      <c r="I9" s="724">
        <v>2675.28</v>
      </c>
      <c r="J9" s="724">
        <v>2773.66</v>
      </c>
      <c r="K9" s="724">
        <v>2825.63</v>
      </c>
      <c r="L9" s="724">
        <v>2986.06</v>
      </c>
      <c r="M9" s="724">
        <v>3169.85</v>
      </c>
    </row>
    <row r="10" spans="1:13" s="118" customFormat="1" ht="12.75" customHeight="1">
      <c r="A10" s="704">
        <v>14</v>
      </c>
      <c r="B10" s="710" t="s">
        <v>658</v>
      </c>
      <c r="C10" s="724">
        <v>1452.23</v>
      </c>
      <c r="D10" s="724">
        <v>1464.34</v>
      </c>
      <c r="E10" s="724">
        <v>1498.59</v>
      </c>
      <c r="F10" s="724">
        <v>1577.36</v>
      </c>
      <c r="G10" s="724">
        <v>1540.96</v>
      </c>
      <c r="H10" s="724">
        <v>1573.52</v>
      </c>
      <c r="I10" s="724">
        <v>1688.61</v>
      </c>
      <c r="J10" s="724">
        <v>1728.78</v>
      </c>
      <c r="K10" s="724">
        <v>1828.52</v>
      </c>
      <c r="L10" s="724">
        <v>1905.05</v>
      </c>
      <c r="M10" s="724">
        <v>2068.64</v>
      </c>
    </row>
    <row r="11" spans="1:13" s="118" customFormat="1" ht="12.75" customHeight="1">
      <c r="A11" s="707">
        <v>2</v>
      </c>
      <c r="B11" s="725" t="s">
        <v>659</v>
      </c>
      <c r="C11" s="723">
        <v>1810.42</v>
      </c>
      <c r="D11" s="723">
        <v>1783.54</v>
      </c>
      <c r="E11" s="723">
        <v>1779.9</v>
      </c>
      <c r="F11" s="723">
        <v>1787.99</v>
      </c>
      <c r="G11" s="723">
        <v>1813.14</v>
      </c>
      <c r="H11" s="723">
        <v>1857.37</v>
      </c>
      <c r="I11" s="723">
        <v>1899.12</v>
      </c>
      <c r="J11" s="723">
        <v>1934.48</v>
      </c>
      <c r="K11" s="723">
        <v>1994.66</v>
      </c>
      <c r="L11" s="723">
        <v>2097.65</v>
      </c>
      <c r="M11" s="723">
        <v>2222.79</v>
      </c>
    </row>
    <row r="12" spans="1:13" s="118" customFormat="1" ht="18" customHeight="1">
      <c r="A12" s="709">
        <v>21</v>
      </c>
      <c r="B12" s="710" t="s">
        <v>660</v>
      </c>
      <c r="C12" s="724">
        <v>1950.63</v>
      </c>
      <c r="D12" s="724">
        <v>1913.27</v>
      </c>
      <c r="E12" s="724">
        <v>1890.99</v>
      </c>
      <c r="F12" s="724">
        <v>1880.91</v>
      </c>
      <c r="G12" s="724">
        <v>1846.26</v>
      </c>
      <c r="H12" s="724">
        <v>1885.98</v>
      </c>
      <c r="I12" s="724">
        <v>1937.26</v>
      </c>
      <c r="J12" s="724">
        <v>1973.95</v>
      </c>
      <c r="K12" s="724">
        <v>2018.53</v>
      </c>
      <c r="L12" s="724">
        <v>2130.75</v>
      </c>
      <c r="M12" s="724">
        <v>2265.13</v>
      </c>
    </row>
    <row r="13" spans="1:13" s="118" customFormat="1" ht="12.75" customHeight="1">
      <c r="A13" s="709">
        <v>22</v>
      </c>
      <c r="B13" s="710" t="s">
        <v>661</v>
      </c>
      <c r="C13" s="724">
        <v>1670.27</v>
      </c>
      <c r="D13" s="724">
        <v>1643.21</v>
      </c>
      <c r="E13" s="724">
        <v>1656.32</v>
      </c>
      <c r="F13" s="724">
        <v>1682.63</v>
      </c>
      <c r="G13" s="724">
        <v>1703.88</v>
      </c>
      <c r="H13" s="724">
        <v>1767.87</v>
      </c>
      <c r="I13" s="724">
        <v>1797.9</v>
      </c>
      <c r="J13" s="724">
        <v>1815.11</v>
      </c>
      <c r="K13" s="724">
        <v>1869.32</v>
      </c>
      <c r="L13" s="724">
        <v>1907.31</v>
      </c>
      <c r="M13" s="724">
        <v>1949.99</v>
      </c>
    </row>
    <row r="14" spans="1:13" s="118" customFormat="1" ht="12.75" customHeight="1">
      <c r="A14" s="709">
        <v>23</v>
      </c>
      <c r="B14" s="710" t="s">
        <v>662</v>
      </c>
      <c r="C14" s="724">
        <v>1543.44</v>
      </c>
      <c r="D14" s="724">
        <v>1524.07</v>
      </c>
      <c r="E14" s="724">
        <v>1531.34</v>
      </c>
      <c r="F14" s="724">
        <v>1530.8</v>
      </c>
      <c r="G14" s="724">
        <v>1551.61</v>
      </c>
      <c r="H14" s="724">
        <v>1584.38</v>
      </c>
      <c r="I14" s="724">
        <v>1610.48</v>
      </c>
      <c r="J14" s="724">
        <v>1648.81</v>
      </c>
      <c r="K14" s="724">
        <v>1684.89</v>
      </c>
      <c r="L14" s="724">
        <v>1750.44</v>
      </c>
      <c r="M14" s="724">
        <v>1870.18</v>
      </c>
    </row>
    <row r="15" spans="1:13" s="118" customFormat="1" ht="18.600000000000001" customHeight="1">
      <c r="A15" s="709">
        <v>24</v>
      </c>
      <c r="B15" s="710" t="s">
        <v>663</v>
      </c>
      <c r="C15" s="724">
        <v>1954.52</v>
      </c>
      <c r="D15" s="724">
        <v>1924.53</v>
      </c>
      <c r="E15" s="724">
        <v>1926.63</v>
      </c>
      <c r="F15" s="724">
        <v>1932.38</v>
      </c>
      <c r="G15" s="724">
        <v>2016.88</v>
      </c>
      <c r="H15" s="724">
        <v>2034.37</v>
      </c>
      <c r="I15" s="724">
        <v>2049.98</v>
      </c>
      <c r="J15" s="724">
        <v>2058.7199999999998</v>
      </c>
      <c r="K15" s="724">
        <v>2110.77</v>
      </c>
      <c r="L15" s="724">
        <v>2164.0300000000002</v>
      </c>
      <c r="M15" s="724">
        <v>2278.73</v>
      </c>
    </row>
    <row r="16" spans="1:13" s="118" customFormat="1" ht="19.5" customHeight="1">
      <c r="A16" s="709">
        <v>25</v>
      </c>
      <c r="B16" s="710" t="s">
        <v>664</v>
      </c>
      <c r="C16" s="724">
        <v>1863.82</v>
      </c>
      <c r="D16" s="724">
        <v>1832.94</v>
      </c>
      <c r="E16" s="724">
        <v>1823.79</v>
      </c>
      <c r="F16" s="724">
        <v>1841.16</v>
      </c>
      <c r="G16" s="724">
        <v>1861.92</v>
      </c>
      <c r="H16" s="724">
        <v>1939.03</v>
      </c>
      <c r="I16" s="724">
        <v>2018.5</v>
      </c>
      <c r="J16" s="724">
        <v>2089.9299999999998</v>
      </c>
      <c r="K16" s="724">
        <v>2197.54</v>
      </c>
      <c r="L16" s="724">
        <v>2412.73</v>
      </c>
      <c r="M16" s="724">
        <v>2595.54</v>
      </c>
    </row>
    <row r="17" spans="1:13" s="118" customFormat="1" ht="17.100000000000001" customHeight="1">
      <c r="A17" s="709">
        <v>26</v>
      </c>
      <c r="B17" s="710" t="s">
        <v>665</v>
      </c>
      <c r="C17" s="724">
        <v>1689.23</v>
      </c>
      <c r="D17" s="724">
        <v>1668.61</v>
      </c>
      <c r="E17" s="724">
        <v>1643.56</v>
      </c>
      <c r="F17" s="724">
        <v>1649.93</v>
      </c>
      <c r="G17" s="724">
        <v>1636.57</v>
      </c>
      <c r="H17" s="724">
        <v>1656.68</v>
      </c>
      <c r="I17" s="724">
        <v>1703.19</v>
      </c>
      <c r="J17" s="724">
        <v>1730.83</v>
      </c>
      <c r="K17" s="724">
        <v>1753.03</v>
      </c>
      <c r="L17" s="724">
        <v>1781.87</v>
      </c>
      <c r="M17" s="724">
        <v>1883.71</v>
      </c>
    </row>
    <row r="18" spans="1:13" s="118" customFormat="1" ht="12.75" customHeight="1">
      <c r="A18" s="707">
        <v>3</v>
      </c>
      <c r="B18" s="725" t="s">
        <v>666</v>
      </c>
      <c r="C18" s="723">
        <v>1483.66</v>
      </c>
      <c r="D18" s="723">
        <v>1469.88</v>
      </c>
      <c r="E18" s="723">
        <v>1484.25</v>
      </c>
      <c r="F18" s="723">
        <v>1494.24</v>
      </c>
      <c r="G18" s="723">
        <v>1518.37</v>
      </c>
      <c r="H18" s="723">
        <v>1554.05</v>
      </c>
      <c r="I18" s="723">
        <v>1583.18</v>
      </c>
      <c r="J18" s="723">
        <v>1589.59</v>
      </c>
      <c r="K18" s="723">
        <v>1608.11</v>
      </c>
      <c r="L18" s="723">
        <v>1705.92</v>
      </c>
      <c r="M18" s="723">
        <v>1836.79</v>
      </c>
    </row>
    <row r="19" spans="1:13" s="118" customFormat="1" ht="17.45" customHeight="1">
      <c r="A19" s="709">
        <v>31</v>
      </c>
      <c r="B19" s="710" t="s">
        <v>667</v>
      </c>
      <c r="C19" s="724">
        <v>1467.73</v>
      </c>
      <c r="D19" s="724">
        <v>1463.93</v>
      </c>
      <c r="E19" s="724">
        <v>1485.89</v>
      </c>
      <c r="F19" s="724">
        <v>1500.92</v>
      </c>
      <c r="G19" s="724">
        <v>1523.6</v>
      </c>
      <c r="H19" s="724">
        <v>1574.81</v>
      </c>
      <c r="I19" s="724">
        <v>1617.15</v>
      </c>
      <c r="J19" s="724">
        <v>1539.68</v>
      </c>
      <c r="K19" s="724">
        <v>1554.79</v>
      </c>
      <c r="L19" s="724">
        <v>1732.44</v>
      </c>
      <c r="M19" s="724">
        <v>1888.07</v>
      </c>
    </row>
    <row r="20" spans="1:13" s="118" customFormat="1" ht="12.75" customHeight="1">
      <c r="A20" s="709">
        <v>32</v>
      </c>
      <c r="B20" s="710" t="s">
        <v>668</v>
      </c>
      <c r="C20" s="724">
        <v>1069.8</v>
      </c>
      <c r="D20" s="724">
        <v>1061.3800000000001</v>
      </c>
      <c r="E20" s="724">
        <v>1055.3599999999999</v>
      </c>
      <c r="F20" s="724">
        <v>1064.2</v>
      </c>
      <c r="G20" s="724">
        <v>1088.1500000000001</v>
      </c>
      <c r="H20" s="724">
        <v>1104.47</v>
      </c>
      <c r="I20" s="724">
        <v>1148.06</v>
      </c>
      <c r="J20" s="724">
        <v>1172.77</v>
      </c>
      <c r="K20" s="724">
        <v>1186.18</v>
      </c>
      <c r="L20" s="724">
        <v>1240.77</v>
      </c>
      <c r="M20" s="724">
        <v>1330.69</v>
      </c>
    </row>
    <row r="21" spans="1:13" s="118" customFormat="1" ht="17.100000000000001" customHeight="1">
      <c r="A21" s="709">
        <v>33</v>
      </c>
      <c r="B21" s="710" t="s">
        <v>669</v>
      </c>
      <c r="C21" s="724">
        <v>1555.81</v>
      </c>
      <c r="D21" s="724">
        <v>1558.7</v>
      </c>
      <c r="E21" s="724">
        <v>1550.5</v>
      </c>
      <c r="F21" s="724">
        <v>1552.83</v>
      </c>
      <c r="G21" s="724">
        <v>1559.1</v>
      </c>
      <c r="H21" s="724">
        <v>1589.25</v>
      </c>
      <c r="I21" s="724">
        <v>1618.66</v>
      </c>
      <c r="J21" s="724">
        <v>1657.26</v>
      </c>
      <c r="K21" s="724">
        <v>1674.25</v>
      </c>
      <c r="L21" s="724">
        <v>1738.3</v>
      </c>
      <c r="M21" s="724">
        <v>1851.94</v>
      </c>
    </row>
    <row r="22" spans="1:13" s="118" customFormat="1" ht="18" customHeight="1">
      <c r="A22" s="709">
        <v>34</v>
      </c>
      <c r="B22" s="710" t="s">
        <v>670</v>
      </c>
      <c r="C22" s="724">
        <v>1838.13</v>
      </c>
      <c r="D22" s="724">
        <v>1670.21</v>
      </c>
      <c r="E22" s="724">
        <v>1902.45</v>
      </c>
      <c r="F22" s="724">
        <v>1966.52</v>
      </c>
      <c r="G22" s="724">
        <v>2103.5300000000002</v>
      </c>
      <c r="H22" s="724">
        <v>2116.96</v>
      </c>
      <c r="I22" s="724">
        <v>2214.2800000000002</v>
      </c>
      <c r="J22" s="724">
        <v>2302.59</v>
      </c>
      <c r="K22" s="724">
        <v>2331.0500000000002</v>
      </c>
      <c r="L22" s="724">
        <v>2328.94</v>
      </c>
      <c r="M22" s="724">
        <v>2513.75</v>
      </c>
    </row>
    <row r="23" spans="1:13" s="118" customFormat="1" ht="12.75" customHeight="1">
      <c r="A23" s="709">
        <v>35</v>
      </c>
      <c r="B23" s="710" t="s">
        <v>671</v>
      </c>
      <c r="C23" s="724">
        <v>1500.56</v>
      </c>
      <c r="D23" s="724">
        <v>1451.95</v>
      </c>
      <c r="E23" s="724">
        <v>1456.05</v>
      </c>
      <c r="F23" s="724">
        <v>1469.91</v>
      </c>
      <c r="G23" s="724">
        <v>1505.02</v>
      </c>
      <c r="H23" s="724">
        <v>1543.65</v>
      </c>
      <c r="I23" s="724">
        <v>1489.1</v>
      </c>
      <c r="J23" s="724">
        <v>1586.84</v>
      </c>
      <c r="K23" s="724">
        <v>1611.07</v>
      </c>
      <c r="L23" s="724">
        <v>1682.43</v>
      </c>
      <c r="M23" s="724">
        <v>1817.3</v>
      </c>
    </row>
    <row r="24" spans="1:13" s="118" customFormat="1" ht="12.75" customHeight="1">
      <c r="A24" s="707">
        <v>4</v>
      </c>
      <c r="B24" s="725" t="s">
        <v>672</v>
      </c>
      <c r="C24" s="723">
        <v>1047.51</v>
      </c>
      <c r="D24" s="723">
        <v>1052.46</v>
      </c>
      <c r="E24" s="723">
        <v>1042.17</v>
      </c>
      <c r="F24" s="723">
        <v>1046.05</v>
      </c>
      <c r="G24" s="723">
        <v>1063.6600000000001</v>
      </c>
      <c r="H24" s="723">
        <v>1088.81</v>
      </c>
      <c r="I24" s="723">
        <v>1114.3399999999999</v>
      </c>
      <c r="J24" s="723">
        <v>1141.82</v>
      </c>
      <c r="K24" s="723">
        <v>1173.21</v>
      </c>
      <c r="L24" s="723">
        <v>1218.22</v>
      </c>
      <c r="M24" s="723">
        <v>1303.32</v>
      </c>
    </row>
    <row r="25" spans="1:13" s="118" customFormat="1" ht="20.100000000000001" customHeight="1">
      <c r="A25" s="709">
        <v>41</v>
      </c>
      <c r="B25" s="710" t="s">
        <v>673</v>
      </c>
      <c r="C25" s="724">
        <v>1009.68</v>
      </c>
      <c r="D25" s="724">
        <v>1013.67</v>
      </c>
      <c r="E25" s="724">
        <v>1013.69</v>
      </c>
      <c r="F25" s="724">
        <v>1022.88</v>
      </c>
      <c r="G25" s="724">
        <v>1051.02</v>
      </c>
      <c r="H25" s="724">
        <v>1081.9000000000001</v>
      </c>
      <c r="I25" s="724">
        <v>1122.56</v>
      </c>
      <c r="J25" s="724">
        <v>1145.8</v>
      </c>
      <c r="K25" s="724">
        <v>1179.96</v>
      </c>
      <c r="L25" s="724">
        <v>1226.78</v>
      </c>
      <c r="M25" s="724">
        <v>1327.6</v>
      </c>
    </row>
    <row r="26" spans="1:13" s="118" customFormat="1" ht="12.75" customHeight="1">
      <c r="A26" s="709">
        <v>42</v>
      </c>
      <c r="B26" s="710" t="s">
        <v>674</v>
      </c>
      <c r="C26" s="724">
        <v>1057.82</v>
      </c>
      <c r="D26" s="724">
        <v>1076.33</v>
      </c>
      <c r="E26" s="724">
        <v>1046.99</v>
      </c>
      <c r="F26" s="724">
        <v>1041.67</v>
      </c>
      <c r="G26" s="724">
        <v>1055.8699999999999</v>
      </c>
      <c r="H26" s="724">
        <v>1068.97</v>
      </c>
      <c r="I26" s="724">
        <v>1046.6400000000001</v>
      </c>
      <c r="J26" s="724">
        <v>1088.1300000000001</v>
      </c>
      <c r="K26" s="724">
        <v>1107.99</v>
      </c>
      <c r="L26" s="724">
        <v>1141.3599999999999</v>
      </c>
      <c r="M26" s="724">
        <v>1221.43</v>
      </c>
    </row>
    <row r="27" spans="1:13" s="118" customFormat="1" ht="21" customHeight="1">
      <c r="A27" s="709">
        <v>43</v>
      </c>
      <c r="B27" s="710" t="s">
        <v>675</v>
      </c>
      <c r="C27" s="724">
        <v>1070.3</v>
      </c>
      <c r="D27" s="724">
        <v>1056.78</v>
      </c>
      <c r="E27" s="724">
        <v>1046.1400000000001</v>
      </c>
      <c r="F27" s="724">
        <v>1059.8699999999999</v>
      </c>
      <c r="G27" s="724">
        <v>1067.46</v>
      </c>
      <c r="H27" s="724">
        <v>1092.9100000000001</v>
      </c>
      <c r="I27" s="724">
        <v>1129.99</v>
      </c>
      <c r="J27" s="724">
        <v>1157.1300000000001</v>
      </c>
      <c r="K27" s="724">
        <v>1194.29</v>
      </c>
      <c r="L27" s="724">
        <v>1247.6199999999999</v>
      </c>
      <c r="M27" s="724">
        <v>1326.96</v>
      </c>
    </row>
    <row r="28" spans="1:13" s="118" customFormat="1" ht="12.75" customHeight="1">
      <c r="A28" s="709">
        <v>44</v>
      </c>
      <c r="B28" s="710" t="s">
        <v>676</v>
      </c>
      <c r="C28" s="724">
        <v>1125.3699999999999</v>
      </c>
      <c r="D28" s="724">
        <v>1147.96</v>
      </c>
      <c r="E28" s="724">
        <v>1129.92</v>
      </c>
      <c r="F28" s="724">
        <v>1102.3399999999999</v>
      </c>
      <c r="G28" s="724">
        <v>1112.9100000000001</v>
      </c>
      <c r="H28" s="724">
        <v>1135.74</v>
      </c>
      <c r="I28" s="724">
        <v>1165.33</v>
      </c>
      <c r="J28" s="724">
        <v>1178.19</v>
      </c>
      <c r="K28" s="724">
        <v>1212.23</v>
      </c>
      <c r="L28" s="724">
        <v>1257.01</v>
      </c>
      <c r="M28" s="724">
        <v>1330.79</v>
      </c>
    </row>
    <row r="29" spans="1:13" s="118" customFormat="1" ht="12.75" customHeight="1">
      <c r="A29" s="707">
        <v>5</v>
      </c>
      <c r="B29" s="712" t="s">
        <v>677</v>
      </c>
      <c r="C29" s="723">
        <v>752.62</v>
      </c>
      <c r="D29" s="723">
        <v>759.92</v>
      </c>
      <c r="E29" s="723">
        <v>767.89</v>
      </c>
      <c r="F29" s="723">
        <v>785.26</v>
      </c>
      <c r="G29" s="723">
        <v>808.9</v>
      </c>
      <c r="H29" s="723">
        <v>836.95</v>
      </c>
      <c r="I29" s="723">
        <v>873.06</v>
      </c>
      <c r="J29" s="723">
        <v>899.3</v>
      </c>
      <c r="K29" s="723">
        <v>936.3</v>
      </c>
      <c r="L29" s="723">
        <v>998.48</v>
      </c>
      <c r="M29" s="723">
        <v>1078.9100000000001</v>
      </c>
    </row>
    <row r="30" spans="1:13" s="118" customFormat="1" ht="12.75" customHeight="1">
      <c r="A30" s="709">
        <v>51</v>
      </c>
      <c r="B30" s="710" t="s">
        <v>678</v>
      </c>
      <c r="C30" s="724">
        <v>689.58</v>
      </c>
      <c r="D30" s="724">
        <v>697.93</v>
      </c>
      <c r="E30" s="724">
        <v>701.3</v>
      </c>
      <c r="F30" s="724">
        <v>721.08</v>
      </c>
      <c r="G30" s="724">
        <v>749.71</v>
      </c>
      <c r="H30" s="724">
        <v>780.53</v>
      </c>
      <c r="I30" s="724">
        <v>814.99</v>
      </c>
      <c r="J30" s="724">
        <v>810.25</v>
      </c>
      <c r="K30" s="724">
        <v>856.13</v>
      </c>
      <c r="L30" s="724">
        <v>935.45</v>
      </c>
      <c r="M30" s="724">
        <v>1007.79</v>
      </c>
    </row>
    <row r="31" spans="1:13" s="130" customFormat="1" ht="12.75" customHeight="1">
      <c r="A31" s="709">
        <v>52</v>
      </c>
      <c r="B31" s="710" t="s">
        <v>679</v>
      </c>
      <c r="C31" s="724">
        <v>818.82</v>
      </c>
      <c r="D31" s="724">
        <v>828.18</v>
      </c>
      <c r="E31" s="724">
        <v>838.59</v>
      </c>
      <c r="F31" s="724">
        <v>859.19</v>
      </c>
      <c r="G31" s="724">
        <v>883.1</v>
      </c>
      <c r="H31" s="724">
        <v>909</v>
      </c>
      <c r="I31" s="724">
        <v>947.53</v>
      </c>
      <c r="J31" s="724">
        <v>982.98</v>
      </c>
      <c r="K31" s="724">
        <v>1022.97</v>
      </c>
      <c r="L31" s="724">
        <v>1087.31</v>
      </c>
      <c r="M31" s="724">
        <v>1173.1099999999999</v>
      </c>
    </row>
    <row r="32" spans="1:13" s="118" customFormat="1" ht="12.75" customHeight="1">
      <c r="A32" s="709">
        <v>53</v>
      </c>
      <c r="B32" s="710" t="s">
        <v>680</v>
      </c>
      <c r="C32" s="724">
        <v>645.09</v>
      </c>
      <c r="D32" s="724">
        <v>652.13</v>
      </c>
      <c r="E32" s="724">
        <v>661.71</v>
      </c>
      <c r="F32" s="724">
        <v>675</v>
      </c>
      <c r="G32" s="724">
        <v>701.57</v>
      </c>
      <c r="H32" s="724">
        <v>728.89</v>
      </c>
      <c r="I32" s="724">
        <v>759.26</v>
      </c>
      <c r="J32" s="724">
        <v>785.05</v>
      </c>
      <c r="K32" s="724">
        <v>817.95</v>
      </c>
      <c r="L32" s="724">
        <v>863.47</v>
      </c>
      <c r="M32" s="724">
        <v>946.05</v>
      </c>
    </row>
    <row r="33" spans="1:13" s="118" customFormat="1" ht="12.75" customHeight="1">
      <c r="A33" s="709">
        <v>54</v>
      </c>
      <c r="B33" s="710" t="s">
        <v>681</v>
      </c>
      <c r="C33" s="724">
        <v>787.51</v>
      </c>
      <c r="D33" s="724">
        <v>789.66</v>
      </c>
      <c r="E33" s="724">
        <v>806.45</v>
      </c>
      <c r="F33" s="724">
        <v>817.63</v>
      </c>
      <c r="G33" s="724">
        <v>825.72</v>
      </c>
      <c r="H33" s="724">
        <v>860.14</v>
      </c>
      <c r="I33" s="724">
        <v>904.4</v>
      </c>
      <c r="J33" s="724">
        <v>951.02</v>
      </c>
      <c r="K33" s="724">
        <v>970.08</v>
      </c>
      <c r="L33" s="724">
        <v>1018.45</v>
      </c>
      <c r="M33" s="724">
        <v>1097.22</v>
      </c>
    </row>
    <row r="34" spans="1:13" s="118" customFormat="1" ht="16.5" customHeight="1">
      <c r="A34" s="700">
        <v>6</v>
      </c>
      <c r="B34" s="712" t="s">
        <v>682</v>
      </c>
      <c r="C34" s="723">
        <v>744.8</v>
      </c>
      <c r="D34" s="723">
        <v>744.86</v>
      </c>
      <c r="E34" s="723">
        <v>767.63</v>
      </c>
      <c r="F34" s="723">
        <v>799.91</v>
      </c>
      <c r="G34" s="723">
        <v>801.18</v>
      </c>
      <c r="H34" s="723">
        <v>853.06</v>
      </c>
      <c r="I34" s="723">
        <v>914.72</v>
      </c>
      <c r="J34" s="723">
        <v>883.1</v>
      </c>
      <c r="K34" s="723">
        <v>942.8</v>
      </c>
      <c r="L34" s="723">
        <v>994.21</v>
      </c>
      <c r="M34" s="723">
        <v>1062.6099999999999</v>
      </c>
    </row>
    <row r="35" spans="1:13" s="118" customFormat="1" ht="19.5" customHeight="1">
      <c r="A35" s="704">
        <v>61</v>
      </c>
      <c r="B35" s="710" t="s">
        <v>683</v>
      </c>
      <c r="C35" s="724">
        <v>699.35</v>
      </c>
      <c r="D35" s="724">
        <v>707.12</v>
      </c>
      <c r="E35" s="724">
        <v>708.35</v>
      </c>
      <c r="F35" s="724">
        <v>726.86</v>
      </c>
      <c r="G35" s="724">
        <v>753.52</v>
      </c>
      <c r="H35" s="724">
        <v>785.88</v>
      </c>
      <c r="I35" s="724">
        <v>812.68</v>
      </c>
      <c r="J35" s="724">
        <v>835.97</v>
      </c>
      <c r="K35" s="724">
        <v>882.51</v>
      </c>
      <c r="L35" s="724">
        <v>940.11</v>
      </c>
      <c r="M35" s="724">
        <v>1011.78</v>
      </c>
    </row>
    <row r="36" spans="1:13" s="118" customFormat="1" ht="18.600000000000001" customHeight="1">
      <c r="A36" s="704">
        <v>62</v>
      </c>
      <c r="B36" s="710" t="s">
        <v>684</v>
      </c>
      <c r="C36" s="724">
        <v>875.31</v>
      </c>
      <c r="D36" s="724">
        <v>866.38</v>
      </c>
      <c r="E36" s="724">
        <v>959.1</v>
      </c>
      <c r="F36" s="724">
        <v>1031.4000000000001</v>
      </c>
      <c r="G36" s="724">
        <v>959.83</v>
      </c>
      <c r="H36" s="724">
        <v>1065.2</v>
      </c>
      <c r="I36" s="724">
        <v>1255.28</v>
      </c>
      <c r="J36" s="724">
        <v>1052.93</v>
      </c>
      <c r="K36" s="724">
        <v>1170.96</v>
      </c>
      <c r="L36" s="724">
        <v>1187.28</v>
      </c>
      <c r="M36" s="724">
        <v>1249.56</v>
      </c>
    </row>
    <row r="37" spans="1:13" s="118" customFormat="1" ht="12.75" customHeight="1">
      <c r="A37" s="700">
        <v>7</v>
      </c>
      <c r="B37" s="712" t="s">
        <v>685</v>
      </c>
      <c r="C37" s="723">
        <v>832.92</v>
      </c>
      <c r="D37" s="723">
        <v>840</v>
      </c>
      <c r="E37" s="723">
        <v>846.87</v>
      </c>
      <c r="F37" s="723">
        <v>857.96</v>
      </c>
      <c r="G37" s="723">
        <v>884.52</v>
      </c>
      <c r="H37" s="723">
        <v>920.4</v>
      </c>
      <c r="I37" s="723">
        <v>953.05</v>
      </c>
      <c r="J37" s="723">
        <v>970.12</v>
      </c>
      <c r="K37" s="723">
        <v>1004.57</v>
      </c>
      <c r="L37" s="723">
        <v>1066.29</v>
      </c>
      <c r="M37" s="723">
        <v>1154.1400000000001</v>
      </c>
    </row>
    <row r="38" spans="1:13" s="118" customFormat="1" ht="12.75" customHeight="1">
      <c r="A38" s="704">
        <v>71</v>
      </c>
      <c r="B38" s="710" t="s">
        <v>686</v>
      </c>
      <c r="C38" s="724">
        <v>780.61</v>
      </c>
      <c r="D38" s="724">
        <v>788.44</v>
      </c>
      <c r="E38" s="724">
        <v>792.22</v>
      </c>
      <c r="F38" s="724">
        <v>794.87</v>
      </c>
      <c r="G38" s="724">
        <v>812.44</v>
      </c>
      <c r="H38" s="724">
        <v>845.41</v>
      </c>
      <c r="I38" s="724">
        <v>876.52</v>
      </c>
      <c r="J38" s="724">
        <v>894.15</v>
      </c>
      <c r="K38" s="724">
        <v>941.02</v>
      </c>
      <c r="L38" s="724">
        <v>981.83</v>
      </c>
      <c r="M38" s="724">
        <v>1066.4000000000001</v>
      </c>
    </row>
    <row r="39" spans="1:13" s="118" customFormat="1" ht="12.75" customHeight="1">
      <c r="A39" s="704">
        <v>72</v>
      </c>
      <c r="B39" s="710" t="s">
        <v>687</v>
      </c>
      <c r="C39" s="724">
        <v>938.71</v>
      </c>
      <c r="D39" s="724">
        <v>949.69</v>
      </c>
      <c r="E39" s="724">
        <v>957.85</v>
      </c>
      <c r="F39" s="724">
        <v>968.19</v>
      </c>
      <c r="G39" s="724">
        <v>1001.85</v>
      </c>
      <c r="H39" s="724">
        <v>1041.51</v>
      </c>
      <c r="I39" s="724">
        <v>1077.6199999999999</v>
      </c>
      <c r="J39" s="724">
        <v>1073.58</v>
      </c>
      <c r="K39" s="724">
        <v>1099.98</v>
      </c>
      <c r="L39" s="724">
        <v>1190.8699999999999</v>
      </c>
      <c r="M39" s="724">
        <v>1288.25</v>
      </c>
    </row>
    <row r="40" spans="1:13" s="118" customFormat="1" ht="20.45" customHeight="1">
      <c r="A40" s="704">
        <v>73</v>
      </c>
      <c r="B40" s="710" t="s">
        <v>688</v>
      </c>
      <c r="C40" s="724">
        <v>818.07</v>
      </c>
      <c r="D40" s="724">
        <v>817.44</v>
      </c>
      <c r="E40" s="724">
        <v>825.6</v>
      </c>
      <c r="F40" s="724">
        <v>836.28</v>
      </c>
      <c r="G40" s="724">
        <v>870.56</v>
      </c>
      <c r="H40" s="724">
        <v>896.98</v>
      </c>
      <c r="I40" s="724">
        <v>919.42</v>
      </c>
      <c r="J40" s="724">
        <v>951.16</v>
      </c>
      <c r="K40" s="724">
        <v>979.51</v>
      </c>
      <c r="L40" s="724">
        <v>1021.76</v>
      </c>
      <c r="M40" s="724">
        <v>1095.27</v>
      </c>
    </row>
    <row r="41" spans="1:13" s="249" customFormat="1" ht="12.75" customHeight="1">
      <c r="A41" s="704">
        <v>74</v>
      </c>
      <c r="B41" s="710" t="s">
        <v>689</v>
      </c>
      <c r="C41" s="724">
        <v>1058.1500000000001</v>
      </c>
      <c r="D41" s="724">
        <v>1053.83</v>
      </c>
      <c r="E41" s="724">
        <v>1066.6099999999999</v>
      </c>
      <c r="F41" s="724">
        <v>1083.75</v>
      </c>
      <c r="G41" s="724">
        <v>1101.6199999999999</v>
      </c>
      <c r="H41" s="724">
        <v>1134.3599999999999</v>
      </c>
      <c r="I41" s="724">
        <v>1153.3499999999999</v>
      </c>
      <c r="J41" s="724">
        <v>1174.49</v>
      </c>
      <c r="K41" s="724">
        <v>1201.47</v>
      </c>
      <c r="L41" s="724">
        <v>1256.29</v>
      </c>
      <c r="M41" s="724">
        <v>1343</v>
      </c>
    </row>
    <row r="42" spans="1:13" s="249" customFormat="1" ht="18.95" customHeight="1">
      <c r="A42" s="704">
        <v>75</v>
      </c>
      <c r="B42" s="710" t="s">
        <v>690</v>
      </c>
      <c r="C42" s="724">
        <v>706.33</v>
      </c>
      <c r="D42" s="724">
        <v>713.59</v>
      </c>
      <c r="E42" s="724">
        <v>719.9</v>
      </c>
      <c r="F42" s="724">
        <v>737.3</v>
      </c>
      <c r="G42" s="724">
        <v>766.74</v>
      </c>
      <c r="H42" s="724">
        <v>797.42</v>
      </c>
      <c r="I42" s="724">
        <v>833.2</v>
      </c>
      <c r="J42" s="724">
        <v>866.79</v>
      </c>
      <c r="K42" s="724">
        <v>902.84</v>
      </c>
      <c r="L42" s="724">
        <v>959.42</v>
      </c>
      <c r="M42" s="724">
        <v>1036.48</v>
      </c>
    </row>
    <row r="43" spans="1:13" s="249" customFormat="1" ht="12.75" customHeight="1">
      <c r="A43" s="700">
        <v>8</v>
      </c>
      <c r="B43" s="712" t="s">
        <v>691</v>
      </c>
      <c r="C43" s="723">
        <v>832.7</v>
      </c>
      <c r="D43" s="723">
        <v>842.42</v>
      </c>
      <c r="E43" s="723">
        <v>854.07</v>
      </c>
      <c r="F43" s="723">
        <v>874.93</v>
      </c>
      <c r="G43" s="723">
        <v>906.93</v>
      </c>
      <c r="H43" s="723">
        <v>946.99</v>
      </c>
      <c r="I43" s="723">
        <v>992.07</v>
      </c>
      <c r="J43" s="723">
        <v>1044.52</v>
      </c>
      <c r="K43" s="723">
        <v>1078.25</v>
      </c>
      <c r="L43" s="723">
        <v>1147.77</v>
      </c>
      <c r="M43" s="723">
        <v>1235.24</v>
      </c>
    </row>
    <row r="44" spans="1:13" s="249" customFormat="1" ht="12.75" customHeight="1">
      <c r="A44" s="704">
        <v>81</v>
      </c>
      <c r="B44" s="710" t="s">
        <v>692</v>
      </c>
      <c r="C44" s="724">
        <v>774.47</v>
      </c>
      <c r="D44" s="724">
        <v>786.43</v>
      </c>
      <c r="E44" s="724">
        <v>794.3</v>
      </c>
      <c r="F44" s="724">
        <v>815.85</v>
      </c>
      <c r="G44" s="724">
        <v>851.23</v>
      </c>
      <c r="H44" s="724">
        <v>892.37</v>
      </c>
      <c r="I44" s="724">
        <v>926.76</v>
      </c>
      <c r="J44" s="724">
        <v>971.4</v>
      </c>
      <c r="K44" s="724">
        <v>1005.61</v>
      </c>
      <c r="L44" s="724">
        <v>1061.51</v>
      </c>
      <c r="M44" s="724">
        <v>1150.71</v>
      </c>
    </row>
    <row r="45" spans="1:13" s="249" customFormat="1" ht="12.75" customHeight="1">
      <c r="A45" s="704">
        <v>82</v>
      </c>
      <c r="B45" s="710" t="s">
        <v>693</v>
      </c>
      <c r="C45" s="724">
        <v>888.84</v>
      </c>
      <c r="D45" s="724">
        <v>912.18</v>
      </c>
      <c r="E45" s="724">
        <v>915.58</v>
      </c>
      <c r="F45" s="724">
        <v>945.33</v>
      </c>
      <c r="G45" s="724">
        <v>979.05</v>
      </c>
      <c r="H45" s="724">
        <v>980.64</v>
      </c>
      <c r="I45" s="724">
        <v>1030.25</v>
      </c>
      <c r="J45" s="724">
        <v>1084.1400000000001</v>
      </c>
      <c r="K45" s="724">
        <v>1054.45</v>
      </c>
      <c r="L45" s="724">
        <v>1168.45</v>
      </c>
      <c r="M45" s="724">
        <v>1161.8399999999999</v>
      </c>
    </row>
    <row r="46" spans="1:13" s="249" customFormat="1" ht="12.75" customHeight="1">
      <c r="A46" s="704">
        <v>83</v>
      </c>
      <c r="B46" s="710" t="s">
        <v>694</v>
      </c>
      <c r="C46" s="724">
        <v>890.53</v>
      </c>
      <c r="D46" s="724">
        <v>894.72</v>
      </c>
      <c r="E46" s="724">
        <v>911.86</v>
      </c>
      <c r="F46" s="724">
        <v>929.21</v>
      </c>
      <c r="G46" s="724">
        <v>953.23</v>
      </c>
      <c r="H46" s="724">
        <v>1000.49</v>
      </c>
      <c r="I46" s="724">
        <v>1050.9000000000001</v>
      </c>
      <c r="J46" s="724">
        <v>1109.4000000000001</v>
      </c>
      <c r="K46" s="724">
        <v>1160.08</v>
      </c>
      <c r="L46" s="724">
        <v>1230.99</v>
      </c>
      <c r="M46" s="724">
        <v>1335.17</v>
      </c>
    </row>
    <row r="47" spans="1:13" s="249" customFormat="1" ht="12.75" customHeight="1">
      <c r="A47" s="700">
        <v>9</v>
      </c>
      <c r="B47" s="712" t="s">
        <v>695</v>
      </c>
      <c r="C47" s="723">
        <v>666.94</v>
      </c>
      <c r="D47" s="723">
        <v>681.09</v>
      </c>
      <c r="E47" s="723">
        <v>688.24</v>
      </c>
      <c r="F47" s="723">
        <v>707.94</v>
      </c>
      <c r="G47" s="723">
        <v>743.43</v>
      </c>
      <c r="H47" s="723">
        <v>783.76</v>
      </c>
      <c r="I47" s="723">
        <v>816.04</v>
      </c>
      <c r="J47" s="723">
        <v>848.69</v>
      </c>
      <c r="K47" s="723">
        <v>895.67</v>
      </c>
      <c r="L47" s="723">
        <v>942.93</v>
      </c>
      <c r="M47" s="723">
        <v>1007.47</v>
      </c>
    </row>
    <row r="48" spans="1:13" s="249" customFormat="1" ht="12.75" customHeight="1">
      <c r="A48" s="704">
        <v>91</v>
      </c>
      <c r="B48" s="710" t="s">
        <v>696</v>
      </c>
      <c r="C48" s="724">
        <v>603.70000000000005</v>
      </c>
      <c r="D48" s="724">
        <v>616.29</v>
      </c>
      <c r="E48" s="724">
        <v>620.5</v>
      </c>
      <c r="F48" s="724">
        <v>640.96</v>
      </c>
      <c r="G48" s="724">
        <v>670.37</v>
      </c>
      <c r="H48" s="724">
        <v>700.77</v>
      </c>
      <c r="I48" s="724">
        <v>726.19</v>
      </c>
      <c r="J48" s="724">
        <v>758.79</v>
      </c>
      <c r="K48" s="724">
        <v>791.27</v>
      </c>
      <c r="L48" s="724">
        <v>841.71</v>
      </c>
      <c r="M48" s="724">
        <v>914.84</v>
      </c>
    </row>
    <row r="49" spans="1:13" s="249" customFormat="1" ht="12.75" customHeight="1">
      <c r="A49" s="704">
        <v>92</v>
      </c>
      <c r="B49" s="710" t="s">
        <v>697</v>
      </c>
      <c r="C49" s="724">
        <v>654.77</v>
      </c>
      <c r="D49" s="724">
        <v>667.38</v>
      </c>
      <c r="E49" s="724">
        <v>662.75</v>
      </c>
      <c r="F49" s="724">
        <v>680.8</v>
      </c>
      <c r="G49" s="724">
        <v>718.96</v>
      </c>
      <c r="H49" s="724">
        <v>762.53</v>
      </c>
      <c r="I49" s="724">
        <v>776.77</v>
      </c>
      <c r="J49" s="724">
        <v>815.99</v>
      </c>
      <c r="K49" s="724">
        <v>864.6</v>
      </c>
      <c r="L49" s="724">
        <v>895.78</v>
      </c>
      <c r="M49" s="724">
        <v>955.29</v>
      </c>
    </row>
    <row r="50" spans="1:13" s="249" customFormat="1" ht="12.75" customHeight="1">
      <c r="A50" s="704">
        <v>93</v>
      </c>
      <c r="B50" s="710" t="s">
        <v>698</v>
      </c>
      <c r="C50" s="724">
        <v>725.66</v>
      </c>
      <c r="D50" s="724">
        <v>735.48</v>
      </c>
      <c r="E50" s="724">
        <v>739.51</v>
      </c>
      <c r="F50" s="724">
        <v>752.09</v>
      </c>
      <c r="G50" s="724">
        <v>783.03</v>
      </c>
      <c r="H50" s="724">
        <v>819.13</v>
      </c>
      <c r="I50" s="724">
        <v>850.48</v>
      </c>
      <c r="J50" s="724">
        <v>868.81</v>
      </c>
      <c r="K50" s="724">
        <v>917.59</v>
      </c>
      <c r="L50" s="724">
        <v>966.13</v>
      </c>
      <c r="M50" s="724">
        <v>1032.42</v>
      </c>
    </row>
    <row r="51" spans="1:13" s="249" customFormat="1" ht="12.75" customHeight="1">
      <c r="A51" s="704">
        <v>94</v>
      </c>
      <c r="B51" s="710" t="s">
        <v>699</v>
      </c>
      <c r="C51" s="724">
        <v>570.21</v>
      </c>
      <c r="D51" s="724">
        <v>582.62</v>
      </c>
      <c r="E51" s="724">
        <v>586.86</v>
      </c>
      <c r="F51" s="724">
        <v>608.30999999999995</v>
      </c>
      <c r="G51" s="724">
        <v>641.04999999999995</v>
      </c>
      <c r="H51" s="724">
        <v>671.59</v>
      </c>
      <c r="I51" s="724">
        <v>697.77</v>
      </c>
      <c r="J51" s="724">
        <v>721.4</v>
      </c>
      <c r="K51" s="724">
        <v>760.68</v>
      </c>
      <c r="L51" s="724">
        <v>811.57</v>
      </c>
      <c r="M51" s="724">
        <v>873.44</v>
      </c>
    </row>
    <row r="52" spans="1:13" s="249" customFormat="1" ht="12.75" customHeight="1">
      <c r="A52" s="704">
        <v>95</v>
      </c>
      <c r="B52" s="710" t="s">
        <v>700</v>
      </c>
      <c r="C52" s="724">
        <v>865.71</v>
      </c>
      <c r="D52" s="724">
        <v>867.18</v>
      </c>
      <c r="E52" s="724">
        <v>900.36</v>
      </c>
      <c r="F52" s="724">
        <v>932.29</v>
      </c>
      <c r="G52" s="724">
        <v>964.98</v>
      </c>
      <c r="H52" s="724">
        <v>989.9</v>
      </c>
      <c r="I52" s="724">
        <v>1042.8900000000001</v>
      </c>
      <c r="J52" s="724">
        <v>1088.98</v>
      </c>
      <c r="K52" s="724">
        <v>1132.52</v>
      </c>
      <c r="L52" s="724">
        <v>1236.77</v>
      </c>
      <c r="M52" s="724">
        <v>1305.25</v>
      </c>
    </row>
    <row r="53" spans="1:13" s="249" customFormat="1" ht="12.75" customHeight="1">
      <c r="A53" s="704">
        <v>96</v>
      </c>
      <c r="B53" s="710" t="s">
        <v>701</v>
      </c>
      <c r="C53" s="724">
        <v>725.5</v>
      </c>
      <c r="D53" s="724">
        <v>747.1</v>
      </c>
      <c r="E53" s="724">
        <v>758.24</v>
      </c>
      <c r="F53" s="724">
        <v>780.54</v>
      </c>
      <c r="G53" s="724">
        <v>822.15</v>
      </c>
      <c r="H53" s="724">
        <v>874.88</v>
      </c>
      <c r="I53" s="724">
        <v>922.82</v>
      </c>
      <c r="J53" s="724">
        <v>954.98</v>
      </c>
      <c r="K53" s="724">
        <v>1013.14</v>
      </c>
      <c r="L53" s="724">
        <v>1073.02</v>
      </c>
      <c r="M53" s="724">
        <v>1145.4100000000001</v>
      </c>
    </row>
    <row r="54" spans="1:13" s="249" customFormat="1" ht="12.75" customHeight="1">
      <c r="A54" s="711" t="s">
        <v>702</v>
      </c>
      <c r="B54" s="712"/>
      <c r="C54" s="723">
        <v>1938.77</v>
      </c>
      <c r="D54" s="723">
        <v>1872.04</v>
      </c>
      <c r="E54" s="723">
        <v>2276.44</v>
      </c>
      <c r="F54" s="723">
        <v>2020.39</v>
      </c>
      <c r="G54" s="723">
        <v>2216.48</v>
      </c>
      <c r="H54" s="723">
        <v>1911.05</v>
      </c>
      <c r="I54" s="723">
        <v>2143.6799999999998</v>
      </c>
      <c r="J54" s="723">
        <v>2275.4299999999998</v>
      </c>
      <c r="K54" s="723">
        <v>2387.6799999999998</v>
      </c>
      <c r="L54" s="723">
        <v>2512.64</v>
      </c>
      <c r="M54" s="723">
        <v>3169.09</v>
      </c>
    </row>
    <row r="55" spans="1:13" s="249" customFormat="1" ht="12.75" customHeight="1">
      <c r="A55" s="736"/>
      <c r="B55" s="726" t="s">
        <v>703</v>
      </c>
      <c r="C55" s="727">
        <v>1938.77</v>
      </c>
      <c r="D55" s="727">
        <v>1872.04</v>
      </c>
      <c r="E55" s="727">
        <v>2276.44</v>
      </c>
      <c r="F55" s="727">
        <v>2020.39</v>
      </c>
      <c r="G55" s="727">
        <v>2216.48</v>
      </c>
      <c r="H55" s="727">
        <v>1911.05</v>
      </c>
      <c r="I55" s="727">
        <v>2143.6799999999998</v>
      </c>
      <c r="J55" s="727">
        <v>2275.4299999999998</v>
      </c>
      <c r="K55" s="727">
        <v>2387.6799999999998</v>
      </c>
      <c r="L55" s="727">
        <v>2512.64</v>
      </c>
      <c r="M55" s="727">
        <v>3169.09</v>
      </c>
    </row>
    <row r="56" spans="1:13" s="249" customFormat="1" ht="15" customHeight="1">
      <c r="A56" s="716" t="s">
        <v>138</v>
      </c>
      <c r="B56" s="717"/>
      <c r="C56" s="97"/>
      <c r="D56" s="97"/>
      <c r="E56" s="98"/>
      <c r="F56" s="98"/>
      <c r="G56" s="98"/>
      <c r="H56" s="98"/>
      <c r="I56" s="98"/>
      <c r="J56" s="98"/>
      <c r="K56" s="98"/>
      <c r="L56" s="98"/>
      <c r="M56" s="98"/>
    </row>
    <row r="57" spans="1:13" ht="10.5" customHeight="1">
      <c r="B57" s="806" t="s">
        <v>4</v>
      </c>
      <c r="C57" s="806"/>
      <c r="D57" s="806"/>
      <c r="E57" s="806"/>
      <c r="F57" s="806"/>
      <c r="G57" s="806"/>
      <c r="H57" s="806"/>
      <c r="I57" s="806"/>
      <c r="J57" s="806"/>
      <c r="K57" s="806"/>
      <c r="L57" s="806"/>
      <c r="M57" s="806"/>
    </row>
    <row r="58" spans="1:13" ht="15" customHeight="1">
      <c r="B58" s="212"/>
    </row>
  </sheetData>
  <mergeCells count="2">
    <mergeCell ref="A1:M1"/>
    <mergeCell ref="B57:M57"/>
  </mergeCells>
  <conditionalFormatting sqref="A1 A57:B57 E56 B56 A58:C1048576 C7:F53 C55:F55 A2:C3 C54:M54 A5:M6 B4:C4 N1:XFD1048576">
    <cfRule type="cellIs" dxfId="70" priority="36" operator="equal">
      <formula>0</formula>
    </cfRule>
  </conditionalFormatting>
  <conditionalFormatting sqref="C56">
    <cfRule type="cellIs" dxfId="69" priority="35" operator="equal">
      <formula>0</formula>
    </cfRule>
  </conditionalFormatting>
  <conditionalFormatting sqref="A56">
    <cfRule type="cellIs" dxfId="68" priority="34" operator="equal">
      <formula>0</formula>
    </cfRule>
  </conditionalFormatting>
  <conditionalFormatting sqref="E2:E4 E58:E1048576 F4:G4">
    <cfRule type="cellIs" dxfId="67" priority="33" operator="equal">
      <formula>0</formula>
    </cfRule>
  </conditionalFormatting>
  <conditionalFormatting sqref="D2:D4 D58:D1048576">
    <cfRule type="cellIs" dxfId="66" priority="32" operator="equal">
      <formula>0</formula>
    </cfRule>
  </conditionalFormatting>
  <conditionalFormatting sqref="D56">
    <cfRule type="cellIs" dxfId="65" priority="31" operator="equal">
      <formula>0</formula>
    </cfRule>
  </conditionalFormatting>
  <conditionalFormatting sqref="G56">
    <cfRule type="cellIs" dxfId="64" priority="30" operator="equal">
      <formula>0</formula>
    </cfRule>
  </conditionalFormatting>
  <conditionalFormatting sqref="G2:G3 G58:G1048576">
    <cfRule type="cellIs" dxfId="63" priority="29" operator="equal">
      <formula>0</formula>
    </cfRule>
  </conditionalFormatting>
  <conditionalFormatting sqref="F56">
    <cfRule type="cellIs" dxfId="62" priority="28" operator="equal">
      <formula>0</formula>
    </cfRule>
  </conditionalFormatting>
  <conditionalFormatting sqref="F2:F3 F58:F1048576">
    <cfRule type="cellIs" dxfId="61" priority="27" operator="equal">
      <formula>0</formula>
    </cfRule>
  </conditionalFormatting>
  <conditionalFormatting sqref="H4">
    <cfRule type="cellIs" dxfId="60" priority="26" operator="equal">
      <formula>0</formula>
    </cfRule>
  </conditionalFormatting>
  <conditionalFormatting sqref="H56">
    <cfRule type="cellIs" dxfId="59" priority="25" operator="equal">
      <formula>0</formula>
    </cfRule>
  </conditionalFormatting>
  <conditionalFormatting sqref="H2:H3 H58:H1048576">
    <cfRule type="cellIs" dxfId="58" priority="24" operator="equal">
      <formula>0</formula>
    </cfRule>
  </conditionalFormatting>
  <conditionalFormatting sqref="I4">
    <cfRule type="cellIs" dxfId="57" priority="23" operator="equal">
      <formula>0</formula>
    </cfRule>
  </conditionalFormatting>
  <conditionalFormatting sqref="I56">
    <cfRule type="cellIs" dxfId="56" priority="22" operator="equal">
      <formula>0</formula>
    </cfRule>
  </conditionalFormatting>
  <conditionalFormatting sqref="I2:I3 I58:I1048576">
    <cfRule type="cellIs" dxfId="55" priority="21" operator="equal">
      <formula>0</formula>
    </cfRule>
  </conditionalFormatting>
  <conditionalFormatting sqref="K2:K3 K58:K1048576">
    <cfRule type="cellIs" dxfId="54" priority="15" operator="equal">
      <formula>0</formula>
    </cfRule>
  </conditionalFormatting>
  <conditionalFormatting sqref="J4">
    <cfRule type="cellIs" dxfId="53" priority="20" operator="equal">
      <formula>0</formula>
    </cfRule>
  </conditionalFormatting>
  <conditionalFormatting sqref="J56">
    <cfRule type="cellIs" dxfId="52" priority="19" operator="equal">
      <formula>0</formula>
    </cfRule>
  </conditionalFormatting>
  <conditionalFormatting sqref="J2:J3 J58:J1048576">
    <cfRule type="cellIs" dxfId="51" priority="18" operator="equal">
      <formula>0</formula>
    </cfRule>
  </conditionalFormatting>
  <conditionalFormatting sqref="K4">
    <cfRule type="cellIs" dxfId="50" priority="17" operator="equal">
      <formula>0</formula>
    </cfRule>
  </conditionalFormatting>
  <conditionalFormatting sqref="K56">
    <cfRule type="cellIs" dxfId="49" priority="16" operator="equal">
      <formula>0</formula>
    </cfRule>
  </conditionalFormatting>
  <conditionalFormatting sqref="L4">
    <cfRule type="cellIs" dxfId="48" priority="14" operator="equal">
      <formula>0</formula>
    </cfRule>
  </conditionalFormatting>
  <conditionalFormatting sqref="L56">
    <cfRule type="cellIs" dxfId="47" priority="13" operator="equal">
      <formula>0</formula>
    </cfRule>
  </conditionalFormatting>
  <conditionalFormatting sqref="L2:L3 L58:L1048576">
    <cfRule type="cellIs" dxfId="46" priority="12" operator="equal">
      <formula>0</formula>
    </cfRule>
  </conditionalFormatting>
  <conditionalFormatting sqref="I7:I53 I55">
    <cfRule type="cellIs" dxfId="45" priority="9" operator="equal">
      <formula>0</formula>
    </cfRule>
  </conditionalFormatting>
  <conditionalFormatting sqref="G7:G53 G55">
    <cfRule type="cellIs" dxfId="44" priority="11" operator="equal">
      <formula>0</formula>
    </cfRule>
  </conditionalFormatting>
  <conditionalFormatting sqref="H7:H53 H55">
    <cfRule type="cellIs" dxfId="43" priority="10" operator="equal">
      <formula>0</formula>
    </cfRule>
  </conditionalFormatting>
  <conditionalFormatting sqref="J7:J53 J55">
    <cfRule type="cellIs" dxfId="42" priority="8" operator="equal">
      <formula>0</formula>
    </cfRule>
  </conditionalFormatting>
  <conditionalFormatting sqref="K7:K53 K55">
    <cfRule type="cellIs" dxfId="41" priority="7" operator="equal">
      <formula>0</formula>
    </cfRule>
  </conditionalFormatting>
  <conditionalFormatting sqref="L7:L53 L55">
    <cfRule type="cellIs" dxfId="40" priority="6" operator="equal">
      <formula>0</formula>
    </cfRule>
  </conditionalFormatting>
  <conditionalFormatting sqref="M4">
    <cfRule type="cellIs" dxfId="39" priority="5" operator="equal">
      <formula>0</formula>
    </cfRule>
  </conditionalFormatting>
  <conditionalFormatting sqref="M56">
    <cfRule type="cellIs" dxfId="38" priority="4" operator="equal">
      <formula>0</formula>
    </cfRule>
  </conditionalFormatting>
  <conditionalFormatting sqref="M2:M3 M58:M1048576">
    <cfRule type="cellIs" dxfId="37" priority="3" operator="equal">
      <formula>0</formula>
    </cfRule>
  </conditionalFormatting>
  <conditionalFormatting sqref="M7:M53 M55">
    <cfRule type="cellIs" dxfId="36" priority="2" operator="equal">
      <formula>0</formula>
    </cfRule>
  </conditionalFormatting>
  <conditionalFormatting sqref="A4">
    <cfRule type="cellIs" dxfId="35"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1" orientation="portrait" r:id="rId1"/>
  <headerFooter>
    <oddHeader>&amp;C&amp;G</oddHead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26">
    <tabColor rgb="FFA50021"/>
    <pageSetUpPr fitToPage="1"/>
  </sheetPr>
  <dimension ref="A1:P47"/>
  <sheetViews>
    <sheetView showGridLines="0" workbookViewId="0">
      <selection sqref="A1:M2"/>
    </sheetView>
  </sheetViews>
  <sheetFormatPr defaultColWidth="9.140625" defaultRowHeight="11.25"/>
  <cols>
    <col min="1" max="1" width="9.5703125" style="198" customWidth="1"/>
    <col min="2" max="2" width="10.28515625" style="198" customWidth="1"/>
    <col min="3" max="3" width="6.42578125" style="198" customWidth="1"/>
    <col min="4" max="14" width="6.7109375" style="198" customWidth="1"/>
    <col min="15" max="16" width="10" style="198" bestFit="1" customWidth="1"/>
    <col min="17" max="16384" width="9.140625" style="198"/>
  </cols>
  <sheetData>
    <row r="1" spans="1:16" s="169" customFormat="1" ht="28.5" customHeight="1">
      <c r="A1" s="813" t="s">
        <v>748</v>
      </c>
      <c r="B1" s="813"/>
      <c r="C1" s="813"/>
      <c r="D1" s="813"/>
      <c r="E1" s="813"/>
      <c r="F1" s="813"/>
      <c r="G1" s="813"/>
      <c r="H1" s="813"/>
      <c r="I1" s="813"/>
      <c r="J1" s="813"/>
      <c r="K1" s="813"/>
      <c r="L1" s="813"/>
      <c r="M1" s="813"/>
      <c r="N1" s="813"/>
    </row>
    <row r="2" spans="1:16" s="195" customFormat="1" ht="14.25" customHeight="1">
      <c r="A2" s="45"/>
      <c r="B2" s="196"/>
      <c r="C2" s="45"/>
      <c r="D2" s="45"/>
      <c r="E2" s="149"/>
      <c r="F2" s="149"/>
      <c r="G2" s="149"/>
      <c r="H2" s="149"/>
      <c r="I2" s="149"/>
      <c r="J2" s="149"/>
      <c r="K2" s="149"/>
      <c r="L2" s="149"/>
      <c r="M2" s="149"/>
      <c r="N2" s="149"/>
    </row>
    <row r="3" spans="1:16" s="195" customFormat="1" ht="14.25" customHeight="1">
      <c r="A3" s="149" t="s">
        <v>14</v>
      </c>
      <c r="B3" s="45"/>
      <c r="C3" s="336"/>
      <c r="D3" s="312"/>
      <c r="E3" s="313"/>
      <c r="F3" s="313"/>
      <c r="G3" s="313"/>
      <c r="H3" s="149"/>
      <c r="I3" s="149"/>
      <c r="J3" s="149"/>
      <c r="K3" s="149"/>
      <c r="L3" s="149"/>
      <c r="M3" s="149"/>
      <c r="N3" s="149"/>
    </row>
    <row r="4" spans="1:16" s="197" customFormat="1" ht="28.5" customHeight="1" thickBot="1">
      <c r="A4" s="163"/>
      <c r="B4" s="163"/>
      <c r="C4" s="163"/>
      <c r="D4" s="163">
        <v>2013</v>
      </c>
      <c r="E4" s="163">
        <v>2014</v>
      </c>
      <c r="F4" s="163">
        <v>2015</v>
      </c>
      <c r="G4" s="163">
        <v>2016</v>
      </c>
      <c r="H4" s="163">
        <v>2017</v>
      </c>
      <c r="I4" s="163">
        <v>2018</v>
      </c>
      <c r="J4" s="163">
        <v>2019</v>
      </c>
      <c r="K4" s="163">
        <v>2020</v>
      </c>
      <c r="L4" s="163">
        <v>2021</v>
      </c>
      <c r="M4" s="163">
        <v>2022</v>
      </c>
      <c r="N4" s="163">
        <v>2023</v>
      </c>
    </row>
    <row r="5" spans="1:16" s="148" customFormat="1" ht="16.5" customHeight="1" thickTop="1">
      <c r="A5" s="822" t="s">
        <v>12</v>
      </c>
      <c r="B5" s="823" t="s">
        <v>188</v>
      </c>
      <c r="C5" s="433" t="s">
        <v>181</v>
      </c>
      <c r="D5" s="410">
        <v>912.18</v>
      </c>
      <c r="E5" s="410">
        <v>909.49</v>
      </c>
      <c r="F5" s="410">
        <v>913.93</v>
      </c>
      <c r="G5" s="410">
        <v>924.94</v>
      </c>
      <c r="H5" s="410">
        <v>943</v>
      </c>
      <c r="I5" s="411">
        <v>970.42</v>
      </c>
      <c r="J5" s="411">
        <v>1005.09</v>
      </c>
      <c r="K5" s="412">
        <v>1041.99</v>
      </c>
      <c r="L5" s="412">
        <v>1082.77</v>
      </c>
      <c r="M5" s="412">
        <v>1143.45</v>
      </c>
      <c r="N5" s="412">
        <v>1219.8699999999999</v>
      </c>
    </row>
    <row r="6" spans="1:16" s="148" customFormat="1" ht="16.5" customHeight="1">
      <c r="A6" s="815"/>
      <c r="B6" s="818"/>
      <c r="C6" s="432" t="s">
        <v>182</v>
      </c>
      <c r="D6" s="413">
        <v>641.92999999999995</v>
      </c>
      <c r="E6" s="413">
        <v>641.92999999999995</v>
      </c>
      <c r="F6" s="413">
        <v>650</v>
      </c>
      <c r="G6" s="413">
        <v>650</v>
      </c>
      <c r="H6" s="413">
        <v>660</v>
      </c>
      <c r="I6" s="414">
        <v>690</v>
      </c>
      <c r="J6" s="414">
        <v>720</v>
      </c>
      <c r="K6" s="415">
        <v>750</v>
      </c>
      <c r="L6" s="415">
        <v>786</v>
      </c>
      <c r="M6" s="415">
        <v>816.21</v>
      </c>
      <c r="N6" s="415">
        <v>880</v>
      </c>
      <c r="O6" s="651">
        <f>+E5/E7*100</f>
        <v>83.194445714912959</v>
      </c>
      <c r="P6" s="651">
        <f>+E6/E8*100</f>
        <v>81.567745460552217</v>
      </c>
    </row>
    <row r="7" spans="1:16" s="148" customFormat="1" ht="16.5" customHeight="1">
      <c r="A7" s="815"/>
      <c r="B7" s="818" t="s">
        <v>189</v>
      </c>
      <c r="C7" s="432" t="s">
        <v>183</v>
      </c>
      <c r="D7" s="413">
        <v>1093.82</v>
      </c>
      <c r="E7" s="413">
        <v>1093.21</v>
      </c>
      <c r="F7" s="413">
        <v>1096.6600000000001</v>
      </c>
      <c r="G7" s="413">
        <v>1107.8599999999999</v>
      </c>
      <c r="H7" s="413">
        <v>1133.3399999999999</v>
      </c>
      <c r="I7" s="414">
        <v>1170.25</v>
      </c>
      <c r="J7" s="414">
        <v>1209.94</v>
      </c>
      <c r="K7" s="415">
        <v>1250.75</v>
      </c>
      <c r="L7" s="415">
        <v>1294.1099999999999</v>
      </c>
      <c r="M7" s="415">
        <v>1368</v>
      </c>
      <c r="N7" s="415">
        <v>1466.66</v>
      </c>
    </row>
    <row r="8" spans="1:16" s="148" customFormat="1" ht="16.5" customHeight="1">
      <c r="A8" s="815"/>
      <c r="B8" s="818"/>
      <c r="C8" s="432" t="s">
        <v>184</v>
      </c>
      <c r="D8" s="413">
        <v>785.45</v>
      </c>
      <c r="E8" s="413">
        <v>786.99</v>
      </c>
      <c r="F8" s="413">
        <v>790.03</v>
      </c>
      <c r="G8" s="413">
        <v>800</v>
      </c>
      <c r="H8" s="413">
        <v>822.95</v>
      </c>
      <c r="I8" s="414">
        <v>854.8</v>
      </c>
      <c r="J8" s="414">
        <v>892.01</v>
      </c>
      <c r="K8" s="415">
        <v>926.14</v>
      </c>
      <c r="L8" s="415">
        <v>962.2</v>
      </c>
      <c r="M8" s="415">
        <v>1017.5</v>
      </c>
      <c r="N8" s="415">
        <v>1100.17</v>
      </c>
    </row>
    <row r="9" spans="1:16" s="315" customFormat="1" ht="16.5" customHeight="1">
      <c r="A9" s="821"/>
      <c r="B9" s="820" t="s">
        <v>185</v>
      </c>
      <c r="C9" s="820"/>
      <c r="D9" s="419">
        <v>1890511</v>
      </c>
      <c r="E9" s="419">
        <v>1928307</v>
      </c>
      <c r="F9" s="419">
        <v>1991131</v>
      </c>
      <c r="G9" s="419">
        <v>2054911</v>
      </c>
      <c r="H9" s="419">
        <v>2131943</v>
      </c>
      <c r="I9" s="420">
        <v>2205449</v>
      </c>
      <c r="J9" s="420">
        <v>2232400</v>
      </c>
      <c r="K9" s="421">
        <v>2164118</v>
      </c>
      <c r="L9" s="421">
        <v>2200594</v>
      </c>
      <c r="M9" s="421">
        <v>2376115</v>
      </c>
      <c r="N9" s="421">
        <v>2467600</v>
      </c>
      <c r="P9" s="548"/>
    </row>
    <row r="10" spans="1:16" s="148" customFormat="1" ht="16.5" customHeight="1">
      <c r="A10" s="814" t="s">
        <v>190</v>
      </c>
      <c r="B10" s="817" t="s">
        <v>186</v>
      </c>
      <c r="C10" s="431" t="s">
        <v>181</v>
      </c>
      <c r="D10" s="416">
        <v>576.25</v>
      </c>
      <c r="E10" s="416">
        <v>583.58000000000004</v>
      </c>
      <c r="F10" s="416">
        <v>592.89</v>
      </c>
      <c r="G10" s="416">
        <v>608.30999999999995</v>
      </c>
      <c r="H10" s="416">
        <v>622.04999999999995</v>
      </c>
      <c r="I10" s="417">
        <v>647.99</v>
      </c>
      <c r="J10" s="417">
        <v>668.91</v>
      </c>
      <c r="K10" s="418">
        <v>696.57</v>
      </c>
      <c r="L10" s="418">
        <v>726.29</v>
      </c>
      <c r="M10" s="418">
        <v>766.17</v>
      </c>
      <c r="N10" s="418">
        <v>821.44</v>
      </c>
    </row>
    <row r="11" spans="1:16" s="148" customFormat="1" ht="16.5" customHeight="1">
      <c r="A11" s="815"/>
      <c r="B11" s="818"/>
      <c r="C11" s="432" t="s">
        <v>182</v>
      </c>
      <c r="D11" s="413">
        <v>512.5</v>
      </c>
      <c r="E11" s="413">
        <v>519.29999999999995</v>
      </c>
      <c r="F11" s="413">
        <v>525.99</v>
      </c>
      <c r="G11" s="413">
        <v>540</v>
      </c>
      <c r="H11" s="413">
        <v>560</v>
      </c>
      <c r="I11" s="414">
        <v>585</v>
      </c>
      <c r="J11" s="414">
        <v>607</v>
      </c>
      <c r="K11" s="415">
        <v>635</v>
      </c>
      <c r="L11" s="415">
        <v>666</v>
      </c>
      <c r="M11" s="415">
        <v>705</v>
      </c>
      <c r="N11" s="415">
        <v>764</v>
      </c>
    </row>
    <row r="12" spans="1:16" s="148" customFormat="1" ht="16.5" customHeight="1">
      <c r="A12" s="815"/>
      <c r="B12" s="818" t="s">
        <v>187</v>
      </c>
      <c r="C12" s="432" t="s">
        <v>183</v>
      </c>
      <c r="D12" s="413">
        <v>677.48</v>
      </c>
      <c r="E12" s="413">
        <v>685.6</v>
      </c>
      <c r="F12" s="413">
        <v>700.54</v>
      </c>
      <c r="G12" s="413">
        <v>711.01</v>
      </c>
      <c r="H12" s="413">
        <v>730.56</v>
      </c>
      <c r="I12" s="414">
        <v>767.66</v>
      </c>
      <c r="J12" s="414">
        <v>789.07</v>
      </c>
      <c r="K12" s="415">
        <v>817.39</v>
      </c>
      <c r="L12" s="415">
        <v>849.53</v>
      </c>
      <c r="M12" s="415">
        <v>892.87</v>
      </c>
      <c r="N12" s="415">
        <v>968.17</v>
      </c>
    </row>
    <row r="13" spans="1:16" s="148" customFormat="1" ht="16.5" customHeight="1">
      <c r="A13" s="815"/>
      <c r="B13" s="818"/>
      <c r="C13" s="432" t="s">
        <v>184</v>
      </c>
      <c r="D13" s="413">
        <v>611.9</v>
      </c>
      <c r="E13" s="413">
        <v>625</v>
      </c>
      <c r="F13" s="413">
        <v>631.25</v>
      </c>
      <c r="G13" s="413">
        <v>642</v>
      </c>
      <c r="H13" s="413">
        <v>670.93</v>
      </c>
      <c r="I13" s="414">
        <v>701.5</v>
      </c>
      <c r="J13" s="414">
        <v>728.52</v>
      </c>
      <c r="K13" s="415">
        <v>753</v>
      </c>
      <c r="L13" s="415">
        <v>780.25</v>
      </c>
      <c r="M13" s="415">
        <v>825</v>
      </c>
      <c r="N13" s="415">
        <v>893.11</v>
      </c>
    </row>
    <row r="14" spans="1:16" s="315" customFormat="1" ht="16.5" customHeight="1">
      <c r="A14" s="821"/>
      <c r="B14" s="820" t="s">
        <v>185</v>
      </c>
      <c r="C14" s="820"/>
      <c r="D14" s="419">
        <v>10876</v>
      </c>
      <c r="E14" s="419">
        <v>10057</v>
      </c>
      <c r="F14" s="419">
        <v>8484</v>
      </c>
      <c r="G14" s="419">
        <v>8353</v>
      </c>
      <c r="H14" s="419">
        <v>8132</v>
      </c>
      <c r="I14" s="420">
        <v>7494</v>
      </c>
      <c r="J14" s="420">
        <v>7345</v>
      </c>
      <c r="K14" s="421">
        <v>6405</v>
      </c>
      <c r="L14" s="421">
        <v>6063</v>
      </c>
      <c r="M14" s="421">
        <v>5907</v>
      </c>
      <c r="N14" s="421">
        <v>6162</v>
      </c>
    </row>
    <row r="15" spans="1:16" s="148" customFormat="1" ht="16.5" customHeight="1">
      <c r="A15" s="814" t="s">
        <v>191</v>
      </c>
      <c r="B15" s="817" t="s">
        <v>188</v>
      </c>
      <c r="C15" s="431" t="s">
        <v>181</v>
      </c>
      <c r="D15" s="416">
        <v>679.13</v>
      </c>
      <c r="E15" s="416">
        <v>681.33</v>
      </c>
      <c r="F15" s="416">
        <v>685.64</v>
      </c>
      <c r="G15" s="416">
        <v>696.14</v>
      </c>
      <c r="H15" s="416">
        <v>714.43</v>
      </c>
      <c r="I15" s="417">
        <v>738.36</v>
      </c>
      <c r="J15" s="417">
        <v>763.83</v>
      </c>
      <c r="K15" s="418">
        <v>791.06</v>
      </c>
      <c r="L15" s="418">
        <v>822.51</v>
      </c>
      <c r="M15" s="418">
        <v>866.98</v>
      </c>
      <c r="N15" s="418">
        <v>927.83</v>
      </c>
    </row>
    <row r="16" spans="1:16" s="148" customFormat="1" ht="16.5" customHeight="1">
      <c r="A16" s="815"/>
      <c r="B16" s="818"/>
      <c r="C16" s="432" t="s">
        <v>182</v>
      </c>
      <c r="D16" s="413">
        <v>566.64</v>
      </c>
      <c r="E16" s="413">
        <v>569.73</v>
      </c>
      <c r="F16" s="413">
        <v>573</v>
      </c>
      <c r="G16" s="413">
        <v>580</v>
      </c>
      <c r="H16" s="413">
        <v>600</v>
      </c>
      <c r="I16" s="414">
        <v>620</v>
      </c>
      <c r="J16" s="414">
        <v>642</v>
      </c>
      <c r="K16" s="415">
        <v>667.22</v>
      </c>
      <c r="L16" s="415">
        <v>700</v>
      </c>
      <c r="M16" s="415">
        <v>746</v>
      </c>
      <c r="N16" s="415">
        <v>800</v>
      </c>
    </row>
    <row r="17" spans="1:16" s="148" customFormat="1" ht="16.5" customHeight="1">
      <c r="A17" s="815"/>
      <c r="B17" s="818" t="s">
        <v>189</v>
      </c>
      <c r="C17" s="432" t="s">
        <v>183</v>
      </c>
      <c r="D17" s="413">
        <v>817.17</v>
      </c>
      <c r="E17" s="413">
        <v>821.84</v>
      </c>
      <c r="F17" s="413">
        <v>826.46</v>
      </c>
      <c r="G17" s="413">
        <v>838.61</v>
      </c>
      <c r="H17" s="413">
        <v>863.74</v>
      </c>
      <c r="I17" s="414">
        <v>895.35</v>
      </c>
      <c r="J17" s="414">
        <v>926.56</v>
      </c>
      <c r="K17" s="415">
        <v>955.61</v>
      </c>
      <c r="L17" s="415">
        <v>990.55</v>
      </c>
      <c r="M17" s="415">
        <v>1044.03</v>
      </c>
      <c r="N17" s="415">
        <v>1122.23</v>
      </c>
    </row>
    <row r="18" spans="1:16" s="148" customFormat="1" ht="16.5" customHeight="1">
      <c r="A18" s="815"/>
      <c r="B18" s="818"/>
      <c r="C18" s="432" t="s">
        <v>184</v>
      </c>
      <c r="D18" s="413">
        <v>681.74</v>
      </c>
      <c r="E18" s="413">
        <v>686.25</v>
      </c>
      <c r="F18" s="413">
        <v>690</v>
      </c>
      <c r="G18" s="413">
        <v>699.11</v>
      </c>
      <c r="H18" s="413">
        <v>722.52</v>
      </c>
      <c r="I18" s="414">
        <v>752</v>
      </c>
      <c r="J18" s="414">
        <v>783.62</v>
      </c>
      <c r="K18" s="415">
        <v>810.23</v>
      </c>
      <c r="L18" s="415">
        <v>845.4</v>
      </c>
      <c r="M18" s="415">
        <v>891.6</v>
      </c>
      <c r="N18" s="415">
        <v>964</v>
      </c>
    </row>
    <row r="19" spans="1:16" s="315" customFormat="1" ht="16.5" customHeight="1">
      <c r="A19" s="821"/>
      <c r="B19" s="820" t="s">
        <v>185</v>
      </c>
      <c r="C19" s="820"/>
      <c r="D19" s="419">
        <v>1028783</v>
      </c>
      <c r="E19" s="419">
        <v>1028192</v>
      </c>
      <c r="F19" s="419">
        <v>1031891</v>
      </c>
      <c r="G19" s="419">
        <v>1036344</v>
      </c>
      <c r="H19" s="419">
        <v>1043381</v>
      </c>
      <c r="I19" s="420">
        <v>1039158</v>
      </c>
      <c r="J19" s="420">
        <v>1007442</v>
      </c>
      <c r="K19" s="421">
        <v>943206</v>
      </c>
      <c r="L19" s="421">
        <v>923652</v>
      </c>
      <c r="M19" s="421">
        <v>953672</v>
      </c>
      <c r="N19" s="421">
        <v>946247</v>
      </c>
    </row>
    <row r="20" spans="1:16" s="148" customFormat="1" ht="16.5" customHeight="1">
      <c r="A20" s="814" t="s">
        <v>196</v>
      </c>
      <c r="B20" s="817" t="s">
        <v>188</v>
      </c>
      <c r="C20" s="431" t="s">
        <v>181</v>
      </c>
      <c r="D20" s="416">
        <v>893.14</v>
      </c>
      <c r="E20" s="416">
        <v>881.23</v>
      </c>
      <c r="F20" s="416">
        <v>873.9</v>
      </c>
      <c r="G20" s="416">
        <v>872.76</v>
      </c>
      <c r="H20" s="416">
        <v>878.03</v>
      </c>
      <c r="I20" s="417">
        <v>891.3</v>
      </c>
      <c r="J20" s="417">
        <v>910.03</v>
      </c>
      <c r="K20" s="418">
        <v>929.85</v>
      </c>
      <c r="L20" s="418">
        <v>955.65</v>
      </c>
      <c r="M20" s="418">
        <v>997.48</v>
      </c>
      <c r="N20" s="418">
        <v>1057.23</v>
      </c>
    </row>
    <row r="21" spans="1:16" s="148" customFormat="1" ht="16.5" customHeight="1">
      <c r="A21" s="815"/>
      <c r="B21" s="818"/>
      <c r="C21" s="432" t="s">
        <v>182</v>
      </c>
      <c r="D21" s="413">
        <v>678.75</v>
      </c>
      <c r="E21" s="413">
        <v>666.41</v>
      </c>
      <c r="F21" s="413">
        <v>651.55999999999995</v>
      </c>
      <c r="G21" s="413">
        <v>651.55999999999995</v>
      </c>
      <c r="H21" s="413">
        <v>658.97</v>
      </c>
      <c r="I21" s="414">
        <v>680</v>
      </c>
      <c r="J21" s="414">
        <v>700</v>
      </c>
      <c r="K21" s="415">
        <v>720</v>
      </c>
      <c r="L21" s="415">
        <v>750</v>
      </c>
      <c r="M21" s="415">
        <v>798.57</v>
      </c>
      <c r="N21" s="415">
        <v>850</v>
      </c>
    </row>
    <row r="22" spans="1:16" s="148" customFormat="1" ht="16.5" customHeight="1">
      <c r="A22" s="815"/>
      <c r="B22" s="818" t="s">
        <v>189</v>
      </c>
      <c r="C22" s="432" t="s">
        <v>183</v>
      </c>
      <c r="D22" s="413">
        <v>1099.8800000000001</v>
      </c>
      <c r="E22" s="413">
        <v>1086.31</v>
      </c>
      <c r="F22" s="413">
        <v>1072.77</v>
      </c>
      <c r="G22" s="413">
        <v>1068.6500000000001</v>
      </c>
      <c r="H22" s="413">
        <v>1078.5899999999999</v>
      </c>
      <c r="I22" s="414">
        <v>1097.03</v>
      </c>
      <c r="J22" s="414">
        <v>1117.3800000000001</v>
      </c>
      <c r="K22" s="415">
        <v>1138.6300000000001</v>
      </c>
      <c r="L22" s="415">
        <v>1163.52</v>
      </c>
      <c r="M22" s="415">
        <v>1217.57</v>
      </c>
      <c r="N22" s="415">
        <v>1297.5899999999999</v>
      </c>
    </row>
    <row r="23" spans="1:16" s="148" customFormat="1" ht="16.5" customHeight="1">
      <c r="A23" s="815"/>
      <c r="B23" s="818"/>
      <c r="C23" s="432" t="s">
        <v>184</v>
      </c>
      <c r="D23" s="413">
        <v>828.73</v>
      </c>
      <c r="E23" s="413">
        <v>817.76</v>
      </c>
      <c r="F23" s="413">
        <v>807.1</v>
      </c>
      <c r="G23" s="413">
        <v>807.17</v>
      </c>
      <c r="H23" s="413">
        <v>823.5</v>
      </c>
      <c r="I23" s="414">
        <v>846.69</v>
      </c>
      <c r="J23" s="414">
        <v>872.97</v>
      </c>
      <c r="K23" s="415">
        <v>900.99</v>
      </c>
      <c r="L23" s="415">
        <v>927.28</v>
      </c>
      <c r="M23" s="415">
        <v>977.7</v>
      </c>
      <c r="N23" s="415">
        <v>1050.8</v>
      </c>
    </row>
    <row r="24" spans="1:16" s="315" customFormat="1" ht="16.5" customHeight="1">
      <c r="A24" s="821"/>
      <c r="B24" s="820" t="s">
        <v>185</v>
      </c>
      <c r="C24" s="820"/>
      <c r="D24" s="419">
        <v>478953</v>
      </c>
      <c r="E24" s="419">
        <v>502817</v>
      </c>
      <c r="F24" s="419">
        <v>537397</v>
      </c>
      <c r="G24" s="419">
        <v>574341</v>
      </c>
      <c r="H24" s="419">
        <v>614973</v>
      </c>
      <c r="I24" s="420">
        <v>661451</v>
      </c>
      <c r="J24" s="420">
        <v>692025</v>
      </c>
      <c r="K24" s="421">
        <v>678980</v>
      </c>
      <c r="L24" s="421">
        <v>708685</v>
      </c>
      <c r="M24" s="421">
        <v>796744</v>
      </c>
      <c r="N24" s="421">
        <v>861654</v>
      </c>
      <c r="O24" s="548">
        <f>+N24+N29</f>
        <v>1507085</v>
      </c>
      <c r="P24" s="315">
        <f>+O24/N9*100</f>
        <v>61.074931107148643</v>
      </c>
    </row>
    <row r="25" spans="1:16" s="148" customFormat="1" ht="16.5" customHeight="1">
      <c r="A25" s="814" t="s">
        <v>197</v>
      </c>
      <c r="B25" s="817" t="s">
        <v>188</v>
      </c>
      <c r="C25" s="431" t="s">
        <v>181</v>
      </c>
      <c r="D25" s="416">
        <v>1598.23</v>
      </c>
      <c r="E25" s="416">
        <v>1566.87</v>
      </c>
      <c r="F25" s="416">
        <v>1550.64</v>
      </c>
      <c r="G25" s="416">
        <v>1550.37</v>
      </c>
      <c r="H25" s="416">
        <v>1551.97</v>
      </c>
      <c r="I25" s="417">
        <v>1571.08</v>
      </c>
      <c r="J25" s="417">
        <v>1604.7</v>
      </c>
      <c r="K25" s="418">
        <v>1637.25</v>
      </c>
      <c r="L25" s="418">
        <v>1680.39</v>
      </c>
      <c r="M25" s="418">
        <v>1767.51</v>
      </c>
      <c r="N25" s="418">
        <v>1870.81</v>
      </c>
    </row>
    <row r="26" spans="1:16" s="148" customFormat="1" ht="16.5" customHeight="1">
      <c r="A26" s="815"/>
      <c r="B26" s="818"/>
      <c r="C26" s="432" t="s">
        <v>182</v>
      </c>
      <c r="D26" s="413">
        <v>1228</v>
      </c>
      <c r="E26" s="413">
        <v>1200</v>
      </c>
      <c r="F26" s="413">
        <v>1201</v>
      </c>
      <c r="G26" s="413">
        <v>1201</v>
      </c>
      <c r="H26" s="413">
        <v>1201</v>
      </c>
      <c r="I26" s="414">
        <v>1201</v>
      </c>
      <c r="J26" s="414">
        <v>1235</v>
      </c>
      <c r="K26" s="415">
        <v>1260.32</v>
      </c>
      <c r="L26" s="415">
        <v>1300</v>
      </c>
      <c r="M26" s="415">
        <v>1376</v>
      </c>
      <c r="N26" s="415">
        <v>1452.5</v>
      </c>
    </row>
    <row r="27" spans="1:16" s="148" customFormat="1" ht="16.5" customHeight="1">
      <c r="A27" s="815"/>
      <c r="B27" s="818" t="s">
        <v>189</v>
      </c>
      <c r="C27" s="432" t="s">
        <v>183</v>
      </c>
      <c r="D27" s="413">
        <v>1871.71</v>
      </c>
      <c r="E27" s="413">
        <v>1841.04</v>
      </c>
      <c r="F27" s="413">
        <v>1820.24</v>
      </c>
      <c r="G27" s="413">
        <v>1815.28</v>
      </c>
      <c r="H27" s="413">
        <v>1823.4</v>
      </c>
      <c r="I27" s="414">
        <v>1854.84</v>
      </c>
      <c r="J27" s="414">
        <v>1889.56</v>
      </c>
      <c r="K27" s="415">
        <v>1926.07</v>
      </c>
      <c r="L27" s="415">
        <v>1969.18</v>
      </c>
      <c r="M27" s="415">
        <v>2072.86</v>
      </c>
      <c r="N27" s="415">
        <v>2204.65</v>
      </c>
    </row>
    <row r="28" spans="1:16" s="148" customFormat="1" ht="16.5" customHeight="1">
      <c r="A28" s="815"/>
      <c r="B28" s="818"/>
      <c r="C28" s="432" t="s">
        <v>184</v>
      </c>
      <c r="D28" s="413">
        <v>1429.7</v>
      </c>
      <c r="E28" s="413">
        <v>1402.52</v>
      </c>
      <c r="F28" s="413">
        <v>1385.74</v>
      </c>
      <c r="G28" s="413">
        <v>1380</v>
      </c>
      <c r="H28" s="413">
        <v>1388.06</v>
      </c>
      <c r="I28" s="414">
        <v>1425.49</v>
      </c>
      <c r="J28" s="414">
        <v>1470.43</v>
      </c>
      <c r="K28" s="415">
        <v>1508.15</v>
      </c>
      <c r="L28" s="415">
        <v>1545.1</v>
      </c>
      <c r="M28" s="415">
        <v>1621.95</v>
      </c>
      <c r="N28" s="415">
        <v>1734.72</v>
      </c>
    </row>
    <row r="29" spans="1:16" s="315" customFormat="1" ht="16.5" customHeight="1">
      <c r="A29" s="821"/>
      <c r="B29" s="820" t="s">
        <v>185</v>
      </c>
      <c r="C29" s="820"/>
      <c r="D29" s="419">
        <v>368066</v>
      </c>
      <c r="E29" s="419">
        <v>383510</v>
      </c>
      <c r="F29" s="419">
        <v>408683</v>
      </c>
      <c r="G29" s="419">
        <v>431481</v>
      </c>
      <c r="H29" s="419">
        <v>461446</v>
      </c>
      <c r="I29" s="420">
        <v>492822</v>
      </c>
      <c r="J29" s="420">
        <v>519903</v>
      </c>
      <c r="K29" s="421">
        <v>529942</v>
      </c>
      <c r="L29" s="421">
        <v>557063</v>
      </c>
      <c r="M29" s="421">
        <v>613051</v>
      </c>
      <c r="N29" s="421">
        <v>645431</v>
      </c>
    </row>
    <row r="30" spans="1:16" s="148" customFormat="1" ht="16.5" customHeight="1">
      <c r="A30" s="814" t="s">
        <v>13</v>
      </c>
      <c r="B30" s="817" t="s">
        <v>188</v>
      </c>
      <c r="C30" s="431" t="s">
        <v>181</v>
      </c>
      <c r="D30" s="416">
        <v>917.22</v>
      </c>
      <c r="E30" s="416">
        <v>900.34</v>
      </c>
      <c r="F30" s="416">
        <v>824.37</v>
      </c>
      <c r="G30" s="416">
        <v>895.27</v>
      </c>
      <c r="H30" s="416">
        <v>954.09</v>
      </c>
      <c r="I30" s="417">
        <v>942.93</v>
      </c>
      <c r="J30" s="417">
        <v>929.22</v>
      </c>
      <c r="K30" s="418">
        <v>967.95</v>
      </c>
      <c r="L30" s="418">
        <v>1031</v>
      </c>
      <c r="M30" s="418">
        <v>1083.75</v>
      </c>
      <c r="N30" s="418">
        <v>1071.4000000000001</v>
      </c>
    </row>
    <row r="31" spans="1:16" s="148" customFormat="1" ht="16.5" customHeight="1">
      <c r="A31" s="815"/>
      <c r="B31" s="818"/>
      <c r="C31" s="432" t="s">
        <v>182</v>
      </c>
      <c r="D31" s="413">
        <v>600</v>
      </c>
      <c r="E31" s="413">
        <v>600</v>
      </c>
      <c r="F31" s="413">
        <v>550</v>
      </c>
      <c r="G31" s="413">
        <v>560</v>
      </c>
      <c r="H31" s="413">
        <v>591.54999999999995</v>
      </c>
      <c r="I31" s="414">
        <v>600</v>
      </c>
      <c r="J31" s="414">
        <v>615</v>
      </c>
      <c r="K31" s="415">
        <v>647.57000000000005</v>
      </c>
      <c r="L31" s="415">
        <v>700</v>
      </c>
      <c r="M31" s="415">
        <v>750</v>
      </c>
      <c r="N31" s="415">
        <v>775</v>
      </c>
    </row>
    <row r="32" spans="1:16" s="148" customFormat="1" ht="16.5" customHeight="1">
      <c r="A32" s="815"/>
      <c r="B32" s="818" t="s">
        <v>189</v>
      </c>
      <c r="C32" s="432" t="s">
        <v>183</v>
      </c>
      <c r="D32" s="413">
        <v>1072.5899999999999</v>
      </c>
      <c r="E32" s="413">
        <v>1036.97</v>
      </c>
      <c r="F32" s="413">
        <v>946.93</v>
      </c>
      <c r="G32" s="413">
        <v>1022.25</v>
      </c>
      <c r="H32" s="413">
        <v>1089.48</v>
      </c>
      <c r="I32" s="414">
        <v>1112.81</v>
      </c>
      <c r="J32" s="414">
        <v>1085.9000000000001</v>
      </c>
      <c r="K32" s="415">
        <v>1145.42</v>
      </c>
      <c r="L32" s="415">
        <v>1210.72</v>
      </c>
      <c r="M32" s="415">
        <v>1293.6400000000001</v>
      </c>
      <c r="N32" s="415">
        <v>1260.92</v>
      </c>
    </row>
    <row r="33" spans="1:15" s="148" customFormat="1" ht="16.5" customHeight="1">
      <c r="A33" s="815"/>
      <c r="B33" s="818"/>
      <c r="C33" s="432" t="s">
        <v>184</v>
      </c>
      <c r="D33" s="413">
        <v>728.71</v>
      </c>
      <c r="E33" s="413">
        <v>700</v>
      </c>
      <c r="F33" s="413">
        <v>650</v>
      </c>
      <c r="G33" s="413">
        <v>662.5</v>
      </c>
      <c r="H33" s="413">
        <v>700</v>
      </c>
      <c r="I33" s="414">
        <v>750.96</v>
      </c>
      <c r="J33" s="414">
        <v>742</v>
      </c>
      <c r="K33" s="415">
        <v>785.36</v>
      </c>
      <c r="L33" s="415">
        <v>850</v>
      </c>
      <c r="M33" s="415">
        <v>908.5</v>
      </c>
      <c r="N33" s="415">
        <v>930.01</v>
      </c>
    </row>
    <row r="34" spans="1:15" s="315" customFormat="1" ht="16.5" customHeight="1">
      <c r="A34" s="816"/>
      <c r="B34" s="819" t="s">
        <v>185</v>
      </c>
      <c r="C34" s="819"/>
      <c r="D34" s="422">
        <v>3833</v>
      </c>
      <c r="E34" s="422">
        <v>3731</v>
      </c>
      <c r="F34" s="422">
        <v>4676</v>
      </c>
      <c r="G34" s="422">
        <v>4392</v>
      </c>
      <c r="H34" s="422">
        <v>4011</v>
      </c>
      <c r="I34" s="423">
        <v>4524</v>
      </c>
      <c r="J34" s="423">
        <v>5685</v>
      </c>
      <c r="K34" s="424">
        <v>5585</v>
      </c>
      <c r="L34" s="424">
        <v>5131</v>
      </c>
      <c r="M34" s="424">
        <v>6741</v>
      </c>
      <c r="N34" s="424">
        <v>8106</v>
      </c>
    </row>
    <row r="35" spans="1:15" s="71" customFormat="1">
      <c r="A35" s="314" t="s">
        <v>138</v>
      </c>
      <c r="B35" s="314"/>
      <c r="C35" s="314"/>
      <c r="D35" s="314"/>
      <c r="E35" s="314"/>
      <c r="F35" s="314"/>
      <c r="G35" s="314"/>
      <c r="H35" s="314"/>
      <c r="I35" s="314"/>
      <c r="J35" s="314"/>
      <c r="K35" s="314"/>
      <c r="L35" s="314"/>
      <c r="M35" s="314"/>
      <c r="N35" s="314"/>
    </row>
    <row r="36" spans="1:15" s="316" customFormat="1" ht="11.25" customHeight="1">
      <c r="A36" s="807" t="s">
        <v>202</v>
      </c>
      <c r="B36" s="807"/>
      <c r="C36" s="807"/>
      <c r="D36" s="807"/>
      <c r="E36" s="807"/>
      <c r="F36" s="807"/>
      <c r="G36" s="807"/>
      <c r="H36" s="807"/>
      <c r="I36" s="807"/>
      <c r="J36" s="807"/>
      <c r="K36" s="807"/>
      <c r="L36" s="807"/>
      <c r="M36" s="807"/>
      <c r="N36" s="807"/>
    </row>
    <row r="37" spans="1:15" s="316" customFormat="1" ht="13.5" customHeight="1">
      <c r="A37" s="807" t="s">
        <v>198</v>
      </c>
      <c r="B37" s="807"/>
      <c r="C37" s="807"/>
      <c r="D37" s="807"/>
      <c r="E37" s="807"/>
      <c r="F37" s="807"/>
      <c r="G37" s="807"/>
      <c r="H37" s="807"/>
      <c r="I37" s="807"/>
      <c r="J37" s="807"/>
      <c r="K37" s="807"/>
      <c r="L37" s="807"/>
      <c r="M37" s="807"/>
      <c r="N37" s="807"/>
    </row>
    <row r="38" spans="1:15" s="316" customFormat="1">
      <c r="D38" s="317"/>
      <c r="E38" s="317"/>
      <c r="F38" s="317"/>
      <c r="G38" s="317"/>
    </row>
    <row r="39" spans="1:15">
      <c r="A39" s="316"/>
      <c r="B39" s="316"/>
      <c r="C39" s="316"/>
      <c r="D39" s="318"/>
      <c r="E39" s="318"/>
      <c r="F39" s="318"/>
      <c r="G39" s="318"/>
      <c r="H39" s="318"/>
      <c r="I39" s="318"/>
      <c r="J39" s="318"/>
      <c r="K39" s="318"/>
      <c r="L39" s="318"/>
      <c r="M39" s="318"/>
      <c r="N39" s="318"/>
      <c r="O39" s="316"/>
    </row>
    <row r="43" spans="1:15">
      <c r="D43" s="319"/>
      <c r="E43" s="319"/>
      <c r="F43" s="319"/>
      <c r="G43" s="319"/>
      <c r="H43" s="319"/>
      <c r="I43" s="319"/>
      <c r="J43" s="319"/>
      <c r="K43" s="319"/>
      <c r="L43" s="319"/>
      <c r="M43" s="319"/>
      <c r="N43" s="319"/>
    </row>
    <row r="44" spans="1:15">
      <c r="D44" s="319"/>
      <c r="E44" s="319"/>
      <c r="F44" s="319"/>
      <c r="G44" s="319"/>
      <c r="H44" s="319"/>
      <c r="I44" s="319"/>
      <c r="J44" s="319"/>
      <c r="K44" s="319"/>
      <c r="L44" s="319"/>
      <c r="M44" s="319"/>
      <c r="N44" s="319"/>
    </row>
    <row r="45" spans="1:15">
      <c r="D45" s="319"/>
      <c r="E45" s="319"/>
      <c r="F45" s="319"/>
      <c r="G45" s="319"/>
      <c r="H45" s="319"/>
      <c r="I45" s="319"/>
      <c r="J45" s="319"/>
      <c r="K45" s="319"/>
      <c r="L45" s="319"/>
      <c r="M45" s="319"/>
      <c r="N45" s="319"/>
    </row>
    <row r="46" spans="1:15">
      <c r="D46" s="319"/>
      <c r="E46" s="319"/>
      <c r="F46" s="319"/>
      <c r="G46" s="319"/>
      <c r="H46" s="319"/>
      <c r="I46" s="319"/>
      <c r="J46" s="319"/>
      <c r="K46" s="319"/>
      <c r="L46" s="319"/>
      <c r="M46" s="319"/>
      <c r="N46" s="319"/>
    </row>
    <row r="47" spans="1:15">
      <c r="D47" s="319"/>
      <c r="E47" s="319"/>
      <c r="F47" s="319"/>
      <c r="G47" s="319"/>
      <c r="H47" s="319"/>
      <c r="I47" s="319"/>
      <c r="J47" s="319"/>
      <c r="K47" s="319"/>
      <c r="L47" s="319"/>
      <c r="M47" s="319"/>
      <c r="N47" s="319"/>
    </row>
  </sheetData>
  <mergeCells count="27">
    <mergeCell ref="A10:A14"/>
    <mergeCell ref="B10:B11"/>
    <mergeCell ref="A25:A29"/>
    <mergeCell ref="B25:B26"/>
    <mergeCell ref="B27:B28"/>
    <mergeCell ref="B29:C29"/>
    <mergeCell ref="B12:B13"/>
    <mergeCell ref="B14:C14"/>
    <mergeCell ref="A15:A19"/>
    <mergeCell ref="B15:B16"/>
    <mergeCell ref="B17:B18"/>
    <mergeCell ref="A1:N1"/>
    <mergeCell ref="A36:N36"/>
    <mergeCell ref="A37:N37"/>
    <mergeCell ref="A30:A34"/>
    <mergeCell ref="B30:B31"/>
    <mergeCell ref="B32:B33"/>
    <mergeCell ref="B34:C34"/>
    <mergeCell ref="B19:C19"/>
    <mergeCell ref="A20:A24"/>
    <mergeCell ref="B20:B21"/>
    <mergeCell ref="B22:B23"/>
    <mergeCell ref="B24:C24"/>
    <mergeCell ref="A5:A9"/>
    <mergeCell ref="B5:B6"/>
    <mergeCell ref="B7:B8"/>
    <mergeCell ref="B9:C9"/>
  </mergeCells>
  <conditionalFormatting sqref="A36 A1:A3 H38 H40:H42 H48:H1048576 J38:J1048576 J2:J34 A4:H34 A38:D38 B2:H3 A40:D42 A39:H39 A48:D1048576 A43:H47 O1:XFD1048576">
    <cfRule type="cellIs" dxfId="34" priority="35" operator="equal">
      <formula>0</formula>
    </cfRule>
  </conditionalFormatting>
  <conditionalFormatting sqref="A35">
    <cfRule type="cellIs" dxfId="33" priority="32" operator="equal">
      <formula>0</formula>
    </cfRule>
  </conditionalFormatting>
  <conditionalFormatting sqref="F38 F40:F42 F48:F1048576">
    <cfRule type="cellIs" dxfId="32" priority="31" operator="equal">
      <formula>0</formula>
    </cfRule>
  </conditionalFormatting>
  <conditionalFormatting sqref="E38 E40:E42 E48:E1048576">
    <cfRule type="cellIs" dxfId="31" priority="27" operator="equal">
      <formula>0</formula>
    </cfRule>
  </conditionalFormatting>
  <conditionalFormatting sqref="G38 G40:G42 G48:G1048576">
    <cfRule type="cellIs" dxfId="30" priority="23" operator="equal">
      <formula>0</formula>
    </cfRule>
  </conditionalFormatting>
  <conditionalFormatting sqref="I38:I1048576 I2:I34">
    <cfRule type="cellIs" dxfId="29" priority="14" operator="equal">
      <formula>0</formula>
    </cfRule>
  </conditionalFormatting>
  <conditionalFormatting sqref="K38:K1048576 K2:K34">
    <cfRule type="cellIs" dxfId="28" priority="13" operator="equal">
      <formula>0</formula>
    </cfRule>
  </conditionalFormatting>
  <conditionalFormatting sqref="L38:L1048576 L2:L34">
    <cfRule type="cellIs" dxfId="27" priority="12" operator="equal">
      <formula>0</formula>
    </cfRule>
  </conditionalFormatting>
  <conditionalFormatting sqref="A37">
    <cfRule type="cellIs" dxfId="26" priority="9" operator="equal">
      <formula>0</formula>
    </cfRule>
  </conditionalFormatting>
  <conditionalFormatting sqref="M38:M1048576 M2:M34">
    <cfRule type="cellIs" dxfId="25" priority="8" operator="equal">
      <formula>0</formula>
    </cfRule>
  </conditionalFormatting>
  <conditionalFormatting sqref="N38:N1048576 N2:N34">
    <cfRule type="cellIs" dxfId="2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4">
    <tabColor rgb="FFA50021"/>
    <pageSetUpPr fitToPage="1"/>
  </sheetPr>
  <dimension ref="A1:P26"/>
  <sheetViews>
    <sheetView showGridLines="0" workbookViewId="0">
      <selection sqref="A1:M2"/>
    </sheetView>
  </sheetViews>
  <sheetFormatPr defaultColWidth="9.140625" defaultRowHeight="11.25"/>
  <cols>
    <col min="1" max="1" width="29.5703125" style="99" customWidth="1"/>
    <col min="2" max="12" width="6.42578125" style="99" customWidth="1"/>
    <col min="13" max="16384" width="9.140625" style="99"/>
  </cols>
  <sheetData>
    <row r="1" spans="1:16" s="100" customFormat="1" ht="28.5" customHeight="1">
      <c r="A1" s="767" t="s">
        <v>750</v>
      </c>
      <c r="B1" s="767"/>
      <c r="C1" s="767"/>
      <c r="D1" s="767"/>
      <c r="E1" s="767"/>
      <c r="F1" s="767"/>
      <c r="G1" s="767"/>
      <c r="H1" s="767"/>
      <c r="I1" s="767"/>
      <c r="J1" s="767"/>
      <c r="K1" s="767"/>
      <c r="L1" s="767"/>
    </row>
    <row r="2" spans="1:16" s="80" customFormat="1" ht="15" customHeight="1">
      <c r="A2" s="111"/>
      <c r="B2" s="96"/>
      <c r="C2" s="96"/>
      <c r="D2" s="96"/>
      <c r="E2" s="96"/>
      <c r="F2" s="96"/>
      <c r="G2" s="96"/>
      <c r="H2" s="96"/>
      <c r="I2" s="96"/>
      <c r="J2" s="96"/>
      <c r="K2" s="96"/>
      <c r="L2" s="96"/>
    </row>
    <row r="3" spans="1:16" s="101" customFormat="1" ht="15" customHeight="1">
      <c r="A3" s="110" t="s">
        <v>14</v>
      </c>
      <c r="B3" s="112"/>
      <c r="D3" s="112"/>
      <c r="E3" s="112"/>
      <c r="F3" s="112"/>
      <c r="G3" s="112"/>
      <c r="H3" s="112"/>
      <c r="I3" s="112"/>
      <c r="J3" s="112"/>
      <c r="K3" s="112"/>
      <c r="L3" s="112" t="s">
        <v>68</v>
      </c>
    </row>
    <row r="4" spans="1:16" s="80" customFormat="1" ht="28.5" customHeight="1" thickBot="1">
      <c r="A4" s="113"/>
      <c r="B4" s="114">
        <v>2013</v>
      </c>
      <c r="C4" s="114">
        <v>2014</v>
      </c>
      <c r="D4" s="114">
        <v>2015</v>
      </c>
      <c r="E4" s="114">
        <v>2016</v>
      </c>
      <c r="F4" s="114">
        <v>2017</v>
      </c>
      <c r="G4" s="114">
        <v>2018</v>
      </c>
      <c r="H4" s="114">
        <v>2019</v>
      </c>
      <c r="I4" s="114">
        <v>2020</v>
      </c>
      <c r="J4" s="114">
        <v>2021</v>
      </c>
      <c r="K4" s="114">
        <v>2022</v>
      </c>
      <c r="L4" s="114">
        <v>2023</v>
      </c>
    </row>
    <row r="5" spans="1:16" s="80" customFormat="1" ht="16.5" customHeight="1" thickTop="1">
      <c r="A5" s="56" t="s">
        <v>12</v>
      </c>
      <c r="B5" s="446">
        <v>1093.82</v>
      </c>
      <c r="C5" s="446">
        <v>1093.21</v>
      </c>
      <c r="D5" s="446">
        <v>1096.6600000000001</v>
      </c>
      <c r="E5" s="446">
        <v>1107.8599999999999</v>
      </c>
      <c r="F5" s="446">
        <v>1133.3399999999999</v>
      </c>
      <c r="G5" s="446">
        <v>1170.25</v>
      </c>
      <c r="H5" s="446">
        <v>1209.94</v>
      </c>
      <c r="I5" s="446">
        <v>1250.75</v>
      </c>
      <c r="J5" s="446">
        <v>1294.1099999999999</v>
      </c>
      <c r="K5" s="446">
        <v>1368</v>
      </c>
      <c r="L5" s="446">
        <v>1466.66</v>
      </c>
    </row>
    <row r="6" spans="1:16" s="80" customFormat="1" ht="16.5" customHeight="1">
      <c r="A6" s="56" t="s">
        <v>126</v>
      </c>
      <c r="B6" s="425">
        <v>956.89</v>
      </c>
      <c r="C6" s="425">
        <v>958.21</v>
      </c>
      <c r="D6" s="425">
        <v>967.68</v>
      </c>
      <c r="E6" s="425">
        <v>981.32</v>
      </c>
      <c r="F6" s="425">
        <v>1003.59</v>
      </c>
      <c r="G6" s="425">
        <v>1039.96</v>
      </c>
      <c r="H6" s="425">
        <v>1077.22</v>
      </c>
      <c r="I6" s="425">
        <v>1117.7</v>
      </c>
      <c r="J6" s="425">
        <v>1159.75</v>
      </c>
      <c r="K6" s="425">
        <v>1221.48</v>
      </c>
      <c r="L6" s="425">
        <v>1310.4000000000001</v>
      </c>
      <c r="N6" s="649">
        <f>+L6/$L$5*100</f>
        <v>89.345860663003023</v>
      </c>
      <c r="O6" s="649">
        <f>+B6/$B$5*100</f>
        <v>87.481486899124178</v>
      </c>
      <c r="P6" s="649">
        <f>+N6-O6</f>
        <v>1.8643737638788451</v>
      </c>
    </row>
    <row r="7" spans="1:16" s="80" customFormat="1" ht="16.5" customHeight="1">
      <c r="A7" s="40" t="s">
        <v>127</v>
      </c>
      <c r="B7" s="425">
        <v>1912.25</v>
      </c>
      <c r="C7" s="425">
        <v>1928.43</v>
      </c>
      <c r="D7" s="425">
        <v>1936.67</v>
      </c>
      <c r="E7" s="425">
        <v>1944.81</v>
      </c>
      <c r="F7" s="425">
        <v>1970.67</v>
      </c>
      <c r="G7" s="425">
        <v>1974.69</v>
      </c>
      <c r="H7" s="425">
        <v>1933.53</v>
      </c>
      <c r="I7" s="425">
        <v>1966.25</v>
      </c>
      <c r="J7" s="425">
        <v>1956.61</v>
      </c>
      <c r="K7" s="425">
        <v>2014.6</v>
      </c>
      <c r="L7" s="425">
        <v>2185.2800000000002</v>
      </c>
      <c r="N7" s="649">
        <f t="shared" ref="N7:N10" si="0">+L7/$L$5*100</f>
        <v>148.99704089564042</v>
      </c>
      <c r="O7" s="649">
        <f t="shared" ref="O7:O10" si="1">+B7/$B$5*100</f>
        <v>174.82309703607541</v>
      </c>
      <c r="P7" s="649">
        <f t="shared" ref="P7:P10" si="2">+N7-O7</f>
        <v>-25.826056140434986</v>
      </c>
    </row>
    <row r="8" spans="1:16" s="80" customFormat="1" ht="16.5" customHeight="1">
      <c r="A8" s="238" t="s">
        <v>145</v>
      </c>
      <c r="B8" s="425">
        <v>1115.6600000000001</v>
      </c>
      <c r="C8" s="425">
        <v>1112.83</v>
      </c>
      <c r="D8" s="425">
        <v>1108.6500000000001</v>
      </c>
      <c r="E8" s="425">
        <v>1109.69</v>
      </c>
      <c r="F8" s="425">
        <v>1137.24</v>
      </c>
      <c r="G8" s="425">
        <v>1189.52</v>
      </c>
      <c r="H8" s="425">
        <v>1243.71</v>
      </c>
      <c r="I8" s="425">
        <v>1290.47</v>
      </c>
      <c r="J8" s="425">
        <v>1355.96</v>
      </c>
      <c r="K8" s="425">
        <v>1448.63</v>
      </c>
      <c r="L8" s="425">
        <v>1565.83</v>
      </c>
      <c r="N8" s="649">
        <f t="shared" si="0"/>
        <v>106.76162164373473</v>
      </c>
      <c r="O8" s="649">
        <f t="shared" si="1"/>
        <v>101.9966722129784</v>
      </c>
      <c r="P8" s="649">
        <f t="shared" si="2"/>
        <v>4.7649494307563316</v>
      </c>
    </row>
    <row r="9" spans="1:16" s="80" customFormat="1" ht="16.5" customHeight="1">
      <c r="A9" s="56" t="s">
        <v>44</v>
      </c>
      <c r="B9" s="445">
        <v>1992.38</v>
      </c>
      <c r="C9" s="445">
        <v>2002.28</v>
      </c>
      <c r="D9" s="445">
        <v>1985.41</v>
      </c>
      <c r="E9" s="445">
        <v>1982.63</v>
      </c>
      <c r="F9" s="445">
        <v>2024.68</v>
      </c>
      <c r="G9" s="445">
        <v>2085.6</v>
      </c>
      <c r="H9" s="445">
        <v>2111.4</v>
      </c>
      <c r="I9" s="445">
        <v>1993.24</v>
      </c>
      <c r="J9" s="445">
        <v>2027.84</v>
      </c>
      <c r="K9" s="445">
        <v>2202.54</v>
      </c>
      <c r="L9" s="445">
        <v>2332.16</v>
      </c>
      <c r="N9" s="649">
        <f t="shared" si="0"/>
        <v>159.01163187105394</v>
      </c>
      <c r="O9" s="649">
        <f t="shared" si="1"/>
        <v>182.14879961968151</v>
      </c>
      <c r="P9" s="649">
        <f t="shared" si="2"/>
        <v>-23.137167748627576</v>
      </c>
    </row>
    <row r="10" spans="1:16" s="80" customFormat="1" ht="16.5" customHeight="1">
      <c r="A10" s="9" t="s">
        <v>205</v>
      </c>
      <c r="B10" s="426">
        <v>1327.37</v>
      </c>
      <c r="C10" s="426">
        <v>1313.3</v>
      </c>
      <c r="D10" s="426">
        <v>1292.21</v>
      </c>
      <c r="E10" s="426">
        <v>1292.3699999999999</v>
      </c>
      <c r="F10" s="426">
        <v>1303.6199999999999</v>
      </c>
      <c r="G10" s="426">
        <v>1350.43</v>
      </c>
      <c r="H10" s="426">
        <v>1400.22</v>
      </c>
      <c r="I10" s="426">
        <v>1426.6</v>
      </c>
      <c r="J10" s="426">
        <v>1489.71</v>
      </c>
      <c r="K10" s="426">
        <v>1584.35</v>
      </c>
      <c r="L10" s="426">
        <v>1696.04</v>
      </c>
      <c r="N10" s="649">
        <f t="shared" si="0"/>
        <v>115.63961654371155</v>
      </c>
      <c r="O10" s="649">
        <f t="shared" si="1"/>
        <v>121.35177634345686</v>
      </c>
      <c r="P10" s="649">
        <f t="shared" si="2"/>
        <v>-5.712159799745308</v>
      </c>
    </row>
    <row r="11" spans="1:16" s="79" customFormat="1" ht="15" customHeight="1">
      <c r="A11" s="21" t="s">
        <v>139</v>
      </c>
      <c r="B11" s="91"/>
      <c r="C11" s="91"/>
      <c r="D11" s="91"/>
      <c r="E11" s="91"/>
      <c r="F11" s="91"/>
      <c r="G11" s="91"/>
      <c r="H11" s="91"/>
      <c r="I11" s="91"/>
      <c r="J11" s="91"/>
      <c r="K11" s="91"/>
      <c r="L11" s="91"/>
    </row>
    <row r="12" spans="1:16" s="115" customFormat="1" ht="15" customHeight="1">
      <c r="A12" s="825" t="s">
        <v>8</v>
      </c>
      <c r="B12" s="825"/>
      <c r="C12" s="825"/>
      <c r="D12" s="825"/>
      <c r="E12" s="825"/>
      <c r="F12" s="825"/>
      <c r="G12" s="825"/>
      <c r="H12" s="825"/>
      <c r="I12" s="825"/>
      <c r="J12" s="825"/>
      <c r="K12" s="825"/>
      <c r="L12" s="825"/>
    </row>
    <row r="13" spans="1:16" s="115" customFormat="1" ht="15" customHeight="1">
      <c r="A13" s="825" t="s">
        <v>9</v>
      </c>
      <c r="B13" s="825"/>
      <c r="C13" s="825"/>
      <c r="D13" s="825"/>
      <c r="E13" s="825"/>
      <c r="F13" s="825"/>
      <c r="G13" s="825"/>
      <c r="H13" s="825"/>
      <c r="I13" s="825"/>
      <c r="J13" s="825"/>
      <c r="K13" s="825"/>
      <c r="L13" s="825"/>
    </row>
    <row r="14" spans="1:16" s="115" customFormat="1" ht="27" customHeight="1">
      <c r="A14" s="826" t="s">
        <v>206</v>
      </c>
      <c r="B14" s="826"/>
      <c r="C14" s="826"/>
      <c r="D14" s="826"/>
      <c r="E14" s="826"/>
      <c r="F14" s="826"/>
      <c r="G14" s="826"/>
      <c r="H14" s="826"/>
      <c r="I14" s="826"/>
      <c r="J14" s="826"/>
      <c r="K14" s="826"/>
      <c r="L14" s="826"/>
    </row>
    <row r="25" spans="1:13">
      <c r="A25" s="824"/>
      <c r="B25" s="824"/>
      <c r="C25" s="824"/>
      <c r="D25" s="824"/>
      <c r="E25" s="824"/>
      <c r="F25" s="824"/>
      <c r="G25" s="824"/>
      <c r="H25" s="824"/>
      <c r="I25" s="824"/>
      <c r="J25" s="824"/>
      <c r="K25" s="824"/>
      <c r="L25" s="824"/>
      <c r="M25" s="824"/>
    </row>
    <row r="26" spans="1:13" ht="15.75" customHeight="1"/>
  </sheetData>
  <mergeCells count="5">
    <mergeCell ref="A25:M25"/>
    <mergeCell ref="A1:L1"/>
    <mergeCell ref="A12:L12"/>
    <mergeCell ref="A13:L13"/>
    <mergeCell ref="A14:L14"/>
  </mergeCells>
  <phoneticPr fontId="25" type="noConversion"/>
  <conditionalFormatting sqref="D3 A12:A1048576 A1:A7 A9:A10 B2:D2 B3 B4:D4 B11:D11 B15:D24 B5:H10 B26:D1048576 M1:XFD5 M26:XFD1048576 N25:XFD25 M11:XFD24 Q6:XFD10">
    <cfRule type="cellIs" dxfId="23" priority="35" operator="equal">
      <formula>0</formula>
    </cfRule>
  </conditionalFormatting>
  <conditionalFormatting sqref="A11">
    <cfRule type="cellIs" dxfId="22" priority="34" operator="equal">
      <formula>0</formula>
    </cfRule>
  </conditionalFormatting>
  <conditionalFormatting sqref="F2:F4 F11 F15:F24 G4:H4 F26:F1048576">
    <cfRule type="cellIs" dxfId="21" priority="33" operator="equal">
      <formula>0</formula>
    </cfRule>
  </conditionalFormatting>
  <conditionalFormatting sqref="E2:E4 E11 E15:E24 E26:E1048576">
    <cfRule type="cellIs" dxfId="20" priority="30" operator="equal">
      <formula>0</formula>
    </cfRule>
  </conditionalFormatting>
  <conditionalFormatting sqref="H2:H3 H11 H15:H24 H26:H1048576">
    <cfRule type="cellIs" dxfId="19" priority="28" operator="equal">
      <formula>0</formula>
    </cfRule>
  </conditionalFormatting>
  <conditionalFormatting sqref="A8">
    <cfRule type="cellIs" dxfId="18" priority="26" operator="equal">
      <formula>0</formula>
    </cfRule>
  </conditionalFormatting>
  <conditionalFormatting sqref="G2:G3 G11 G15:G24 G26:G1048576">
    <cfRule type="cellIs" dxfId="17" priority="25" operator="equal">
      <formula>0</formula>
    </cfRule>
  </conditionalFormatting>
  <conditionalFormatting sqref="I4">
    <cfRule type="cellIs" dxfId="16" priority="23" operator="equal">
      <formula>0</formula>
    </cfRule>
  </conditionalFormatting>
  <conditionalFormatting sqref="I6:I10">
    <cfRule type="cellIs" dxfId="15" priority="22" operator="equal">
      <formula>0</formula>
    </cfRule>
  </conditionalFormatting>
  <conditionalFormatting sqref="I2:I3 I11 I15:I24 I26:I1048576">
    <cfRule type="cellIs" dxfId="14" priority="21" operator="equal">
      <formula>0</formula>
    </cfRule>
  </conditionalFormatting>
  <conditionalFormatting sqref="J4">
    <cfRule type="cellIs" dxfId="13" priority="20" operator="equal">
      <formula>0</formula>
    </cfRule>
  </conditionalFormatting>
  <conditionalFormatting sqref="J6:J10">
    <cfRule type="cellIs" dxfId="12" priority="19" operator="equal">
      <formula>0</formula>
    </cfRule>
  </conditionalFormatting>
  <conditionalFormatting sqref="J2:J3 J11 J15:J24 J26:J1048576">
    <cfRule type="cellIs" dxfId="11" priority="18" operator="equal">
      <formula>0</formula>
    </cfRule>
  </conditionalFormatting>
  <conditionalFormatting sqref="K4">
    <cfRule type="cellIs" dxfId="10" priority="15" operator="equal">
      <formula>0</formula>
    </cfRule>
  </conditionalFormatting>
  <conditionalFormatting sqref="K6:K10">
    <cfRule type="cellIs" dxfId="9" priority="14" operator="equal">
      <formula>0</formula>
    </cfRule>
  </conditionalFormatting>
  <conditionalFormatting sqref="K2:K3 K11 K15:K24 K26:K1048576">
    <cfRule type="cellIs" dxfId="8" priority="13" operator="equal">
      <formula>0</formula>
    </cfRule>
  </conditionalFormatting>
  <conditionalFormatting sqref="I5">
    <cfRule type="cellIs" dxfId="7" priority="9" operator="equal">
      <formula>0</formula>
    </cfRule>
  </conditionalFormatting>
  <conditionalFormatting sqref="J5">
    <cfRule type="cellIs" dxfId="6" priority="8" operator="equal">
      <formula>0</formula>
    </cfRule>
  </conditionalFormatting>
  <conditionalFormatting sqref="K5">
    <cfRule type="cellIs" dxfId="5" priority="7" operator="equal">
      <formula>0</formula>
    </cfRule>
  </conditionalFormatting>
  <conditionalFormatting sqref="L4">
    <cfRule type="cellIs" dxfId="4" priority="5" operator="equal">
      <formula>0</formula>
    </cfRule>
  </conditionalFormatting>
  <conditionalFormatting sqref="L6:L10">
    <cfRule type="cellIs" dxfId="3" priority="4" operator="equal">
      <formula>0</formula>
    </cfRule>
  </conditionalFormatting>
  <conditionalFormatting sqref="L2:L3 L11 L15:L24 L26:L1048576">
    <cfRule type="cellIs" dxfId="2" priority="3" operator="equal">
      <formula>0</formula>
    </cfRule>
  </conditionalFormatting>
  <conditionalFormatting sqref="L5">
    <cfRule type="cellIs" dxfId="1" priority="2" operator="equal">
      <formula>0</formula>
    </cfRule>
  </conditionalFormatting>
  <conditionalFormatting sqref="N6:P10">
    <cfRule type="cellIs" dxfId="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9" orientation="portrait" r:id="rId1"/>
  <headerFooter>
    <oddHeader>&amp;C&amp;G</oddHeader>
  </headerFooter>
  <drawing r:id="rId2"/>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42">
    <tabColor rgb="FFE1EAEF"/>
  </sheetPr>
  <dimension ref="A1"/>
  <sheetViews>
    <sheetView showGridLines="0" topLeftCell="A19" workbookViewId="0">
      <selection sqref="A1:M2"/>
    </sheetView>
  </sheetViews>
  <sheetFormatPr defaultColWidth="8.7109375" defaultRowHeight="15"/>
  <cols>
    <col min="1" max="16384" width="8.7109375" style="447"/>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DAE03-2EAE-4941-887B-16ACDB9749B8}">
  <sheetPr codeName="Folha3">
    <tabColor rgb="FFFFFF00"/>
    <pageSetUpPr fitToPage="1"/>
  </sheetPr>
  <dimension ref="A1:Y56"/>
  <sheetViews>
    <sheetView showGridLines="0" showRowColHeaders="0" zoomScaleNormal="100" zoomScaleSheetLayoutView="100" workbookViewId="0"/>
  </sheetViews>
  <sheetFormatPr defaultColWidth="0" defaultRowHeight="15" zeroHeight="1"/>
  <cols>
    <col min="1" max="11" width="8.42578125" style="841" customWidth="1"/>
    <col min="12" max="12" width="7" style="841" customWidth="1"/>
    <col min="13" max="23" width="8.7109375" style="841" customWidth="1"/>
    <col min="24" max="25" width="0" style="841" hidden="1"/>
    <col min="26" max="16384" width="8.7109375" style="841" hidden="1"/>
  </cols>
  <sheetData>
    <row r="1" spans="1:23">
      <c r="A1" s="863"/>
      <c r="B1" s="863"/>
      <c r="C1" s="863"/>
      <c r="D1" s="863"/>
      <c r="E1" s="863"/>
      <c r="F1" s="863"/>
      <c r="G1" s="863"/>
      <c r="H1" s="863"/>
      <c r="I1" s="863"/>
      <c r="J1" s="863"/>
      <c r="K1" s="863"/>
      <c r="L1" s="863"/>
      <c r="M1" s="863"/>
      <c r="N1" s="863"/>
      <c r="O1" s="863"/>
      <c r="P1" s="863"/>
      <c r="Q1" s="863"/>
      <c r="R1" s="863"/>
      <c r="S1" s="863"/>
      <c r="T1" s="863"/>
      <c r="U1" s="863"/>
      <c r="V1" s="863"/>
      <c r="W1" s="863"/>
    </row>
    <row r="2" spans="1:23">
      <c r="A2" s="863"/>
      <c r="B2" s="863"/>
      <c r="C2" s="863"/>
      <c r="D2" s="863"/>
      <c r="E2" s="863"/>
      <c r="F2" s="863"/>
      <c r="G2" s="863"/>
      <c r="H2" s="863"/>
      <c r="I2" s="863"/>
      <c r="J2" s="863"/>
      <c r="K2" s="863"/>
      <c r="L2" s="863"/>
      <c r="M2" s="863"/>
      <c r="N2" s="863"/>
      <c r="O2" s="863"/>
      <c r="P2" s="863"/>
      <c r="Q2" s="863"/>
      <c r="R2" s="863"/>
      <c r="S2" s="863"/>
      <c r="T2" s="863"/>
      <c r="U2" s="863"/>
      <c r="V2" s="863"/>
      <c r="W2" s="863"/>
    </row>
    <row r="3" spans="1:23">
      <c r="A3" s="863"/>
      <c r="B3" s="863"/>
      <c r="C3" s="863"/>
      <c r="D3" s="863"/>
      <c r="E3" s="863"/>
      <c r="F3" s="863"/>
      <c r="G3" s="863"/>
      <c r="H3" s="863"/>
      <c r="I3" s="863"/>
      <c r="J3" s="863"/>
      <c r="K3" s="863"/>
      <c r="L3" s="863"/>
      <c r="M3" s="863"/>
      <c r="N3" s="863"/>
      <c r="O3" s="863"/>
      <c r="P3" s="863"/>
      <c r="Q3" s="863"/>
      <c r="R3" s="863"/>
      <c r="S3" s="863"/>
      <c r="T3" s="863"/>
      <c r="U3" s="863"/>
      <c r="V3" s="863"/>
      <c r="W3" s="863"/>
    </row>
    <row r="4" spans="1:23">
      <c r="A4" s="863"/>
      <c r="B4" s="863"/>
      <c r="C4" s="863"/>
      <c r="D4" s="863"/>
      <c r="E4" s="863"/>
      <c r="F4" s="863"/>
      <c r="G4" s="863"/>
      <c r="H4" s="863"/>
      <c r="I4" s="863"/>
      <c r="J4" s="863"/>
      <c r="K4" s="863"/>
      <c r="L4" s="863"/>
      <c r="M4" s="863"/>
      <c r="N4" s="863"/>
      <c r="O4" s="863"/>
      <c r="P4" s="863"/>
      <c r="Q4" s="863"/>
      <c r="R4" s="863"/>
      <c r="S4" s="863"/>
      <c r="T4" s="863"/>
      <c r="U4" s="863"/>
      <c r="V4" s="863"/>
      <c r="W4" s="863"/>
    </row>
    <row r="5" spans="1:23">
      <c r="A5" s="863"/>
      <c r="B5" s="863"/>
      <c r="C5" s="863"/>
      <c r="D5" s="863"/>
      <c r="E5" s="863"/>
      <c r="F5" s="863"/>
      <c r="G5" s="863"/>
      <c r="H5" s="863"/>
      <c r="I5" s="863"/>
      <c r="J5" s="863"/>
      <c r="K5" s="863"/>
      <c r="L5" s="863"/>
      <c r="M5" s="863"/>
      <c r="N5" s="863"/>
      <c r="O5" s="863"/>
      <c r="P5" s="863"/>
      <c r="Q5" s="863"/>
      <c r="R5" s="863"/>
      <c r="S5" s="863"/>
      <c r="T5" s="863"/>
      <c r="U5" s="863"/>
      <c r="V5" s="863"/>
      <c r="W5" s="863"/>
    </row>
    <row r="6" spans="1:23">
      <c r="A6" s="863"/>
      <c r="B6" s="863"/>
      <c r="C6" s="863"/>
      <c r="D6" s="863"/>
      <c r="E6" s="863"/>
      <c r="F6" s="863"/>
      <c r="G6" s="864"/>
      <c r="H6" s="863"/>
      <c r="I6" s="863"/>
      <c r="J6" s="863"/>
      <c r="K6" s="863"/>
      <c r="L6" s="865"/>
      <c r="M6" s="865"/>
      <c r="N6" s="865"/>
      <c r="O6" s="865"/>
      <c r="P6" s="865"/>
      <c r="Q6" s="865"/>
      <c r="R6" s="863"/>
      <c r="S6" s="863"/>
      <c r="T6" s="863"/>
      <c r="U6" s="863"/>
      <c r="V6" s="863"/>
      <c r="W6" s="863"/>
    </row>
    <row r="7" spans="1:23">
      <c r="A7" s="866"/>
      <c r="B7" s="866"/>
      <c r="C7" s="866"/>
      <c r="D7" s="866"/>
      <c r="E7" s="866"/>
      <c r="F7" s="866"/>
      <c r="G7" s="863"/>
      <c r="H7" s="863"/>
      <c r="I7" s="863"/>
      <c r="J7" s="863"/>
      <c r="K7" s="863"/>
      <c r="L7" s="863"/>
      <c r="M7" s="863"/>
      <c r="N7" s="863"/>
      <c r="O7" s="863"/>
      <c r="P7" s="863"/>
      <c r="Q7" s="863"/>
      <c r="R7" s="863"/>
      <c r="S7" s="863"/>
      <c r="T7" s="863"/>
      <c r="U7" s="863"/>
      <c r="V7" s="863"/>
      <c r="W7" s="863"/>
    </row>
    <row r="8" spans="1:23" ht="15" customHeight="1">
      <c r="A8" s="863"/>
      <c r="B8" s="863"/>
      <c r="C8" s="863"/>
      <c r="D8" s="863"/>
      <c r="E8" s="863"/>
      <c r="F8" s="867"/>
      <c r="G8" s="867"/>
      <c r="H8" s="863"/>
      <c r="I8" s="863"/>
      <c r="J8" s="863"/>
      <c r="K8" s="863"/>
      <c r="L8" s="863"/>
      <c r="M8" s="863"/>
      <c r="N8" s="863"/>
      <c r="O8" s="863"/>
      <c r="P8" s="863"/>
      <c r="Q8" s="863"/>
      <c r="R8" s="863"/>
      <c r="S8" s="863"/>
      <c r="T8" s="863"/>
      <c r="U8" s="863"/>
      <c r="V8" s="863"/>
      <c r="W8" s="863"/>
    </row>
    <row r="9" spans="1:23" ht="15" customHeight="1">
      <c r="A9" s="863"/>
      <c r="B9" s="863"/>
      <c r="C9" s="863"/>
      <c r="D9" s="863"/>
      <c r="E9" s="863"/>
      <c r="F9" s="867"/>
      <c r="G9" s="867"/>
      <c r="H9" s="863"/>
      <c r="I9" s="863"/>
      <c r="J9" s="863"/>
      <c r="K9" s="863"/>
      <c r="L9" s="863"/>
      <c r="M9" s="863"/>
      <c r="N9" s="863"/>
      <c r="O9" s="863"/>
      <c r="P9" s="863"/>
      <c r="Q9" s="863"/>
      <c r="R9" s="863"/>
      <c r="S9" s="863"/>
      <c r="T9" s="863"/>
      <c r="U9" s="863"/>
      <c r="V9" s="863"/>
      <c r="W9" s="863"/>
    </row>
    <row r="10" spans="1:23">
      <c r="A10" s="863"/>
      <c r="B10" s="863"/>
      <c r="C10" s="863"/>
      <c r="D10" s="863"/>
      <c r="E10" s="863"/>
      <c r="F10" s="867"/>
      <c r="G10" s="867"/>
      <c r="H10" s="863"/>
      <c r="I10" s="863"/>
      <c r="J10" s="863"/>
      <c r="K10" s="863"/>
      <c r="L10" s="863"/>
      <c r="M10" s="863"/>
      <c r="N10" s="863"/>
      <c r="O10" s="863"/>
      <c r="P10" s="863"/>
      <c r="Q10" s="863"/>
      <c r="R10" s="863"/>
      <c r="S10" s="863"/>
      <c r="T10" s="863"/>
      <c r="U10" s="863"/>
      <c r="V10" s="863"/>
      <c r="W10" s="863"/>
    </row>
    <row r="11" spans="1:23" ht="15" customHeight="1">
      <c r="A11" s="863"/>
      <c r="B11" s="863"/>
      <c r="C11" s="863"/>
      <c r="D11" s="863"/>
      <c r="E11" s="863"/>
      <c r="F11" s="867"/>
      <c r="G11" s="867"/>
      <c r="H11" s="863"/>
      <c r="I11" s="863"/>
      <c r="J11" s="863"/>
      <c r="K11" s="863"/>
      <c r="L11" s="863"/>
      <c r="M11" s="863"/>
      <c r="N11" s="863"/>
      <c r="O11" s="863"/>
      <c r="P11" s="863"/>
      <c r="Q11" s="863"/>
      <c r="R11" s="863"/>
      <c r="S11" s="863"/>
      <c r="T11" s="863"/>
      <c r="U11" s="863"/>
      <c r="V11" s="863"/>
      <c r="W11" s="863"/>
    </row>
    <row r="12" spans="1:23" ht="15" customHeight="1">
      <c r="A12" s="863"/>
      <c r="B12" s="863"/>
      <c r="C12" s="863"/>
      <c r="D12" s="863"/>
      <c r="E12" s="863"/>
      <c r="F12" s="867"/>
      <c r="G12" s="867"/>
      <c r="H12" s="863"/>
      <c r="I12" s="863"/>
      <c r="J12" s="863"/>
      <c r="K12" s="863"/>
      <c r="L12" s="863"/>
      <c r="M12" s="863"/>
      <c r="N12" s="863"/>
      <c r="O12" s="863"/>
      <c r="P12" s="863"/>
      <c r="Q12" s="863"/>
      <c r="R12" s="863"/>
      <c r="S12" s="863"/>
      <c r="T12" s="863"/>
      <c r="U12" s="863"/>
      <c r="V12" s="863"/>
      <c r="W12" s="863"/>
    </row>
    <row r="13" spans="1:23">
      <c r="A13" s="863"/>
      <c r="B13" s="863"/>
      <c r="C13" s="863"/>
      <c r="D13" s="863"/>
      <c r="E13" s="863"/>
      <c r="F13" s="867"/>
      <c r="G13" s="867"/>
      <c r="H13" s="863"/>
      <c r="I13" s="863"/>
      <c r="J13" s="863"/>
      <c r="K13" s="863"/>
      <c r="L13" s="863"/>
      <c r="M13" s="863"/>
      <c r="N13" s="863"/>
      <c r="O13" s="863"/>
      <c r="P13" s="863"/>
      <c r="Q13" s="863"/>
      <c r="R13" s="863"/>
      <c r="S13" s="863"/>
      <c r="T13" s="863"/>
      <c r="U13" s="863"/>
      <c r="V13" s="863"/>
      <c r="W13" s="863"/>
    </row>
    <row r="14" spans="1:23">
      <c r="A14" s="863"/>
      <c r="B14" s="863"/>
      <c r="C14" s="863"/>
      <c r="D14" s="863"/>
      <c r="E14" s="863"/>
      <c r="F14" s="863"/>
      <c r="G14" s="863"/>
      <c r="H14" s="863"/>
      <c r="I14" s="863"/>
      <c r="J14" s="863"/>
      <c r="K14" s="863"/>
      <c r="L14" s="863"/>
      <c r="M14" s="863"/>
      <c r="N14" s="863"/>
      <c r="O14" s="863"/>
      <c r="P14" s="863"/>
      <c r="Q14" s="863"/>
      <c r="R14" s="863"/>
      <c r="S14" s="863"/>
      <c r="T14" s="863"/>
      <c r="U14" s="863"/>
      <c r="V14" s="863"/>
      <c r="W14" s="863"/>
    </row>
    <row r="15" spans="1:23">
      <c r="A15" s="863"/>
      <c r="B15" s="863"/>
      <c r="C15" s="863"/>
      <c r="D15" s="863"/>
      <c r="E15" s="863"/>
      <c r="F15" s="863"/>
      <c r="G15" s="863"/>
      <c r="H15" s="863"/>
      <c r="I15" s="863"/>
      <c r="J15" s="863"/>
      <c r="K15" s="863"/>
      <c r="L15" s="863"/>
      <c r="M15" s="863"/>
      <c r="N15" s="863"/>
      <c r="O15" s="863"/>
      <c r="P15" s="863"/>
      <c r="Q15" s="863"/>
      <c r="R15" s="863"/>
      <c r="S15" s="863"/>
      <c r="T15" s="863"/>
      <c r="U15" s="863"/>
      <c r="V15" s="863"/>
      <c r="W15" s="863"/>
    </row>
    <row r="16" spans="1:23">
      <c r="A16" s="863"/>
      <c r="B16" s="863"/>
      <c r="C16" s="863"/>
      <c r="D16" s="863"/>
      <c r="E16" s="863"/>
      <c r="F16" s="863"/>
      <c r="G16" s="863"/>
      <c r="H16" s="863"/>
      <c r="I16" s="863"/>
      <c r="J16" s="863"/>
      <c r="K16" s="863"/>
      <c r="L16" s="863"/>
      <c r="M16" s="863"/>
      <c r="N16" s="863"/>
      <c r="O16" s="863"/>
      <c r="P16" s="863"/>
      <c r="Q16" s="863"/>
      <c r="R16" s="863"/>
      <c r="S16" s="863"/>
      <c r="T16" s="863"/>
      <c r="U16" s="863"/>
      <c r="V16" s="863"/>
      <c r="W16" s="863"/>
    </row>
    <row r="17" spans="1:25">
      <c r="A17" s="863"/>
      <c r="B17" s="863"/>
      <c r="C17" s="863"/>
      <c r="D17" s="863"/>
      <c r="E17" s="863"/>
      <c r="F17" s="863"/>
      <c r="G17" s="863"/>
      <c r="H17" s="863"/>
      <c r="I17" s="863"/>
      <c r="J17" s="863"/>
      <c r="K17" s="863"/>
      <c r="L17" s="863"/>
      <c r="M17" s="863"/>
      <c r="N17" s="863"/>
      <c r="O17" s="863"/>
      <c r="P17" s="863"/>
      <c r="Q17" s="863"/>
      <c r="R17" s="863"/>
      <c r="S17" s="863"/>
      <c r="T17" s="863"/>
      <c r="U17" s="863"/>
      <c r="V17" s="863"/>
      <c r="W17" s="863"/>
    </row>
    <row r="18" spans="1:25">
      <c r="A18" s="863"/>
      <c r="B18" s="863"/>
      <c r="C18" s="863"/>
      <c r="D18" s="863"/>
      <c r="E18" s="863"/>
      <c r="F18" s="863"/>
      <c r="G18" s="863"/>
      <c r="H18" s="863"/>
      <c r="I18" s="863"/>
      <c r="J18" s="863"/>
      <c r="K18" s="863"/>
      <c r="L18" s="863"/>
      <c r="M18" s="863"/>
      <c r="N18" s="863"/>
      <c r="O18" s="863"/>
      <c r="P18" s="863"/>
      <c r="Q18" s="863"/>
      <c r="R18" s="863"/>
      <c r="S18" s="863"/>
      <c r="T18" s="863"/>
      <c r="U18" s="863"/>
      <c r="V18" s="863"/>
      <c r="W18" s="863"/>
    </row>
    <row r="19" spans="1:25">
      <c r="A19" s="863"/>
      <c r="B19" s="863"/>
      <c r="C19" s="863"/>
      <c r="D19" s="863"/>
      <c r="E19" s="863"/>
      <c r="F19" s="863"/>
      <c r="G19" s="863"/>
      <c r="H19" s="863"/>
      <c r="I19" s="863"/>
      <c r="J19" s="863"/>
      <c r="K19" s="863"/>
      <c r="L19" s="863"/>
      <c r="M19" s="863"/>
      <c r="N19" s="863"/>
      <c r="O19" s="863"/>
      <c r="P19" s="863"/>
      <c r="Q19" s="863"/>
      <c r="R19" s="863"/>
      <c r="S19" s="863"/>
      <c r="T19" s="863"/>
      <c r="U19" s="863"/>
      <c r="V19" s="863"/>
      <c r="W19" s="863"/>
    </row>
    <row r="20" spans="1:25">
      <c r="A20" s="863"/>
      <c r="B20" s="863"/>
      <c r="C20" s="863"/>
      <c r="D20" s="863"/>
      <c r="E20" s="863"/>
      <c r="F20" s="863"/>
      <c r="G20" s="863"/>
      <c r="H20" s="863"/>
      <c r="I20" s="863"/>
      <c r="J20" s="863"/>
      <c r="K20" s="863"/>
      <c r="L20" s="863"/>
      <c r="M20" s="863"/>
      <c r="N20" s="863"/>
      <c r="O20" s="863"/>
      <c r="P20" s="863"/>
      <c r="Q20" s="863"/>
      <c r="R20" s="863"/>
      <c r="S20" s="863"/>
      <c r="T20" s="863"/>
      <c r="U20" s="863"/>
      <c r="V20" s="863"/>
      <c r="W20" s="863"/>
    </row>
    <row r="21" spans="1:25">
      <c r="A21" s="863"/>
      <c r="B21" s="863"/>
      <c r="C21" s="863"/>
      <c r="D21" s="863"/>
      <c r="E21" s="863"/>
      <c r="F21" s="863"/>
      <c r="G21" s="863"/>
      <c r="H21" s="863"/>
      <c r="I21" s="863"/>
      <c r="J21" s="863"/>
      <c r="K21" s="863"/>
      <c r="L21" s="863"/>
      <c r="M21" s="863"/>
      <c r="N21" s="863"/>
      <c r="O21" s="863"/>
      <c r="P21" s="863"/>
      <c r="Q21" s="863"/>
      <c r="R21" s="863"/>
      <c r="S21" s="863"/>
      <c r="T21" s="863"/>
      <c r="U21" s="863"/>
      <c r="V21" s="863"/>
      <c r="W21" s="863"/>
    </row>
    <row r="22" spans="1:25">
      <c r="A22" s="863"/>
      <c r="B22" s="863"/>
      <c r="C22" s="863"/>
      <c r="D22" s="863"/>
      <c r="E22" s="863"/>
      <c r="F22" s="863"/>
      <c r="G22" s="863"/>
      <c r="H22" s="863"/>
      <c r="I22" s="863"/>
      <c r="J22" s="863"/>
      <c r="K22" s="863"/>
      <c r="L22" s="863"/>
      <c r="M22" s="863"/>
      <c r="N22" s="863"/>
      <c r="O22" s="863"/>
      <c r="P22" s="863"/>
      <c r="Q22" s="863"/>
      <c r="R22" s="863"/>
      <c r="S22" s="863"/>
      <c r="T22" s="863"/>
      <c r="U22" s="863"/>
      <c r="V22" s="863"/>
      <c r="W22" s="863"/>
    </row>
    <row r="23" spans="1:25">
      <c r="A23" s="863"/>
      <c r="B23" s="863"/>
      <c r="C23" s="863"/>
      <c r="D23" s="863"/>
      <c r="E23" s="863"/>
      <c r="F23" s="863"/>
      <c r="G23" s="863"/>
      <c r="H23" s="863"/>
      <c r="I23" s="863"/>
      <c r="J23" s="863"/>
      <c r="K23" s="863"/>
      <c r="L23" s="863"/>
      <c r="M23" s="863"/>
      <c r="N23" s="863"/>
      <c r="O23" s="863"/>
      <c r="P23" s="863"/>
      <c r="Q23" s="863"/>
      <c r="R23" s="863"/>
      <c r="S23" s="863"/>
      <c r="T23" s="863"/>
      <c r="U23" s="863"/>
      <c r="V23" s="863"/>
      <c r="W23" s="863"/>
    </row>
    <row r="24" spans="1:25">
      <c r="A24" s="863"/>
      <c r="B24" s="863"/>
      <c r="C24" s="863"/>
      <c r="D24" s="863"/>
      <c r="E24" s="863"/>
      <c r="F24" s="863"/>
      <c r="G24" s="863"/>
      <c r="H24" s="863"/>
      <c r="I24" s="863"/>
      <c r="J24" s="863"/>
      <c r="K24" s="863"/>
      <c r="L24" s="863"/>
      <c r="M24" s="863"/>
      <c r="N24" s="863"/>
      <c r="O24" s="863"/>
      <c r="P24" s="863"/>
      <c r="Q24" s="863"/>
      <c r="R24" s="863"/>
      <c r="S24" s="863"/>
      <c r="T24" s="863"/>
      <c r="U24" s="863"/>
      <c r="V24" s="863"/>
      <c r="W24" s="863"/>
    </row>
    <row r="25" spans="1:25">
      <c r="A25" s="863"/>
      <c r="B25" s="863"/>
      <c r="C25" s="863"/>
      <c r="D25" s="863"/>
      <c r="E25" s="863"/>
      <c r="F25" s="863"/>
      <c r="G25" s="863"/>
      <c r="H25" s="863"/>
      <c r="I25" s="863"/>
      <c r="J25" s="863"/>
      <c r="K25" s="863"/>
      <c r="L25" s="863"/>
      <c r="M25" s="863"/>
      <c r="N25" s="863"/>
      <c r="O25" s="863"/>
      <c r="P25" s="863"/>
      <c r="Q25" s="863"/>
      <c r="R25" s="863"/>
      <c r="S25" s="863"/>
      <c r="T25" s="863"/>
      <c r="U25" s="863"/>
      <c r="V25" s="863"/>
      <c r="W25" s="863"/>
    </row>
    <row r="26" spans="1:25">
      <c r="A26" s="863"/>
      <c r="B26" s="863"/>
      <c r="C26" s="863"/>
      <c r="D26" s="863"/>
      <c r="E26" s="863"/>
      <c r="F26" s="863"/>
      <c r="G26" s="863"/>
      <c r="H26" s="863"/>
      <c r="I26" s="863"/>
      <c r="J26" s="863"/>
      <c r="K26" s="863"/>
      <c r="L26" s="863"/>
      <c r="M26" s="863"/>
      <c r="N26" s="863"/>
      <c r="O26" s="863"/>
      <c r="P26" s="863"/>
      <c r="Q26" s="863"/>
      <c r="R26" s="863"/>
      <c r="S26" s="863"/>
      <c r="T26" s="863"/>
      <c r="U26" s="863"/>
      <c r="V26" s="863"/>
      <c r="W26" s="863"/>
    </row>
    <row r="27" spans="1:25">
      <c r="A27" s="863"/>
      <c r="B27" s="863"/>
      <c r="C27" s="863"/>
      <c r="D27" s="863"/>
      <c r="E27" s="863"/>
      <c r="F27" s="863"/>
      <c r="G27" s="863"/>
      <c r="H27" s="863"/>
      <c r="I27" s="863"/>
      <c r="J27" s="863"/>
      <c r="K27" s="863"/>
      <c r="L27" s="863"/>
      <c r="M27" s="863"/>
      <c r="N27" s="863"/>
      <c r="O27" s="863"/>
      <c r="P27" s="863"/>
      <c r="Q27" s="863"/>
      <c r="R27" s="863"/>
      <c r="S27" s="863"/>
      <c r="T27" s="863"/>
      <c r="U27" s="863"/>
      <c r="V27" s="863"/>
      <c r="W27" s="863"/>
    </row>
    <row r="28" spans="1:25">
      <c r="A28" s="863"/>
      <c r="B28" s="863"/>
      <c r="C28" s="863"/>
      <c r="D28" s="863"/>
      <c r="E28" s="863"/>
      <c r="F28" s="863"/>
      <c r="G28" s="863"/>
      <c r="H28" s="863"/>
      <c r="I28" s="863"/>
      <c r="J28" s="863"/>
      <c r="K28" s="863"/>
      <c r="L28" s="863"/>
      <c r="M28" s="863"/>
      <c r="N28" s="863"/>
      <c r="O28" s="863"/>
      <c r="P28" s="868"/>
      <c r="Q28" s="868"/>
      <c r="R28" s="868"/>
      <c r="S28" s="868"/>
      <c r="T28" s="868"/>
      <c r="U28" s="868"/>
      <c r="V28" s="868"/>
      <c r="W28" s="868"/>
      <c r="X28" s="842"/>
      <c r="Y28" s="842"/>
    </row>
    <row r="29" spans="1:25">
      <c r="A29" s="863"/>
      <c r="B29" s="863"/>
      <c r="C29" s="863"/>
      <c r="D29" s="863"/>
      <c r="E29" s="863"/>
      <c r="F29" s="863"/>
      <c r="G29" s="863"/>
      <c r="H29" s="863"/>
      <c r="I29" s="863"/>
      <c r="J29" s="863"/>
      <c r="K29" s="863"/>
      <c r="L29" s="863"/>
      <c r="M29" s="863"/>
      <c r="N29" s="863"/>
      <c r="O29" s="863"/>
      <c r="P29" s="869"/>
      <c r="Q29" s="869"/>
      <c r="R29" s="869"/>
      <c r="S29" s="869"/>
      <c r="T29" s="869"/>
      <c r="U29" s="869"/>
      <c r="V29" s="863"/>
      <c r="W29" s="870"/>
      <c r="X29" s="843"/>
      <c r="Y29" s="843"/>
    </row>
    <row r="30" spans="1:25">
      <c r="A30" s="863"/>
      <c r="B30" s="863"/>
      <c r="C30" s="863"/>
      <c r="D30" s="863"/>
      <c r="E30" s="863"/>
      <c r="F30" s="863"/>
      <c r="G30" s="863"/>
      <c r="H30" s="863"/>
      <c r="I30" s="863"/>
      <c r="J30" s="863"/>
      <c r="K30" s="863"/>
      <c r="L30" s="863"/>
      <c r="M30" s="863"/>
      <c r="N30" s="863"/>
      <c r="O30" s="863"/>
      <c r="P30" s="863"/>
      <c r="Q30" s="863"/>
      <c r="R30" s="863"/>
      <c r="S30" s="863"/>
      <c r="T30" s="863"/>
      <c r="U30" s="863"/>
      <c r="V30" s="863"/>
      <c r="W30" s="863"/>
    </row>
    <row r="31" spans="1:25">
      <c r="A31" s="863"/>
      <c r="B31" s="863"/>
      <c r="C31" s="863"/>
      <c r="D31" s="863"/>
      <c r="E31" s="863"/>
      <c r="F31" s="863"/>
      <c r="G31" s="863"/>
      <c r="H31" s="863"/>
      <c r="I31" s="863"/>
      <c r="J31" s="863"/>
      <c r="K31" s="863"/>
      <c r="L31" s="863"/>
      <c r="M31" s="863"/>
      <c r="N31" s="863"/>
      <c r="O31" s="863"/>
      <c r="P31" s="871"/>
      <c r="Q31" s="863"/>
      <c r="R31" s="863"/>
      <c r="S31" s="863"/>
      <c r="T31" s="863"/>
      <c r="U31" s="863"/>
      <c r="V31" s="863"/>
      <c r="W31" s="863"/>
    </row>
    <row r="32" spans="1:25">
      <c r="A32" s="863"/>
      <c r="B32" s="863"/>
      <c r="C32" s="863"/>
      <c r="D32" s="863"/>
      <c r="E32" s="863"/>
      <c r="F32" s="863"/>
      <c r="G32" s="863"/>
      <c r="H32" s="863"/>
      <c r="I32" s="863"/>
      <c r="J32" s="863"/>
      <c r="K32" s="863"/>
      <c r="L32" s="863"/>
      <c r="M32" s="863"/>
      <c r="N32" s="863"/>
      <c r="O32" s="863"/>
      <c r="P32" s="870"/>
      <c r="Q32" s="863"/>
      <c r="R32" s="863"/>
      <c r="S32" s="863"/>
      <c r="T32" s="863"/>
      <c r="U32" s="863"/>
      <c r="V32" s="863"/>
      <c r="W32" s="863"/>
    </row>
    <row r="33" spans="1:23">
      <c r="A33" s="863"/>
      <c r="B33" s="863"/>
      <c r="C33" s="863"/>
      <c r="D33" s="863"/>
      <c r="E33" s="863"/>
      <c r="F33" s="863"/>
      <c r="G33" s="863"/>
      <c r="H33" s="863"/>
      <c r="I33" s="863"/>
      <c r="J33" s="863"/>
      <c r="K33" s="863"/>
      <c r="L33" s="863"/>
      <c r="M33" s="863"/>
      <c r="N33" s="863"/>
      <c r="O33" s="863"/>
      <c r="P33" s="870"/>
      <c r="Q33" s="863"/>
      <c r="R33" s="863"/>
      <c r="S33" s="863"/>
      <c r="T33" s="863"/>
      <c r="U33" s="863"/>
      <c r="V33" s="863"/>
      <c r="W33" s="863"/>
    </row>
    <row r="34" spans="1:23">
      <c r="A34" s="863"/>
      <c r="B34" s="863"/>
      <c r="C34" s="863"/>
      <c r="D34" s="863"/>
      <c r="E34" s="863"/>
      <c r="F34" s="863"/>
      <c r="G34" s="863"/>
      <c r="H34" s="863"/>
      <c r="I34" s="863"/>
      <c r="J34" s="863"/>
      <c r="K34" s="863"/>
      <c r="L34" s="863"/>
      <c r="M34" s="863"/>
      <c r="N34" s="863"/>
      <c r="O34" s="863"/>
      <c r="P34" s="870"/>
      <c r="Q34" s="863"/>
      <c r="R34" s="863"/>
      <c r="S34" s="863"/>
      <c r="T34" s="863"/>
      <c r="U34" s="863"/>
      <c r="V34" s="863"/>
      <c r="W34" s="863"/>
    </row>
    <row r="35" spans="1:23">
      <c r="A35" s="863"/>
      <c r="B35" s="863"/>
      <c r="C35" s="863"/>
      <c r="D35" s="863"/>
      <c r="E35" s="863"/>
      <c r="F35" s="863"/>
      <c r="G35" s="863"/>
      <c r="H35" s="872"/>
      <c r="I35" s="863"/>
      <c r="J35" s="871"/>
      <c r="K35" s="863"/>
      <c r="L35" s="863"/>
      <c r="M35" s="870"/>
      <c r="N35" s="870"/>
      <c r="O35" s="870"/>
      <c r="P35" s="870"/>
      <c r="Q35" s="863"/>
      <c r="R35" s="863"/>
      <c r="S35" s="863"/>
      <c r="T35" s="863"/>
      <c r="U35" s="863"/>
      <c r="V35" s="863"/>
      <c r="W35" s="863"/>
    </row>
    <row r="36" spans="1:23">
      <c r="A36" s="863"/>
      <c r="B36" s="863"/>
      <c r="C36" s="863"/>
      <c r="D36" s="863"/>
      <c r="E36" s="863"/>
      <c r="F36" s="863"/>
      <c r="G36" s="863"/>
      <c r="H36" s="872"/>
      <c r="I36" s="863"/>
      <c r="J36" s="871"/>
      <c r="K36" s="863"/>
      <c r="L36" s="863"/>
      <c r="M36" s="870"/>
      <c r="N36" s="870"/>
      <c r="O36" s="870"/>
      <c r="P36" s="870"/>
      <c r="Q36" s="863"/>
      <c r="R36" s="863"/>
      <c r="S36" s="863"/>
      <c r="T36" s="863"/>
      <c r="U36" s="863"/>
      <c r="V36" s="863"/>
      <c r="W36" s="863"/>
    </row>
    <row r="37" spans="1:23">
      <c r="A37" s="863"/>
      <c r="B37" s="863"/>
      <c r="C37" s="863"/>
      <c r="D37" s="863"/>
      <c r="E37" s="863"/>
      <c r="F37" s="863"/>
      <c r="G37" s="863"/>
      <c r="H37" s="863"/>
      <c r="I37" s="863"/>
      <c r="J37" s="871"/>
      <c r="K37" s="863"/>
      <c r="L37" s="863"/>
      <c r="M37" s="873"/>
      <c r="N37" s="872"/>
      <c r="O37" s="870"/>
      <c r="P37" s="870"/>
      <c r="Q37" s="863"/>
      <c r="R37" s="863"/>
      <c r="S37" s="863"/>
      <c r="T37" s="863"/>
      <c r="U37" s="863"/>
      <c r="V37" s="863"/>
      <c r="W37" s="863"/>
    </row>
    <row r="38" spans="1:23">
      <c r="A38" s="863"/>
      <c r="B38" s="863"/>
      <c r="C38" s="863"/>
      <c r="D38" s="863"/>
      <c r="E38" s="863"/>
      <c r="F38" s="863"/>
      <c r="G38" s="863"/>
      <c r="H38" s="872"/>
      <c r="I38" s="863"/>
      <c r="J38" s="871"/>
      <c r="K38" s="863"/>
      <c r="L38" s="863"/>
      <c r="M38" s="870"/>
      <c r="N38" s="870"/>
      <c r="O38" s="870"/>
      <c r="P38" s="870"/>
      <c r="Q38" s="863"/>
      <c r="R38" s="863"/>
      <c r="S38" s="863"/>
      <c r="T38" s="863"/>
      <c r="U38" s="863"/>
      <c r="V38" s="863"/>
      <c r="W38" s="863"/>
    </row>
    <row r="39" spans="1:23">
      <c r="A39" s="863"/>
      <c r="B39" s="863"/>
      <c r="C39" s="863"/>
      <c r="D39" s="863"/>
      <c r="E39" s="863"/>
      <c r="F39" s="863"/>
      <c r="G39" s="863"/>
      <c r="H39" s="871"/>
      <c r="I39" s="871"/>
      <c r="J39" s="871"/>
      <c r="K39" s="863"/>
      <c r="L39" s="870"/>
      <c r="M39" s="870"/>
      <c r="N39" s="870"/>
      <c r="O39" s="870"/>
      <c r="P39" s="870"/>
      <c r="Q39" s="863"/>
      <c r="R39" s="863"/>
      <c r="S39" s="863"/>
      <c r="T39" s="863"/>
      <c r="U39" s="863"/>
      <c r="V39" s="863"/>
      <c r="W39" s="863"/>
    </row>
    <row r="40" spans="1:23">
      <c r="A40" s="863"/>
      <c r="B40" s="863"/>
      <c r="C40" s="863"/>
      <c r="D40" s="863"/>
      <c r="E40" s="863"/>
      <c r="F40" s="863"/>
      <c r="G40" s="870"/>
      <c r="H40" s="870"/>
      <c r="I40" s="870"/>
      <c r="J40" s="870"/>
      <c r="K40" s="870"/>
      <c r="L40" s="870"/>
      <c r="M40" s="870"/>
      <c r="N40" s="870"/>
      <c r="O40" s="870"/>
      <c r="P40" s="870"/>
      <c r="Q40" s="863"/>
      <c r="R40" s="863"/>
      <c r="S40" s="863"/>
      <c r="T40" s="863"/>
      <c r="U40" s="863"/>
      <c r="V40" s="863"/>
      <c r="W40" s="863"/>
    </row>
    <row r="41" spans="1:23">
      <c r="A41" s="863"/>
      <c r="B41" s="863"/>
      <c r="C41" s="863"/>
      <c r="D41" s="863"/>
      <c r="E41" s="863"/>
      <c r="F41" s="863"/>
      <c r="G41" s="870"/>
      <c r="H41" s="870"/>
      <c r="I41" s="870"/>
      <c r="J41" s="870"/>
      <c r="K41" s="870"/>
      <c r="L41" s="870"/>
      <c r="M41" s="870"/>
      <c r="N41" s="870"/>
      <c r="O41" s="870"/>
      <c r="P41" s="870"/>
      <c r="Q41" s="863"/>
      <c r="R41" s="863"/>
      <c r="S41" s="863"/>
      <c r="T41" s="863"/>
      <c r="U41" s="863"/>
      <c r="V41" s="863"/>
      <c r="W41" s="863"/>
    </row>
    <row r="42" spans="1:23">
      <c r="A42" s="863"/>
      <c r="B42" s="863"/>
      <c r="C42" s="863"/>
      <c r="D42" s="863"/>
      <c r="E42" s="863"/>
      <c r="F42" s="863"/>
      <c r="G42" s="870"/>
      <c r="H42" s="870"/>
      <c r="I42" s="870"/>
      <c r="J42" s="870"/>
      <c r="K42" s="870"/>
      <c r="L42" s="870"/>
      <c r="M42" s="870"/>
      <c r="N42" s="870"/>
      <c r="O42" s="870"/>
      <c r="P42" s="870"/>
      <c r="Q42" s="863"/>
      <c r="R42" s="863"/>
      <c r="S42" s="863"/>
      <c r="T42" s="863"/>
      <c r="U42" s="863"/>
      <c r="V42" s="863"/>
      <c r="W42" s="863"/>
    </row>
    <row r="43" spans="1:23">
      <c r="A43" s="863"/>
      <c r="B43" s="863"/>
      <c r="C43" s="863"/>
      <c r="D43" s="863"/>
      <c r="E43" s="863"/>
      <c r="F43" s="863"/>
      <c r="G43" s="870"/>
      <c r="H43" s="870"/>
      <c r="I43" s="870"/>
      <c r="J43" s="870"/>
      <c r="K43" s="870"/>
      <c r="L43" s="870"/>
      <c r="M43" s="870"/>
      <c r="N43" s="870"/>
      <c r="O43" s="870"/>
      <c r="P43" s="870"/>
      <c r="Q43" s="863"/>
      <c r="R43" s="863"/>
      <c r="S43" s="863"/>
      <c r="T43" s="863"/>
      <c r="U43" s="863"/>
      <c r="V43" s="863"/>
      <c r="W43" s="863"/>
    </row>
    <row r="44" spans="1:23">
      <c r="A44" s="863"/>
      <c r="B44" s="863"/>
      <c r="C44" s="863"/>
      <c r="D44" s="863"/>
      <c r="E44" s="863"/>
      <c r="F44" s="863"/>
      <c r="G44" s="870"/>
      <c r="H44" s="870"/>
      <c r="I44" s="870"/>
      <c r="J44" s="870"/>
      <c r="K44" s="870"/>
      <c r="L44" s="870"/>
      <c r="M44" s="870"/>
      <c r="N44" s="870"/>
      <c r="O44" s="870"/>
      <c r="P44" s="870"/>
      <c r="Q44" s="863"/>
      <c r="R44" s="863"/>
      <c r="S44" s="863"/>
      <c r="T44" s="863"/>
      <c r="U44" s="863"/>
      <c r="V44" s="863"/>
      <c r="W44" s="863"/>
    </row>
    <row r="45" spans="1:23">
      <c r="A45" s="863"/>
      <c r="B45" s="863"/>
      <c r="C45" s="863"/>
      <c r="D45" s="863"/>
      <c r="E45" s="863"/>
      <c r="F45" s="863"/>
      <c r="G45" s="870"/>
      <c r="H45" s="870"/>
      <c r="I45" s="870"/>
      <c r="J45" s="870"/>
      <c r="K45" s="870"/>
      <c r="L45" s="870"/>
      <c r="M45" s="874"/>
      <c r="N45" s="870"/>
      <c r="O45" s="870"/>
      <c r="P45" s="875"/>
      <c r="Q45" s="875"/>
      <c r="R45" s="863"/>
      <c r="S45" s="863"/>
      <c r="T45" s="863"/>
      <c r="U45" s="863"/>
      <c r="V45" s="863"/>
      <c r="W45" s="863"/>
    </row>
    <row r="46" spans="1:23">
      <c r="A46" s="863"/>
      <c r="B46" s="863"/>
      <c r="C46" s="863"/>
      <c r="D46" s="863"/>
      <c r="E46" s="863"/>
      <c r="F46" s="863"/>
      <c r="G46" s="870"/>
      <c r="H46" s="870"/>
      <c r="I46" s="870"/>
      <c r="J46" s="870"/>
      <c r="K46" s="870"/>
      <c r="L46" s="870"/>
      <c r="M46" s="870"/>
      <c r="N46" s="870"/>
      <c r="O46" s="870"/>
      <c r="P46" s="870"/>
      <c r="Q46" s="863"/>
      <c r="R46" s="863"/>
      <c r="S46" s="863"/>
      <c r="T46" s="863"/>
      <c r="U46" s="863"/>
      <c r="V46" s="863"/>
      <c r="W46" s="863"/>
    </row>
    <row r="47" spans="1:23">
      <c r="A47" s="863"/>
      <c r="B47" s="863"/>
      <c r="C47" s="863"/>
      <c r="D47" s="863"/>
      <c r="E47" s="863"/>
      <c r="F47" s="863"/>
      <c r="G47" s="870"/>
      <c r="H47" s="870"/>
      <c r="I47" s="870"/>
      <c r="J47" s="870"/>
      <c r="K47" s="870"/>
      <c r="L47" s="870"/>
      <c r="M47" s="870"/>
      <c r="N47" s="870"/>
      <c r="O47" s="870"/>
      <c r="P47" s="870"/>
      <c r="Q47" s="863"/>
      <c r="R47" s="863"/>
      <c r="S47" s="863"/>
      <c r="T47" s="863"/>
      <c r="U47" s="863"/>
      <c r="V47" s="863"/>
      <c r="W47" s="863"/>
    </row>
    <row r="48" spans="1:23">
      <c r="A48" s="863"/>
      <c r="B48" s="863"/>
      <c r="C48" s="863"/>
      <c r="D48" s="863"/>
      <c r="E48" s="863"/>
      <c r="F48" s="863"/>
      <c r="G48" s="870"/>
      <c r="H48" s="870"/>
      <c r="I48" s="870"/>
      <c r="J48" s="870"/>
      <c r="K48" s="870"/>
      <c r="L48" s="870"/>
      <c r="M48" s="870"/>
      <c r="N48" s="870"/>
      <c r="O48" s="870"/>
      <c r="P48" s="870"/>
      <c r="Q48" s="863"/>
      <c r="R48" s="863"/>
      <c r="S48" s="863"/>
      <c r="T48" s="863"/>
      <c r="U48" s="863"/>
      <c r="V48" s="863"/>
      <c r="W48" s="863"/>
    </row>
    <row r="49" spans="1:25">
      <c r="A49" s="863"/>
      <c r="B49" s="863"/>
      <c r="C49" s="863"/>
      <c r="D49" s="863"/>
      <c r="E49" s="863"/>
      <c r="F49" s="863"/>
      <c r="G49" s="870"/>
      <c r="H49" s="870"/>
      <c r="I49" s="870"/>
      <c r="J49" s="870"/>
      <c r="K49" s="870"/>
      <c r="L49" s="876"/>
      <c r="M49" s="876"/>
      <c r="N49" s="876"/>
      <c r="O49" s="876"/>
      <c r="P49" s="870"/>
      <c r="Q49" s="870"/>
      <c r="R49" s="870"/>
      <c r="S49" s="870"/>
      <c r="T49" s="870"/>
      <c r="U49" s="870"/>
      <c r="V49" s="870"/>
      <c r="W49" s="870"/>
      <c r="X49" s="843"/>
      <c r="Y49" s="843"/>
    </row>
    <row r="50" spans="1:25">
      <c r="A50" s="863"/>
      <c r="B50" s="863"/>
      <c r="C50" s="863"/>
      <c r="D50" s="863"/>
      <c r="E50" s="863"/>
      <c r="F50" s="863"/>
      <c r="G50" s="870"/>
      <c r="H50" s="870"/>
      <c r="I50" s="870"/>
      <c r="J50" s="870"/>
      <c r="K50" s="870"/>
      <c r="L50" s="870"/>
      <c r="M50" s="870"/>
      <c r="N50" s="870"/>
      <c r="O50" s="870"/>
      <c r="P50" s="870"/>
      <c r="Q50" s="870"/>
      <c r="R50" s="870"/>
      <c r="S50" s="870"/>
      <c r="T50" s="870"/>
      <c r="U50" s="870"/>
      <c r="V50" s="870"/>
      <c r="W50" s="870"/>
      <c r="X50" s="843"/>
      <c r="Y50" s="843"/>
    </row>
    <row r="51" spans="1:25">
      <c r="A51" s="863"/>
      <c r="B51" s="863"/>
      <c r="C51" s="863"/>
      <c r="D51" s="863"/>
      <c r="E51" s="863"/>
      <c r="F51" s="863"/>
      <c r="G51" s="870"/>
      <c r="H51" s="870"/>
      <c r="I51" s="870"/>
      <c r="J51" s="870"/>
      <c r="K51" s="870"/>
      <c r="L51" s="870"/>
      <c r="M51" s="870"/>
      <c r="N51" s="870"/>
      <c r="O51" s="870"/>
      <c r="P51" s="863"/>
      <c r="Q51" s="863"/>
      <c r="R51" s="863"/>
      <c r="S51" s="863"/>
      <c r="T51" s="863"/>
      <c r="U51" s="863"/>
      <c r="V51" s="863"/>
      <c r="W51" s="863"/>
    </row>
    <row r="52" spans="1:25">
      <c r="A52" s="863"/>
      <c r="B52" s="863"/>
      <c r="C52" s="863"/>
      <c r="D52" s="863"/>
      <c r="E52" s="863"/>
      <c r="F52" s="863"/>
      <c r="G52" s="863"/>
      <c r="H52" s="863"/>
      <c r="I52" s="863"/>
      <c r="J52" s="863"/>
      <c r="K52" s="863"/>
      <c r="L52" s="863"/>
      <c r="M52" s="863"/>
      <c r="N52" s="863"/>
      <c r="O52" s="863"/>
      <c r="P52" s="863"/>
      <c r="Q52" s="863"/>
      <c r="R52" s="863"/>
      <c r="S52" s="863"/>
      <c r="T52" s="863"/>
      <c r="U52" s="863"/>
      <c r="V52" s="863"/>
      <c r="W52" s="863"/>
    </row>
    <row r="53" spans="1:25">
      <c r="A53" s="863"/>
      <c r="B53" s="863"/>
      <c r="C53" s="863"/>
      <c r="D53" s="863"/>
      <c r="E53" s="863"/>
      <c r="F53" s="863"/>
      <c r="G53" s="863"/>
      <c r="H53" s="863"/>
      <c r="I53" s="863"/>
      <c r="J53" s="863"/>
      <c r="K53" s="863"/>
      <c r="L53" s="863"/>
      <c r="M53" s="863"/>
      <c r="N53" s="863"/>
      <c r="O53" s="863"/>
      <c r="P53" s="863"/>
      <c r="Q53" s="863"/>
      <c r="R53" s="863"/>
      <c r="S53" s="863"/>
      <c r="T53" s="863"/>
      <c r="U53" s="863"/>
      <c r="V53" s="863"/>
      <c r="W53" s="863"/>
    </row>
    <row r="54" spans="1:25" hidden="1"/>
    <row r="55" spans="1:25" hidden="1">
      <c r="J55" s="846"/>
      <c r="R55" s="846"/>
    </row>
    <row r="56" spans="1:25" hidden="1">
      <c r="R56" s="846"/>
    </row>
  </sheetData>
  <sheetProtection algorithmName="SHA-512" hashValue="6hq1WnmD9jQ+xffofebC8KjErqTB8pITN4MeiZsKAaqwq0i+QPKbctWgIrWfTOnXMGLJtt9rJWoLUiNCZ61kWw==" saltValue="zoLfMxWCz9NLAgKXRqaxMQ==" spinCount="100000" sheet="1" objects="1" scenarios="1"/>
  <printOptions horizontalCentered="1" verticalCentered="1"/>
  <pageMargins left="0.19685039370078741" right="0.19685039370078741" top="0.19685039370078741" bottom="0.19685039370078741" header="0.19685039370078741" footer="0.19685039370078741"/>
  <pageSetup paperSize="9" scale="73"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Drop Down 4">
              <controlPr defaultSize="0" autoLine="0" autoPict="0">
                <anchor moveWithCells="1">
                  <from>
                    <xdr:col>14</xdr:col>
                    <xdr:colOff>438150</xdr:colOff>
                    <xdr:row>3</xdr:row>
                    <xdr:rowOff>9525</xdr:rowOff>
                  </from>
                  <to>
                    <xdr:col>16</xdr:col>
                    <xdr:colOff>571500</xdr:colOff>
                    <xdr:row>4</xdr:row>
                    <xdr:rowOff>28575</xdr:rowOff>
                  </to>
                </anchor>
              </controlPr>
            </control>
          </mc:Choice>
        </mc:AlternateContent>
        <mc:AlternateContent xmlns:mc="http://schemas.openxmlformats.org/markup-compatibility/2006">
          <mc:Choice Requires="x14">
            <control shapeId="5125" r:id="rId5" name="Drop Down 5">
              <controlPr defaultSize="0" autoLine="0" autoPict="0">
                <anchor moveWithCells="1">
                  <from>
                    <xdr:col>14</xdr:col>
                    <xdr:colOff>552450</xdr:colOff>
                    <xdr:row>27</xdr:row>
                    <xdr:rowOff>133350</xdr:rowOff>
                  </from>
                  <to>
                    <xdr:col>17</xdr:col>
                    <xdr:colOff>57150</xdr:colOff>
                    <xdr:row>28</xdr:row>
                    <xdr:rowOff>133350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A9090-2566-4A2F-825E-8F87D0EBD682}">
  <sheetPr>
    <pageSetUpPr fitToPage="1"/>
  </sheetPr>
  <dimension ref="A1:J51"/>
  <sheetViews>
    <sheetView topLeftCell="A13" zoomScaleNormal="100" workbookViewId="0">
      <selection sqref="A1:M2"/>
    </sheetView>
  </sheetViews>
  <sheetFormatPr defaultRowHeight="12.75"/>
  <cols>
    <col min="1" max="1" width="2.42578125" customWidth="1"/>
    <col min="2" max="10" width="10.5703125" customWidth="1"/>
    <col min="14" max="14" width="9.140625" customWidth="1"/>
  </cols>
  <sheetData>
    <row r="1" spans="1:10" ht="13.5" thickTop="1">
      <c r="A1" s="828" t="s">
        <v>136</v>
      </c>
      <c r="B1" s="829"/>
      <c r="C1" s="829"/>
      <c r="D1" s="300"/>
      <c r="E1" s="300"/>
      <c r="F1" s="300"/>
      <c r="G1" s="300"/>
      <c r="H1" s="300"/>
      <c r="I1" s="300"/>
      <c r="J1" s="300"/>
    </row>
    <row r="2" spans="1:10">
      <c r="A2" s="830"/>
      <c r="B2" s="831"/>
      <c r="C2" s="831"/>
      <c r="D2" s="300"/>
      <c r="E2" s="300"/>
      <c r="F2" s="300"/>
      <c r="G2" s="300"/>
      <c r="H2" s="300"/>
      <c r="I2" s="300"/>
      <c r="J2" s="300"/>
    </row>
    <row r="3" spans="1:10" ht="12.6" customHeight="1">
      <c r="A3" s="832" t="s">
        <v>814</v>
      </c>
      <c r="B3" s="832"/>
      <c r="C3" s="832"/>
      <c r="D3" s="832"/>
      <c r="E3" s="832"/>
      <c r="F3" s="832"/>
      <c r="G3" s="832"/>
      <c r="H3" s="832"/>
      <c r="I3" s="832"/>
      <c r="J3" s="832"/>
    </row>
    <row r="4" spans="1:10">
      <c r="A4" s="832"/>
      <c r="B4" s="832"/>
      <c r="C4" s="832"/>
      <c r="D4" s="832"/>
      <c r="E4" s="832"/>
      <c r="F4" s="832"/>
      <c r="G4" s="832"/>
      <c r="H4" s="832"/>
      <c r="I4" s="832"/>
      <c r="J4" s="832"/>
    </row>
    <row r="5" spans="1:10">
      <c r="A5" s="832"/>
      <c r="B5" s="832"/>
      <c r="C5" s="832"/>
      <c r="D5" s="832"/>
      <c r="E5" s="832"/>
      <c r="F5" s="832"/>
      <c r="G5" s="832"/>
      <c r="H5" s="832"/>
      <c r="I5" s="832"/>
      <c r="J5" s="832"/>
    </row>
    <row r="6" spans="1:10">
      <c r="A6" s="832"/>
      <c r="B6" s="832"/>
      <c r="C6" s="832"/>
      <c r="D6" s="832"/>
      <c r="E6" s="832"/>
      <c r="F6" s="832"/>
      <c r="G6" s="832"/>
      <c r="H6" s="832"/>
      <c r="I6" s="832"/>
      <c r="J6" s="832"/>
    </row>
    <row r="7" spans="1:10">
      <c r="A7" s="832"/>
      <c r="B7" s="832"/>
      <c r="C7" s="832"/>
      <c r="D7" s="832"/>
      <c r="E7" s="832"/>
      <c r="F7" s="832"/>
      <c r="G7" s="832"/>
      <c r="H7" s="832"/>
      <c r="I7" s="832"/>
      <c r="J7" s="832"/>
    </row>
    <row r="8" spans="1:10">
      <c r="A8" s="832"/>
      <c r="B8" s="832"/>
      <c r="C8" s="832"/>
      <c r="D8" s="832"/>
      <c r="E8" s="832"/>
      <c r="F8" s="832"/>
      <c r="G8" s="832"/>
      <c r="H8" s="832"/>
      <c r="I8" s="832"/>
      <c r="J8" s="832"/>
    </row>
    <row r="9" spans="1:10">
      <c r="A9" s="832"/>
      <c r="B9" s="832"/>
      <c r="C9" s="832"/>
      <c r="D9" s="832"/>
      <c r="E9" s="832"/>
      <c r="F9" s="832"/>
      <c r="G9" s="832"/>
      <c r="H9" s="832"/>
      <c r="I9" s="832"/>
      <c r="J9" s="832"/>
    </row>
    <row r="10" spans="1:10">
      <c r="A10" s="832"/>
      <c r="B10" s="832"/>
      <c r="C10" s="832"/>
      <c r="D10" s="832"/>
      <c r="E10" s="832"/>
      <c r="F10" s="832"/>
      <c r="G10" s="832"/>
      <c r="H10" s="832"/>
      <c r="I10" s="832"/>
      <c r="J10" s="832"/>
    </row>
    <row r="11" spans="1:10">
      <c r="A11" s="832"/>
      <c r="B11" s="832"/>
      <c r="C11" s="832"/>
      <c r="D11" s="832"/>
      <c r="E11" s="832"/>
      <c r="F11" s="832"/>
      <c r="G11" s="832"/>
      <c r="H11" s="832"/>
      <c r="I11" s="832"/>
      <c r="J11" s="832"/>
    </row>
    <row r="12" spans="1:10">
      <c r="A12" s="832"/>
      <c r="B12" s="832"/>
      <c r="C12" s="832"/>
      <c r="D12" s="832"/>
      <c r="E12" s="832"/>
      <c r="F12" s="832"/>
      <c r="G12" s="832"/>
      <c r="H12" s="832"/>
      <c r="I12" s="832"/>
      <c r="J12" s="832"/>
    </row>
    <row r="13" spans="1:10">
      <c r="A13" s="832"/>
      <c r="B13" s="832"/>
      <c r="C13" s="832"/>
      <c r="D13" s="832"/>
      <c r="E13" s="832"/>
      <c r="F13" s="832"/>
      <c r="G13" s="832"/>
      <c r="H13" s="832"/>
      <c r="I13" s="832"/>
      <c r="J13" s="832"/>
    </row>
    <row r="14" spans="1:10">
      <c r="A14" s="832"/>
      <c r="B14" s="832"/>
      <c r="C14" s="832"/>
      <c r="D14" s="832"/>
      <c r="E14" s="832"/>
      <c r="F14" s="832"/>
      <c r="G14" s="832"/>
      <c r="H14" s="832"/>
      <c r="I14" s="832"/>
      <c r="J14" s="832"/>
    </row>
    <row r="15" spans="1:10">
      <c r="A15" s="832"/>
      <c r="B15" s="832"/>
      <c r="C15" s="832"/>
      <c r="D15" s="832"/>
      <c r="E15" s="832"/>
      <c r="F15" s="832"/>
      <c r="G15" s="832"/>
      <c r="H15" s="832"/>
      <c r="I15" s="832"/>
      <c r="J15" s="832"/>
    </row>
    <row r="16" spans="1:10">
      <c r="A16" s="832"/>
      <c r="B16" s="832"/>
      <c r="C16" s="832"/>
      <c r="D16" s="832"/>
      <c r="E16" s="832"/>
      <c r="F16" s="832"/>
      <c r="G16" s="832"/>
      <c r="H16" s="832"/>
      <c r="I16" s="832"/>
      <c r="J16" s="832"/>
    </row>
    <row r="17" spans="1:10">
      <c r="A17" s="832"/>
      <c r="B17" s="832"/>
      <c r="C17" s="832"/>
      <c r="D17" s="832"/>
      <c r="E17" s="832"/>
      <c r="F17" s="832"/>
      <c r="G17" s="832"/>
      <c r="H17" s="832"/>
      <c r="I17" s="832"/>
      <c r="J17" s="832"/>
    </row>
    <row r="18" spans="1:10">
      <c r="A18" s="832"/>
      <c r="B18" s="832"/>
      <c r="C18" s="832"/>
      <c r="D18" s="832"/>
      <c r="E18" s="832"/>
      <c r="F18" s="832"/>
      <c r="G18" s="832"/>
      <c r="H18" s="832"/>
      <c r="I18" s="832"/>
      <c r="J18" s="832"/>
    </row>
    <row r="19" spans="1:10">
      <c r="A19" s="832"/>
      <c r="B19" s="832"/>
      <c r="C19" s="832"/>
      <c r="D19" s="832"/>
      <c r="E19" s="832"/>
      <c r="F19" s="832"/>
      <c r="G19" s="832"/>
      <c r="H19" s="832"/>
      <c r="I19" s="832"/>
      <c r="J19" s="832"/>
    </row>
    <row r="20" spans="1:10" ht="14.1" customHeight="1">
      <c r="A20" s="827" t="s">
        <v>815</v>
      </c>
      <c r="B20" s="827"/>
      <c r="C20" s="827"/>
      <c r="D20" s="827"/>
      <c r="E20" s="827"/>
      <c r="F20" s="827"/>
      <c r="G20" s="827"/>
      <c r="H20" s="827"/>
      <c r="I20" s="827"/>
      <c r="J20" s="827"/>
    </row>
    <row r="21" spans="1:10" ht="14.1" customHeight="1">
      <c r="A21" s="827"/>
      <c r="B21" s="827"/>
      <c r="C21" s="827"/>
      <c r="D21" s="827"/>
      <c r="E21" s="827"/>
      <c r="F21" s="827"/>
      <c r="G21" s="827"/>
      <c r="H21" s="827"/>
      <c r="I21" s="827"/>
      <c r="J21" s="827"/>
    </row>
    <row r="22" spans="1:10" ht="14.1" customHeight="1">
      <c r="A22" s="827"/>
      <c r="B22" s="827"/>
      <c r="C22" s="827"/>
      <c r="D22" s="827"/>
      <c r="E22" s="827"/>
      <c r="F22" s="827"/>
      <c r="G22" s="827"/>
      <c r="H22" s="827"/>
      <c r="I22" s="827"/>
      <c r="J22" s="827"/>
    </row>
    <row r="23" spans="1:10" ht="14.1" customHeight="1">
      <c r="A23" s="827"/>
      <c r="B23" s="827"/>
      <c r="C23" s="827"/>
      <c r="D23" s="827"/>
      <c r="E23" s="827"/>
      <c r="F23" s="827"/>
      <c r="G23" s="827"/>
      <c r="H23" s="827"/>
      <c r="I23" s="827"/>
      <c r="J23" s="827"/>
    </row>
    <row r="24" spans="1:10" ht="14.1" customHeight="1">
      <c r="A24" s="827"/>
      <c r="B24" s="827"/>
      <c r="C24" s="827"/>
      <c r="D24" s="827"/>
      <c r="E24" s="827"/>
      <c r="F24" s="827"/>
      <c r="G24" s="827"/>
      <c r="H24" s="827"/>
      <c r="I24" s="827"/>
      <c r="J24" s="827"/>
    </row>
    <row r="25" spans="1:10">
      <c r="A25" s="832" t="s">
        <v>816</v>
      </c>
      <c r="B25" s="833"/>
      <c r="C25" s="833"/>
      <c r="D25" s="833"/>
      <c r="E25" s="833"/>
      <c r="F25" s="833"/>
      <c r="G25" s="833"/>
      <c r="H25" s="833"/>
      <c r="I25" s="833"/>
      <c r="J25" s="833"/>
    </row>
    <row r="26" spans="1:10">
      <c r="A26" s="833"/>
      <c r="B26" s="833"/>
      <c r="C26" s="833"/>
      <c r="D26" s="833"/>
      <c r="E26" s="833"/>
      <c r="F26" s="833"/>
      <c r="G26" s="833"/>
      <c r="H26" s="833"/>
      <c r="I26" s="833"/>
      <c r="J26" s="833"/>
    </row>
    <row r="27" spans="1:10">
      <c r="A27" s="833"/>
      <c r="B27" s="833"/>
      <c r="C27" s="833"/>
      <c r="D27" s="833"/>
      <c r="E27" s="833"/>
      <c r="F27" s="833"/>
      <c r="G27" s="833"/>
      <c r="H27" s="833"/>
      <c r="I27" s="833"/>
      <c r="J27" s="833"/>
    </row>
    <row r="28" spans="1:10">
      <c r="A28" s="833"/>
      <c r="B28" s="833"/>
      <c r="C28" s="833"/>
      <c r="D28" s="833"/>
      <c r="E28" s="833"/>
      <c r="F28" s="833"/>
      <c r="G28" s="833"/>
      <c r="H28" s="833"/>
      <c r="I28" s="833"/>
      <c r="J28" s="833"/>
    </row>
    <row r="29" spans="1:10">
      <c r="A29" s="833"/>
      <c r="B29" s="833"/>
      <c r="C29" s="833"/>
      <c r="D29" s="833"/>
      <c r="E29" s="833"/>
      <c r="F29" s="833"/>
      <c r="G29" s="833"/>
      <c r="H29" s="833"/>
      <c r="I29" s="833"/>
      <c r="J29" s="833"/>
    </row>
    <row r="30" spans="1:10">
      <c r="A30" s="833"/>
      <c r="B30" s="833"/>
      <c r="C30" s="833"/>
      <c r="D30" s="833"/>
      <c r="E30" s="833"/>
      <c r="F30" s="833"/>
      <c r="G30" s="833"/>
      <c r="H30" s="833"/>
      <c r="I30" s="833"/>
      <c r="J30" s="833"/>
    </row>
    <row r="31" spans="1:10">
      <c r="A31" s="833"/>
      <c r="B31" s="833"/>
      <c r="C31" s="833"/>
      <c r="D31" s="833"/>
      <c r="E31" s="833"/>
      <c r="F31" s="833"/>
      <c r="G31" s="833"/>
      <c r="H31" s="833"/>
      <c r="I31" s="833"/>
      <c r="J31" s="833"/>
    </row>
    <row r="32" spans="1:10">
      <c r="A32" s="833"/>
      <c r="B32" s="833"/>
      <c r="C32" s="833"/>
      <c r="D32" s="833"/>
      <c r="E32" s="833"/>
      <c r="F32" s="833"/>
      <c r="G32" s="833"/>
      <c r="H32" s="833"/>
      <c r="I32" s="833"/>
      <c r="J32" s="833"/>
    </row>
    <row r="33" spans="1:10">
      <c r="A33" s="833"/>
      <c r="B33" s="833"/>
      <c r="C33" s="833"/>
      <c r="D33" s="833"/>
      <c r="E33" s="833"/>
      <c r="F33" s="833"/>
      <c r="G33" s="833"/>
      <c r="H33" s="833"/>
      <c r="I33" s="833"/>
      <c r="J33" s="833"/>
    </row>
    <row r="34" spans="1:10">
      <c r="A34" s="833"/>
      <c r="B34" s="833"/>
      <c r="C34" s="833"/>
      <c r="D34" s="833"/>
      <c r="E34" s="833"/>
      <c r="F34" s="833"/>
      <c r="G34" s="833"/>
      <c r="H34" s="833"/>
      <c r="I34" s="833"/>
      <c r="J34" s="833"/>
    </row>
    <row r="35" spans="1:10">
      <c r="A35" s="833"/>
      <c r="B35" s="833"/>
      <c r="C35" s="833"/>
      <c r="D35" s="833"/>
      <c r="E35" s="833"/>
      <c r="F35" s="833"/>
      <c r="G35" s="833"/>
      <c r="H35" s="833"/>
      <c r="I35" s="833"/>
      <c r="J35" s="833"/>
    </row>
    <row r="36" spans="1:10">
      <c r="A36" s="833"/>
      <c r="B36" s="833"/>
      <c r="C36" s="833"/>
      <c r="D36" s="833"/>
      <c r="E36" s="833"/>
      <c r="F36" s="833"/>
      <c r="G36" s="833"/>
      <c r="H36" s="833"/>
      <c r="I36" s="833"/>
      <c r="J36" s="833"/>
    </row>
    <row r="37" spans="1:10">
      <c r="A37" s="833"/>
      <c r="B37" s="833"/>
      <c r="C37" s="833"/>
      <c r="D37" s="833"/>
      <c r="E37" s="833"/>
      <c r="F37" s="833"/>
      <c r="G37" s="833"/>
      <c r="H37" s="833"/>
      <c r="I37" s="833"/>
      <c r="J37" s="833"/>
    </row>
    <row r="38" spans="1:10" ht="19.5" customHeight="1">
      <c r="A38" s="827" t="s">
        <v>817</v>
      </c>
      <c r="B38" s="827"/>
      <c r="C38" s="827"/>
      <c r="D38" s="827"/>
      <c r="E38" s="827"/>
      <c r="F38" s="827"/>
      <c r="G38" s="827"/>
      <c r="H38" s="827"/>
      <c r="I38" s="827"/>
      <c r="J38" s="827"/>
    </row>
    <row r="39" spans="1:10" ht="12.6" customHeight="1">
      <c r="A39" s="827"/>
      <c r="B39" s="827"/>
      <c r="C39" s="827"/>
      <c r="D39" s="827"/>
      <c r="E39" s="827"/>
      <c r="F39" s="827"/>
      <c r="G39" s="827"/>
      <c r="H39" s="827"/>
      <c r="I39" s="827"/>
      <c r="J39" s="827"/>
    </row>
    <row r="40" spans="1:10">
      <c r="A40" s="744"/>
      <c r="B40" s="827" t="s">
        <v>818</v>
      </c>
      <c r="C40" s="827"/>
      <c r="D40" s="827"/>
      <c r="E40" s="827"/>
      <c r="F40" s="827"/>
      <c r="G40" s="827"/>
      <c r="H40" s="827"/>
      <c r="I40" s="827"/>
      <c r="J40" s="827"/>
    </row>
    <row r="41" spans="1:10">
      <c r="A41" s="744"/>
      <c r="B41" s="827"/>
      <c r="C41" s="827"/>
      <c r="D41" s="827"/>
      <c r="E41" s="827"/>
      <c r="F41" s="827"/>
      <c r="G41" s="827"/>
      <c r="H41" s="827"/>
      <c r="I41" s="827"/>
      <c r="J41" s="827"/>
    </row>
    <row r="42" spans="1:10" ht="12.6" customHeight="1">
      <c r="A42" s="744"/>
      <c r="B42" s="827" t="s">
        <v>819</v>
      </c>
      <c r="C42" s="827"/>
      <c r="D42" s="827"/>
      <c r="E42" s="827"/>
      <c r="F42" s="827"/>
      <c r="G42" s="827"/>
      <c r="H42" s="827"/>
      <c r="I42" s="827"/>
      <c r="J42" s="827"/>
    </row>
    <row r="43" spans="1:10">
      <c r="A43" s="744"/>
      <c r="B43" s="827"/>
      <c r="C43" s="827"/>
      <c r="D43" s="827"/>
      <c r="E43" s="827"/>
      <c r="F43" s="827"/>
      <c r="G43" s="827"/>
      <c r="H43" s="827"/>
      <c r="I43" s="827"/>
      <c r="J43" s="827"/>
    </row>
    <row r="44" spans="1:10" ht="12.6" customHeight="1">
      <c r="A44" s="744"/>
      <c r="B44" s="827" t="s">
        <v>820</v>
      </c>
      <c r="C44" s="827"/>
      <c r="D44" s="827"/>
      <c r="E44" s="827"/>
      <c r="F44" s="827"/>
      <c r="G44" s="827"/>
      <c r="H44" s="827"/>
      <c r="I44" s="827"/>
      <c r="J44" s="827"/>
    </row>
    <row r="45" spans="1:10">
      <c r="A45" s="744"/>
      <c r="B45" s="827"/>
      <c r="C45" s="827"/>
      <c r="D45" s="827"/>
      <c r="E45" s="827"/>
      <c r="F45" s="827"/>
      <c r="G45" s="827"/>
      <c r="H45" s="827"/>
      <c r="I45" s="827"/>
      <c r="J45" s="827"/>
    </row>
    <row r="46" spans="1:10" ht="12.6" customHeight="1">
      <c r="A46" s="744"/>
      <c r="B46" s="827" t="s">
        <v>821</v>
      </c>
      <c r="C46" s="827"/>
      <c r="D46" s="827"/>
      <c r="E46" s="827"/>
      <c r="F46" s="827"/>
      <c r="G46" s="827"/>
      <c r="H46" s="827"/>
      <c r="I46" s="827"/>
      <c r="J46" s="827"/>
    </row>
    <row r="47" spans="1:10">
      <c r="A47" s="744"/>
      <c r="B47" s="827"/>
      <c r="C47" s="827"/>
      <c r="D47" s="827"/>
      <c r="E47" s="827"/>
      <c r="F47" s="827"/>
      <c r="G47" s="827"/>
      <c r="H47" s="827"/>
      <c r="I47" s="827"/>
      <c r="J47" s="827"/>
    </row>
    <row r="48" spans="1:10">
      <c r="A48" s="744"/>
      <c r="B48" s="744"/>
      <c r="C48" s="744"/>
      <c r="D48" s="744"/>
      <c r="E48" s="744"/>
      <c r="F48" s="744"/>
      <c r="G48" s="744"/>
      <c r="H48" s="744"/>
      <c r="I48" s="744"/>
      <c r="J48" s="744"/>
    </row>
    <row r="49" spans="1:10">
      <c r="A49" s="744"/>
      <c r="B49" s="744"/>
      <c r="C49" s="744"/>
      <c r="D49" s="744"/>
      <c r="E49" s="744"/>
      <c r="F49" s="744"/>
      <c r="G49" s="744"/>
      <c r="H49" s="744"/>
      <c r="I49" s="744"/>
      <c r="J49" s="744"/>
    </row>
    <row r="50" spans="1:10">
      <c r="A50" s="300"/>
      <c r="B50" s="300"/>
      <c r="C50" s="300"/>
      <c r="D50" s="300"/>
      <c r="E50" s="300"/>
      <c r="F50" s="300"/>
      <c r="G50" s="300"/>
      <c r="H50" s="300"/>
      <c r="I50" s="300"/>
      <c r="J50" s="300"/>
    </row>
    <row r="51" spans="1:10">
      <c r="A51" s="300"/>
      <c r="B51" s="300"/>
      <c r="C51" s="300"/>
      <c r="D51" s="300"/>
      <c r="E51" s="300"/>
      <c r="F51" s="300"/>
      <c r="G51" s="300"/>
      <c r="H51" s="300"/>
      <c r="I51" s="300"/>
      <c r="J51" s="300"/>
    </row>
  </sheetData>
  <mergeCells count="9">
    <mergeCell ref="B42:J43"/>
    <mergeCell ref="B44:J45"/>
    <mergeCell ref="B46:J47"/>
    <mergeCell ref="A1:C2"/>
    <mergeCell ref="A3:J19"/>
    <mergeCell ref="A20:J24"/>
    <mergeCell ref="A25:J37"/>
    <mergeCell ref="A38:J39"/>
    <mergeCell ref="B40:J41"/>
  </mergeCells>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7E071-B328-4FBD-8C9F-C61B9D72B24F}">
  <sheetPr>
    <pageSetUpPr fitToPage="1"/>
  </sheetPr>
  <dimension ref="A1:R36"/>
  <sheetViews>
    <sheetView zoomScaleNormal="100" workbookViewId="0">
      <selection sqref="A1:M2"/>
    </sheetView>
  </sheetViews>
  <sheetFormatPr defaultRowHeight="12.75"/>
  <cols>
    <col min="10" max="10" width="16.85546875" customWidth="1"/>
  </cols>
  <sheetData>
    <row r="1" spans="1:18" ht="13.5" thickTop="1">
      <c r="A1" s="828" t="s">
        <v>136</v>
      </c>
      <c r="B1" s="829"/>
      <c r="C1" s="829"/>
      <c r="D1" s="300"/>
      <c r="E1" s="300"/>
      <c r="F1" s="300"/>
      <c r="G1" s="300"/>
      <c r="H1" s="300"/>
      <c r="I1" s="300"/>
      <c r="J1" s="300"/>
    </row>
    <row r="2" spans="1:18">
      <c r="A2" s="830"/>
      <c r="B2" s="831"/>
      <c r="C2" s="831"/>
      <c r="D2" s="300"/>
      <c r="E2" s="300"/>
      <c r="F2" s="300"/>
      <c r="G2" s="300"/>
      <c r="H2" s="300"/>
      <c r="I2" s="300"/>
      <c r="J2" s="300"/>
    </row>
    <row r="3" spans="1:18">
      <c r="A3" s="827" t="s">
        <v>822</v>
      </c>
      <c r="B3" s="835"/>
      <c r="C3" s="835"/>
      <c r="D3" s="835"/>
      <c r="E3" s="835"/>
      <c r="F3" s="835"/>
      <c r="G3" s="835"/>
      <c r="H3" s="835"/>
      <c r="I3" s="835"/>
      <c r="J3" s="835"/>
    </row>
    <row r="4" spans="1:18">
      <c r="A4" s="835"/>
      <c r="B4" s="835"/>
      <c r="C4" s="835"/>
      <c r="D4" s="835"/>
      <c r="E4" s="835"/>
      <c r="F4" s="835"/>
      <c r="G4" s="835"/>
      <c r="H4" s="835"/>
      <c r="I4" s="835"/>
      <c r="J4" s="835"/>
    </row>
    <row r="5" spans="1:18">
      <c r="A5" s="835"/>
      <c r="B5" s="835"/>
      <c r="C5" s="835"/>
      <c r="D5" s="835"/>
      <c r="E5" s="835"/>
      <c r="F5" s="835"/>
      <c r="G5" s="835"/>
      <c r="H5" s="835"/>
      <c r="I5" s="835"/>
      <c r="J5" s="835"/>
    </row>
    <row r="6" spans="1:18">
      <c r="A6" s="835"/>
      <c r="B6" s="835"/>
      <c r="C6" s="835"/>
      <c r="D6" s="835"/>
      <c r="E6" s="835"/>
      <c r="F6" s="835"/>
      <c r="G6" s="835"/>
      <c r="H6" s="835"/>
      <c r="I6" s="835"/>
      <c r="J6" s="835"/>
    </row>
    <row r="7" spans="1:18">
      <c r="A7" s="835"/>
      <c r="B7" s="835"/>
      <c r="C7" s="835"/>
      <c r="D7" s="835"/>
      <c r="E7" s="835"/>
      <c r="F7" s="835"/>
      <c r="G7" s="835"/>
      <c r="H7" s="835"/>
      <c r="I7" s="835"/>
      <c r="J7" s="835"/>
    </row>
    <row r="8" spans="1:18">
      <c r="A8" s="835"/>
      <c r="B8" s="835"/>
      <c r="C8" s="835"/>
      <c r="D8" s="835"/>
      <c r="E8" s="835"/>
      <c r="F8" s="835"/>
      <c r="G8" s="835"/>
      <c r="H8" s="835"/>
      <c r="I8" s="835"/>
      <c r="J8" s="835"/>
    </row>
    <row r="9" spans="1:18">
      <c r="A9" s="835"/>
      <c r="B9" s="835"/>
      <c r="C9" s="835"/>
      <c r="D9" s="835"/>
      <c r="E9" s="835"/>
      <c r="F9" s="835"/>
      <c r="G9" s="835"/>
      <c r="H9" s="835"/>
      <c r="I9" s="835"/>
      <c r="J9" s="835"/>
    </row>
    <row r="10" spans="1:18">
      <c r="A10" s="835"/>
      <c r="B10" s="835"/>
      <c r="C10" s="835"/>
      <c r="D10" s="835"/>
      <c r="E10" s="835"/>
      <c r="F10" s="835"/>
      <c r="G10" s="835"/>
      <c r="H10" s="835"/>
      <c r="I10" s="835"/>
      <c r="J10" s="835"/>
    </row>
    <row r="11" spans="1:18">
      <c r="A11" s="835"/>
      <c r="B11" s="835"/>
      <c r="C11" s="835"/>
      <c r="D11" s="835"/>
      <c r="E11" s="835"/>
      <c r="F11" s="835"/>
      <c r="G11" s="835"/>
      <c r="H11" s="835"/>
      <c r="I11" s="835"/>
      <c r="J11" s="835"/>
    </row>
    <row r="12" spans="1:18">
      <c r="A12" s="835"/>
      <c r="B12" s="835"/>
      <c r="C12" s="835"/>
      <c r="D12" s="835"/>
      <c r="E12" s="835"/>
      <c r="F12" s="835"/>
      <c r="G12" s="835"/>
      <c r="H12" s="835"/>
      <c r="I12" s="835"/>
      <c r="J12" s="835"/>
    </row>
    <row r="13" spans="1:18">
      <c r="A13" s="835"/>
      <c r="B13" s="835"/>
      <c r="C13" s="835"/>
      <c r="D13" s="835"/>
      <c r="E13" s="835"/>
      <c r="F13" s="835"/>
      <c r="G13" s="835"/>
      <c r="H13" s="835"/>
      <c r="I13" s="835"/>
      <c r="J13" s="835"/>
    </row>
    <row r="14" spans="1:18">
      <c r="A14" s="835"/>
      <c r="B14" s="835"/>
      <c r="C14" s="835"/>
      <c r="D14" s="835"/>
      <c r="E14" s="835"/>
      <c r="F14" s="835"/>
      <c r="G14" s="835"/>
      <c r="H14" s="835"/>
      <c r="I14" s="835"/>
      <c r="J14" s="835"/>
    </row>
    <row r="15" spans="1:18">
      <c r="A15" s="835"/>
      <c r="B15" s="835"/>
      <c r="C15" s="835"/>
      <c r="D15" s="835"/>
      <c r="E15" s="835"/>
      <c r="F15" s="835"/>
      <c r="G15" s="835"/>
      <c r="H15" s="835"/>
      <c r="I15" s="835"/>
      <c r="J15" s="835"/>
    </row>
    <row r="16" spans="1:18">
      <c r="A16" s="835"/>
      <c r="B16" s="835"/>
      <c r="C16" s="835"/>
      <c r="D16" s="835"/>
      <c r="E16" s="835"/>
      <c r="F16" s="835"/>
      <c r="G16" s="835"/>
      <c r="H16" s="835"/>
      <c r="I16" s="835"/>
      <c r="J16" s="835"/>
      <c r="R16" s="456"/>
    </row>
    <row r="17" spans="1:10">
      <c r="A17" s="827" t="s">
        <v>823</v>
      </c>
      <c r="B17" s="827"/>
      <c r="C17" s="827"/>
      <c r="D17" s="827"/>
      <c r="E17" s="827"/>
      <c r="F17" s="827"/>
      <c r="G17" s="827"/>
      <c r="H17" s="827"/>
      <c r="I17" s="827"/>
      <c r="J17" s="827"/>
    </row>
    <row r="18" spans="1:10">
      <c r="A18" s="827"/>
      <c r="B18" s="827"/>
      <c r="C18" s="827"/>
      <c r="D18" s="827"/>
      <c r="E18" s="827"/>
      <c r="F18" s="827"/>
      <c r="G18" s="827"/>
      <c r="H18" s="827"/>
      <c r="I18" s="827"/>
      <c r="J18" s="827"/>
    </row>
    <row r="19" spans="1:10">
      <c r="A19" s="827"/>
      <c r="B19" s="827"/>
      <c r="C19" s="827"/>
      <c r="D19" s="827"/>
      <c r="E19" s="827"/>
      <c r="F19" s="827"/>
      <c r="G19" s="827"/>
      <c r="H19" s="827"/>
      <c r="I19" s="827"/>
      <c r="J19" s="827"/>
    </row>
    <row r="20" spans="1:10">
      <c r="A20" s="835" t="s">
        <v>824</v>
      </c>
      <c r="B20" s="835"/>
      <c r="C20" s="835"/>
      <c r="D20" s="835"/>
      <c r="E20" s="835"/>
      <c r="F20" s="835"/>
      <c r="G20" s="835"/>
      <c r="H20" s="835"/>
      <c r="I20" s="835"/>
      <c r="J20" s="835"/>
    </row>
    <row r="21" spans="1:10">
      <c r="A21" s="835"/>
      <c r="B21" s="835"/>
      <c r="C21" s="835"/>
      <c r="D21" s="835"/>
      <c r="E21" s="835"/>
      <c r="F21" s="835"/>
      <c r="G21" s="835"/>
      <c r="H21" s="835"/>
      <c r="I21" s="835"/>
      <c r="J21" s="835"/>
    </row>
    <row r="22" spans="1:10">
      <c r="A22" s="836" t="s">
        <v>825</v>
      </c>
      <c r="B22" s="836"/>
      <c r="C22" s="836"/>
      <c r="D22" s="836"/>
      <c r="E22" s="836"/>
      <c r="F22" s="836"/>
      <c r="G22" s="836"/>
      <c r="H22" s="836"/>
      <c r="I22" s="836"/>
      <c r="J22" s="836"/>
    </row>
    <row r="23" spans="1:10">
      <c r="A23" s="836"/>
      <c r="B23" s="836"/>
      <c r="C23" s="836"/>
      <c r="D23" s="836"/>
      <c r="E23" s="836"/>
      <c r="F23" s="836"/>
      <c r="G23" s="836"/>
      <c r="H23" s="836"/>
      <c r="I23" s="836"/>
      <c r="J23" s="836"/>
    </row>
    <row r="24" spans="1:10">
      <c r="A24" s="827" t="s">
        <v>826</v>
      </c>
      <c r="B24" s="827"/>
      <c r="C24" s="827"/>
      <c r="D24" s="827"/>
      <c r="E24" s="827"/>
      <c r="F24" s="827"/>
      <c r="G24" s="827"/>
      <c r="H24" s="827"/>
      <c r="I24" s="827"/>
      <c r="J24" s="827"/>
    </row>
    <row r="25" spans="1:10">
      <c r="A25" s="827"/>
      <c r="B25" s="827"/>
      <c r="C25" s="827"/>
      <c r="D25" s="827"/>
      <c r="E25" s="827"/>
      <c r="F25" s="827"/>
      <c r="G25" s="827"/>
      <c r="H25" s="827"/>
      <c r="I25" s="827"/>
      <c r="J25" s="827"/>
    </row>
    <row r="26" spans="1:10">
      <c r="A26" s="827"/>
      <c r="B26" s="827"/>
      <c r="C26" s="827"/>
      <c r="D26" s="827"/>
      <c r="E26" s="827"/>
      <c r="F26" s="827"/>
      <c r="G26" s="827"/>
      <c r="H26" s="827"/>
      <c r="I26" s="827"/>
      <c r="J26" s="827"/>
    </row>
    <row r="27" spans="1:10">
      <c r="A27" s="827"/>
      <c r="B27" s="827"/>
      <c r="C27" s="827"/>
      <c r="D27" s="827"/>
      <c r="E27" s="827"/>
      <c r="F27" s="827"/>
      <c r="G27" s="827"/>
      <c r="H27" s="827"/>
      <c r="I27" s="827"/>
      <c r="J27" s="827"/>
    </row>
    <row r="28" spans="1:10">
      <c r="A28" s="827"/>
      <c r="B28" s="827"/>
      <c r="C28" s="827"/>
      <c r="D28" s="827"/>
      <c r="E28" s="827"/>
      <c r="F28" s="827"/>
      <c r="G28" s="827"/>
      <c r="H28" s="827"/>
      <c r="I28" s="827"/>
      <c r="J28" s="827"/>
    </row>
    <row r="29" spans="1:10" ht="12.6" customHeight="1">
      <c r="A29" s="827" t="s">
        <v>827</v>
      </c>
      <c r="B29" s="827"/>
      <c r="C29" s="827"/>
      <c r="D29" s="827"/>
      <c r="E29" s="827"/>
      <c r="F29" s="827"/>
      <c r="G29" s="827"/>
      <c r="H29" s="827"/>
      <c r="I29" s="827"/>
      <c r="J29" s="827"/>
    </row>
    <row r="30" spans="1:10">
      <c r="A30" s="827"/>
      <c r="B30" s="827"/>
      <c r="C30" s="827"/>
      <c r="D30" s="827"/>
      <c r="E30" s="827"/>
      <c r="F30" s="827"/>
      <c r="G30" s="827"/>
      <c r="H30" s="827"/>
      <c r="I30" s="827"/>
      <c r="J30" s="827"/>
    </row>
    <row r="31" spans="1:10">
      <c r="A31" s="827"/>
      <c r="B31" s="827"/>
      <c r="C31" s="827"/>
      <c r="D31" s="827"/>
      <c r="E31" s="827"/>
      <c r="F31" s="827"/>
      <c r="G31" s="827"/>
      <c r="H31" s="827"/>
      <c r="I31" s="827"/>
      <c r="J31" s="827"/>
    </row>
    <row r="32" spans="1:10">
      <c r="A32" s="827"/>
      <c r="B32" s="827"/>
      <c r="C32" s="827"/>
      <c r="D32" s="827"/>
      <c r="E32" s="827"/>
      <c r="F32" s="827"/>
      <c r="G32" s="827"/>
      <c r="H32" s="827"/>
      <c r="I32" s="827"/>
      <c r="J32" s="827"/>
    </row>
    <row r="33" spans="1:10" ht="12.6" customHeight="1">
      <c r="A33" s="834" t="s">
        <v>828</v>
      </c>
      <c r="B33" s="827"/>
      <c r="C33" s="827"/>
      <c r="D33" s="827"/>
      <c r="E33" s="827"/>
      <c r="F33" s="827"/>
      <c r="G33" s="827"/>
      <c r="H33" s="827"/>
      <c r="I33" s="827"/>
      <c r="J33" s="827"/>
    </row>
    <row r="34" spans="1:10">
      <c r="A34" s="827"/>
      <c r="B34" s="827"/>
      <c r="C34" s="827"/>
      <c r="D34" s="827"/>
      <c r="E34" s="827"/>
      <c r="F34" s="827"/>
      <c r="G34" s="827"/>
      <c r="H34" s="827"/>
      <c r="I34" s="827"/>
      <c r="J34" s="827"/>
    </row>
    <row r="35" spans="1:10">
      <c r="A35" s="827"/>
      <c r="B35" s="827"/>
      <c r="C35" s="827"/>
      <c r="D35" s="827"/>
      <c r="E35" s="827"/>
      <c r="F35" s="827"/>
      <c r="G35" s="827"/>
      <c r="H35" s="827"/>
      <c r="I35" s="827"/>
      <c r="J35" s="827"/>
    </row>
    <row r="36" spans="1:10">
      <c r="A36" s="827"/>
      <c r="B36" s="827"/>
      <c r="C36" s="827"/>
      <c r="D36" s="827"/>
      <c r="E36" s="827"/>
      <c r="F36" s="827"/>
      <c r="G36" s="827"/>
      <c r="H36" s="827"/>
      <c r="I36" s="827"/>
      <c r="J36" s="827"/>
    </row>
  </sheetData>
  <mergeCells count="8">
    <mergeCell ref="A29:J32"/>
    <mergeCell ref="A33:J36"/>
    <mergeCell ref="A1:C2"/>
    <mergeCell ref="A3:J16"/>
    <mergeCell ref="A17:J19"/>
    <mergeCell ref="A20:J21"/>
    <mergeCell ref="A22:J23"/>
    <mergeCell ref="A24:J28"/>
  </mergeCells>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0CD6-55B8-4B00-A352-464BDA708EF1}">
  <dimension ref="A1:J56"/>
  <sheetViews>
    <sheetView topLeftCell="A7" workbookViewId="0">
      <selection sqref="A1:M2"/>
    </sheetView>
  </sheetViews>
  <sheetFormatPr defaultRowHeight="12.75"/>
  <cols>
    <col min="1" max="1" width="3.85546875" customWidth="1"/>
    <col min="2" max="2" width="9.5703125" customWidth="1"/>
    <col min="5" max="5" width="11.28515625" customWidth="1"/>
  </cols>
  <sheetData>
    <row r="1" spans="1:10" ht="13.5" thickTop="1">
      <c r="A1" s="828" t="s">
        <v>137</v>
      </c>
      <c r="B1" s="829"/>
      <c r="C1" s="829"/>
      <c r="D1" s="300"/>
      <c r="E1" s="300"/>
      <c r="F1" s="300"/>
      <c r="G1" s="300"/>
      <c r="H1" s="300"/>
      <c r="I1" s="300"/>
      <c r="J1" s="300"/>
    </row>
    <row r="2" spans="1:10">
      <c r="A2" s="830"/>
      <c r="B2" s="831"/>
      <c r="C2" s="831"/>
      <c r="D2" s="300"/>
      <c r="E2" s="300"/>
      <c r="F2" s="300"/>
      <c r="G2" s="300"/>
      <c r="H2" s="300"/>
      <c r="I2" s="300"/>
      <c r="J2" s="300"/>
    </row>
    <row r="3" spans="1:10">
      <c r="A3" s="827" t="s">
        <v>829</v>
      </c>
      <c r="B3" s="827"/>
      <c r="C3" s="827"/>
      <c r="D3" s="827"/>
      <c r="E3" s="827"/>
      <c r="F3" s="827"/>
      <c r="G3" s="827"/>
      <c r="H3" s="827"/>
      <c r="I3" s="827"/>
      <c r="J3" s="827"/>
    </row>
    <row r="4" spans="1:10">
      <c r="A4" s="827"/>
      <c r="B4" s="827"/>
      <c r="C4" s="827"/>
      <c r="D4" s="827"/>
      <c r="E4" s="827"/>
      <c r="F4" s="827"/>
      <c r="G4" s="827"/>
      <c r="H4" s="827"/>
      <c r="I4" s="827"/>
      <c r="J4" s="827"/>
    </row>
    <row r="5" spans="1:10">
      <c r="A5" s="827"/>
      <c r="B5" s="827"/>
      <c r="C5" s="827"/>
      <c r="D5" s="827"/>
      <c r="E5" s="827"/>
      <c r="F5" s="827"/>
      <c r="G5" s="827"/>
      <c r="H5" s="827"/>
      <c r="I5" s="827"/>
      <c r="J5" s="827"/>
    </row>
    <row r="6" spans="1:10">
      <c r="A6" s="827"/>
      <c r="B6" s="827"/>
      <c r="C6" s="827"/>
      <c r="D6" s="827"/>
      <c r="E6" s="827"/>
      <c r="F6" s="827"/>
      <c r="G6" s="827"/>
      <c r="H6" s="827"/>
      <c r="I6" s="827"/>
      <c r="J6" s="827"/>
    </row>
    <row r="7" spans="1:10" ht="12.6" customHeight="1">
      <c r="A7" s="300"/>
      <c r="B7" s="838" t="s">
        <v>830</v>
      </c>
      <c r="C7" s="838"/>
      <c r="D7" s="838"/>
      <c r="E7" s="838"/>
      <c r="F7" s="838"/>
      <c r="G7" s="838"/>
      <c r="H7" s="838"/>
      <c r="I7" s="838"/>
      <c r="J7" s="838"/>
    </row>
    <row r="8" spans="1:10">
      <c r="A8" s="300"/>
      <c r="B8" s="839" t="s">
        <v>831</v>
      </c>
      <c r="C8" s="836"/>
      <c r="D8" s="836"/>
      <c r="E8" s="836"/>
      <c r="F8" s="836"/>
      <c r="G8" s="836"/>
      <c r="H8" s="836"/>
      <c r="I8" s="836"/>
      <c r="J8" s="836"/>
    </row>
    <row r="9" spans="1:10">
      <c r="A9" s="300"/>
      <c r="B9" s="836"/>
      <c r="C9" s="836"/>
      <c r="D9" s="836"/>
      <c r="E9" s="836"/>
      <c r="F9" s="836"/>
      <c r="G9" s="836"/>
      <c r="H9" s="836"/>
      <c r="I9" s="836"/>
      <c r="J9" s="836"/>
    </row>
    <row r="10" spans="1:10">
      <c r="A10" s="827" t="s">
        <v>832</v>
      </c>
      <c r="B10" s="827"/>
      <c r="C10" s="827"/>
      <c r="D10" s="827"/>
      <c r="E10" s="827"/>
      <c r="F10" s="827"/>
      <c r="G10" s="827"/>
      <c r="H10" s="827"/>
      <c r="I10" s="827"/>
      <c r="J10" s="827"/>
    </row>
    <row r="11" spans="1:10">
      <c r="A11" s="827"/>
      <c r="B11" s="827"/>
      <c r="C11" s="827"/>
      <c r="D11" s="827"/>
      <c r="E11" s="827"/>
      <c r="F11" s="827"/>
      <c r="G11" s="827"/>
      <c r="H11" s="827"/>
      <c r="I11" s="827"/>
      <c r="J11" s="827"/>
    </row>
    <row r="12" spans="1:10">
      <c r="A12" s="827"/>
      <c r="B12" s="827"/>
      <c r="C12" s="827"/>
      <c r="D12" s="827"/>
      <c r="E12" s="827"/>
      <c r="F12" s="827"/>
      <c r="G12" s="827"/>
      <c r="H12" s="827"/>
      <c r="I12" s="827"/>
      <c r="J12" s="827"/>
    </row>
    <row r="13" spans="1:10">
      <c r="A13" s="827"/>
      <c r="B13" s="827"/>
      <c r="C13" s="827"/>
      <c r="D13" s="827"/>
      <c r="E13" s="827"/>
      <c r="F13" s="827"/>
      <c r="G13" s="827"/>
      <c r="H13" s="827"/>
      <c r="I13" s="827"/>
      <c r="J13" s="827"/>
    </row>
    <row r="14" spans="1:10">
      <c r="A14" s="827"/>
      <c r="B14" s="827"/>
      <c r="C14" s="827"/>
      <c r="D14" s="827"/>
      <c r="E14" s="827"/>
      <c r="F14" s="827"/>
      <c r="G14" s="827"/>
      <c r="H14" s="827"/>
      <c r="I14" s="827"/>
      <c r="J14" s="827"/>
    </row>
    <row r="15" spans="1:10" ht="68.45" customHeight="1">
      <c r="A15" s="827" t="s">
        <v>833</v>
      </c>
      <c r="B15" s="827"/>
      <c r="C15" s="827"/>
      <c r="D15" s="827"/>
      <c r="E15" s="827"/>
      <c r="F15" s="827"/>
      <c r="G15" s="827"/>
      <c r="H15" s="827"/>
      <c r="I15" s="827"/>
      <c r="J15" s="827"/>
    </row>
    <row r="16" spans="1:10" ht="6" customHeight="1">
      <c r="A16" s="745"/>
      <c r="B16" s="745"/>
      <c r="C16" s="745"/>
      <c r="D16" s="745"/>
      <c r="E16" s="745"/>
      <c r="F16" s="745"/>
      <c r="G16" s="745"/>
      <c r="H16" s="745"/>
      <c r="I16" s="745"/>
      <c r="J16" s="745"/>
    </row>
    <row r="17" spans="1:10" ht="27.75" customHeight="1">
      <c r="A17" s="827" t="s">
        <v>834</v>
      </c>
      <c r="B17" s="827"/>
      <c r="C17" s="827"/>
      <c r="D17" s="827"/>
      <c r="E17" s="827"/>
      <c r="F17" s="827"/>
      <c r="G17" s="827"/>
      <c r="H17" s="827"/>
      <c r="I17" s="827"/>
      <c r="J17" s="827"/>
    </row>
    <row r="18" spans="1:10">
      <c r="A18" s="300"/>
      <c r="B18" s="300"/>
      <c r="C18" s="300"/>
      <c r="D18" s="300"/>
      <c r="E18" s="300"/>
      <c r="F18" s="300"/>
      <c r="G18" s="300"/>
      <c r="H18" s="300"/>
      <c r="I18" s="300"/>
      <c r="J18" s="300"/>
    </row>
    <row r="19" spans="1:10">
      <c r="A19" s="300"/>
      <c r="B19" s="300"/>
      <c r="C19" s="300"/>
      <c r="D19" s="300"/>
      <c r="E19" s="300"/>
      <c r="F19" s="300"/>
      <c r="G19" s="300"/>
      <c r="H19" s="300"/>
      <c r="I19" s="300"/>
      <c r="J19" s="300"/>
    </row>
    <row r="20" spans="1:10">
      <c r="A20" s="300"/>
      <c r="B20" s="300"/>
      <c r="C20" s="300"/>
      <c r="D20" s="300"/>
      <c r="E20" s="300"/>
      <c r="F20" s="300"/>
      <c r="G20" s="300"/>
      <c r="H20" s="300"/>
      <c r="I20" s="300"/>
      <c r="J20" s="300"/>
    </row>
    <row r="21" spans="1:10">
      <c r="A21" s="300"/>
      <c r="B21" s="300"/>
      <c r="C21" s="300"/>
      <c r="D21" s="300"/>
      <c r="E21" s="300"/>
      <c r="F21" s="300"/>
      <c r="G21" s="300"/>
      <c r="H21" s="300"/>
      <c r="I21" s="300"/>
      <c r="J21" s="300"/>
    </row>
    <row r="22" spans="1:10">
      <c r="A22" s="300"/>
      <c r="B22" s="300"/>
      <c r="C22" s="300"/>
      <c r="D22" s="300"/>
      <c r="E22" s="300"/>
      <c r="F22" s="300"/>
      <c r="G22" s="300"/>
      <c r="H22" s="300"/>
      <c r="I22" s="300"/>
      <c r="J22" s="300"/>
    </row>
    <row r="23" spans="1:10">
      <c r="A23" s="300"/>
      <c r="B23" s="300"/>
      <c r="C23" s="300"/>
      <c r="D23" s="300"/>
      <c r="E23" s="300"/>
      <c r="F23" s="300"/>
      <c r="G23" s="300"/>
      <c r="H23" s="300"/>
      <c r="I23" s="300"/>
      <c r="J23" s="300"/>
    </row>
    <row r="24" spans="1:10">
      <c r="A24" s="300"/>
      <c r="B24" s="300"/>
      <c r="C24" s="300"/>
      <c r="D24" s="300"/>
      <c r="E24" s="300"/>
      <c r="F24" s="300"/>
      <c r="G24" s="300"/>
      <c r="H24" s="300"/>
      <c r="I24" s="300"/>
      <c r="J24" s="300"/>
    </row>
    <row r="25" spans="1:10">
      <c r="A25" s="300"/>
      <c r="B25" s="300"/>
      <c r="C25" s="300"/>
      <c r="D25" s="300"/>
      <c r="E25" s="300"/>
      <c r="F25" s="300"/>
      <c r="G25" s="300"/>
      <c r="H25" s="300"/>
      <c r="I25" s="300"/>
      <c r="J25" s="300"/>
    </row>
    <row r="26" spans="1:10">
      <c r="A26" s="300"/>
      <c r="B26" s="300"/>
      <c r="C26" s="300"/>
      <c r="D26" s="300"/>
      <c r="E26" s="300"/>
      <c r="F26" s="300"/>
      <c r="G26" s="300"/>
      <c r="H26" s="300"/>
      <c r="I26" s="300"/>
      <c r="J26" s="300"/>
    </row>
    <row r="27" spans="1:10">
      <c r="A27" s="300"/>
      <c r="B27" s="300"/>
      <c r="C27" s="300"/>
      <c r="D27" s="300"/>
      <c r="E27" s="300"/>
      <c r="F27" s="300"/>
      <c r="G27" s="300"/>
      <c r="H27" s="300"/>
      <c r="I27" s="300"/>
      <c r="J27" s="300"/>
    </row>
    <row r="28" spans="1:10">
      <c r="A28" s="300"/>
      <c r="B28" s="300"/>
      <c r="C28" s="300"/>
      <c r="D28" s="300"/>
      <c r="E28" s="300"/>
      <c r="F28" s="300"/>
      <c r="G28" s="300"/>
      <c r="H28" s="300"/>
      <c r="I28" s="300"/>
      <c r="J28" s="300"/>
    </row>
    <row r="29" spans="1:10">
      <c r="A29" s="300"/>
      <c r="B29" s="300"/>
      <c r="C29" s="300"/>
      <c r="D29" s="300"/>
      <c r="E29" s="300"/>
      <c r="F29" s="300"/>
      <c r="G29" s="300"/>
      <c r="H29" s="300"/>
      <c r="I29" s="300"/>
      <c r="J29" s="300"/>
    </row>
    <row r="30" spans="1:10">
      <c r="A30" s="300"/>
      <c r="B30" s="300"/>
      <c r="C30" s="300"/>
      <c r="D30" s="300"/>
      <c r="E30" s="300"/>
      <c r="F30" s="300"/>
      <c r="G30" s="300"/>
      <c r="H30" s="300"/>
      <c r="I30" s="300"/>
      <c r="J30" s="300"/>
    </row>
    <row r="31" spans="1:10">
      <c r="A31" s="300"/>
      <c r="B31" s="300"/>
      <c r="C31" s="300"/>
      <c r="D31" s="300"/>
      <c r="E31" s="300"/>
      <c r="F31" s="300"/>
      <c r="G31" s="300"/>
      <c r="H31" s="300"/>
      <c r="I31" s="300"/>
      <c r="J31" s="300"/>
    </row>
    <row r="32" spans="1:10">
      <c r="A32" s="300"/>
      <c r="B32" s="300"/>
      <c r="C32" s="300"/>
      <c r="D32" s="300"/>
      <c r="E32" s="300"/>
      <c r="F32" s="300"/>
      <c r="G32" s="300"/>
      <c r="H32" s="300"/>
      <c r="I32" s="300"/>
      <c r="J32" s="300"/>
    </row>
    <row r="33" spans="1:10">
      <c r="A33" s="300"/>
      <c r="B33" s="300"/>
      <c r="C33" s="300"/>
      <c r="D33" s="300"/>
      <c r="E33" s="300"/>
      <c r="F33" s="300"/>
      <c r="G33" s="300"/>
      <c r="H33" s="300"/>
      <c r="I33" s="300"/>
      <c r="J33" s="300"/>
    </row>
    <row r="34" spans="1:10">
      <c r="A34" s="300"/>
      <c r="B34" s="300"/>
      <c r="C34" s="300"/>
      <c r="D34" s="300"/>
      <c r="E34" s="300"/>
      <c r="F34" s="300"/>
      <c r="G34" s="300"/>
      <c r="H34" s="300"/>
      <c r="I34" s="300"/>
      <c r="J34" s="300"/>
    </row>
    <row r="35" spans="1:10">
      <c r="A35" s="300"/>
      <c r="B35" s="300"/>
      <c r="C35" s="300"/>
      <c r="D35" s="300"/>
      <c r="E35" s="300"/>
      <c r="F35" s="300"/>
      <c r="G35" s="300"/>
      <c r="H35" s="300"/>
      <c r="I35" s="300"/>
      <c r="J35" s="300"/>
    </row>
    <row r="36" spans="1:10">
      <c r="A36" s="300"/>
      <c r="B36" s="300"/>
      <c r="C36" s="300"/>
      <c r="D36" s="300"/>
      <c r="E36" s="300"/>
      <c r="F36" s="300"/>
      <c r="G36" s="300"/>
      <c r="H36" s="300"/>
      <c r="I36" s="300"/>
      <c r="J36" s="300"/>
    </row>
    <row r="37" spans="1:10">
      <c r="A37" s="300"/>
      <c r="B37" s="300"/>
      <c r="C37" s="300"/>
      <c r="D37" s="300"/>
      <c r="E37" s="300"/>
      <c r="F37" s="300"/>
      <c r="G37" s="300"/>
      <c r="H37" s="300"/>
      <c r="I37" s="300"/>
      <c r="J37" s="300"/>
    </row>
    <row r="38" spans="1:10">
      <c r="A38" s="300"/>
      <c r="B38" s="300"/>
      <c r="C38" s="300"/>
      <c r="D38" s="300"/>
      <c r="E38" s="300"/>
      <c r="F38" s="300"/>
      <c r="G38" s="300"/>
      <c r="H38" s="300"/>
      <c r="I38" s="300"/>
      <c r="J38" s="300"/>
    </row>
    <row r="39" spans="1:10">
      <c r="A39" s="300"/>
      <c r="B39" s="300"/>
      <c r="C39" s="300"/>
      <c r="D39" s="300"/>
      <c r="E39" s="300"/>
      <c r="F39" s="300"/>
      <c r="G39" s="300"/>
      <c r="H39" s="300"/>
      <c r="I39" s="300"/>
      <c r="J39" s="300"/>
    </row>
    <row r="40" spans="1:10">
      <c r="A40" s="300"/>
      <c r="B40" s="300"/>
      <c r="C40" s="300"/>
      <c r="D40" s="300"/>
      <c r="E40" s="300"/>
      <c r="F40" s="300"/>
      <c r="G40" s="300"/>
      <c r="H40" s="300"/>
      <c r="I40" s="300"/>
      <c r="J40" s="300"/>
    </row>
    <row r="41" spans="1:10">
      <c r="A41" s="300"/>
      <c r="B41" s="300"/>
      <c r="C41" s="300"/>
      <c r="D41" s="300"/>
      <c r="E41" s="300"/>
      <c r="F41" s="300"/>
      <c r="G41" s="300"/>
      <c r="H41" s="300"/>
      <c r="I41" s="300"/>
      <c r="J41" s="300"/>
    </row>
    <row r="42" spans="1:10">
      <c r="A42" s="300"/>
      <c r="B42" s="300"/>
      <c r="C42" s="300"/>
      <c r="D42" s="300"/>
      <c r="E42" s="300"/>
      <c r="F42" s="300"/>
      <c r="G42" s="300"/>
      <c r="H42" s="300"/>
      <c r="I42" s="300"/>
      <c r="J42" s="300"/>
    </row>
    <row r="43" spans="1:10">
      <c r="A43" s="300"/>
      <c r="B43" s="300"/>
      <c r="C43" s="300"/>
      <c r="D43" s="300"/>
      <c r="E43" s="300"/>
      <c r="F43" s="300"/>
      <c r="G43" s="300"/>
      <c r="H43" s="300"/>
      <c r="I43" s="300"/>
      <c r="J43" s="300"/>
    </row>
    <row r="44" spans="1:10">
      <c r="A44" s="300"/>
      <c r="B44" s="300"/>
      <c r="C44" s="300"/>
      <c r="D44" s="300"/>
      <c r="E44" s="300"/>
      <c r="F44" s="300"/>
      <c r="G44" s="300"/>
      <c r="H44" s="300"/>
      <c r="I44" s="300"/>
      <c r="J44" s="300"/>
    </row>
    <row r="45" spans="1:10">
      <c r="A45" s="300"/>
      <c r="B45" s="300"/>
      <c r="C45" s="300"/>
      <c r="D45" s="300"/>
      <c r="E45" s="300"/>
      <c r="F45" s="300"/>
      <c r="G45" s="300"/>
      <c r="H45" s="300"/>
      <c r="I45" s="300"/>
      <c r="J45" s="300"/>
    </row>
    <row r="46" spans="1:10">
      <c r="A46" s="300"/>
      <c r="B46" s="300"/>
      <c r="C46" s="300"/>
      <c r="D46" s="300"/>
      <c r="E46" s="300"/>
      <c r="F46" s="300"/>
      <c r="G46" s="300"/>
      <c r="H46" s="300"/>
      <c r="I46" s="300"/>
      <c r="J46" s="300"/>
    </row>
    <row r="47" spans="1:10">
      <c r="A47" s="300"/>
      <c r="B47" s="300"/>
      <c r="C47" s="300"/>
      <c r="D47" s="300"/>
      <c r="E47" s="300"/>
      <c r="F47" s="300"/>
      <c r="G47" s="300"/>
      <c r="H47" s="300"/>
      <c r="I47" s="300"/>
      <c r="J47" s="300"/>
    </row>
    <row r="48" spans="1:10">
      <c r="A48" s="300"/>
      <c r="B48" s="300"/>
      <c r="C48" s="300"/>
      <c r="D48" s="300"/>
      <c r="E48" s="300"/>
      <c r="F48" s="300"/>
      <c r="G48" s="300"/>
      <c r="H48" s="300"/>
      <c r="I48" s="300"/>
      <c r="J48" s="300"/>
    </row>
    <row r="49" spans="1:10">
      <c r="A49" s="300"/>
      <c r="B49" s="300"/>
      <c r="C49" s="300"/>
      <c r="D49" s="300"/>
      <c r="E49" s="300"/>
      <c r="F49" s="300"/>
      <c r="G49" s="300"/>
      <c r="H49" s="300"/>
      <c r="I49" s="300"/>
      <c r="J49" s="300"/>
    </row>
    <row r="50" spans="1:10">
      <c r="A50" s="300"/>
      <c r="B50" s="300"/>
      <c r="C50" s="300"/>
      <c r="D50" s="300"/>
      <c r="E50" s="300"/>
      <c r="F50" s="300"/>
      <c r="G50" s="300"/>
      <c r="H50" s="300"/>
      <c r="I50" s="300"/>
      <c r="J50" s="300"/>
    </row>
    <row r="51" spans="1:10">
      <c r="A51" s="300"/>
      <c r="B51" s="300"/>
      <c r="C51" s="300"/>
      <c r="D51" s="300"/>
      <c r="E51" s="300"/>
      <c r="F51" s="300"/>
      <c r="G51" s="300"/>
      <c r="H51" s="300"/>
      <c r="I51" s="300"/>
      <c r="J51" s="300"/>
    </row>
    <row r="52" spans="1:10">
      <c r="A52" s="300"/>
      <c r="B52" s="300"/>
      <c r="C52" s="300"/>
      <c r="D52" s="300"/>
      <c r="E52" s="300"/>
      <c r="F52" s="300"/>
      <c r="G52" s="300"/>
      <c r="H52" s="300"/>
      <c r="I52" s="300"/>
      <c r="J52" s="300"/>
    </row>
    <row r="53" spans="1:10">
      <c r="A53" s="300"/>
      <c r="B53" s="300"/>
      <c r="C53" s="300"/>
      <c r="D53" s="300"/>
      <c r="E53" s="300"/>
      <c r="F53" s="300"/>
      <c r="G53" s="300"/>
      <c r="H53" s="300"/>
      <c r="I53" s="300"/>
      <c r="J53" s="300"/>
    </row>
    <row r="54" spans="1:10">
      <c r="A54" s="837"/>
      <c r="B54" s="837"/>
      <c r="C54" s="837"/>
      <c r="D54" s="837"/>
      <c r="E54" s="837"/>
      <c r="F54" s="837"/>
      <c r="G54" s="837"/>
      <c r="H54" s="837"/>
      <c r="I54" s="837"/>
      <c r="J54" s="837"/>
    </row>
    <row r="55" spans="1:10">
      <c r="A55" s="837"/>
      <c r="B55" s="837"/>
      <c r="C55" s="837"/>
      <c r="D55" s="837"/>
      <c r="E55" s="837"/>
      <c r="F55" s="837"/>
      <c r="G55" s="837"/>
      <c r="H55" s="837"/>
      <c r="I55" s="837"/>
      <c r="J55" s="837"/>
    </row>
    <row r="56" spans="1:10">
      <c r="A56" s="300"/>
      <c r="B56" s="300"/>
      <c r="C56" s="300"/>
      <c r="D56" s="300"/>
      <c r="E56" s="300"/>
      <c r="F56" s="300"/>
      <c r="G56" s="300"/>
      <c r="H56" s="300"/>
      <c r="I56" s="300"/>
      <c r="J56" s="300"/>
    </row>
  </sheetData>
  <mergeCells count="8">
    <mergeCell ref="A17:J17"/>
    <mergeCell ref="A54:J55"/>
    <mergeCell ref="A1:C2"/>
    <mergeCell ref="A3:J6"/>
    <mergeCell ref="B7:J7"/>
    <mergeCell ref="B8:J9"/>
    <mergeCell ref="A10:J14"/>
    <mergeCell ref="A15:J15"/>
  </mergeCells>
  <pageMargins left="0.27559055118110237" right="0.27559055118110237" top="2.0078740157480315" bottom="0.47244094488188981" header="0.19685039370078741" footer="0.19685039370078741"/>
  <pageSetup paperSize="9" orientation="portrait" horizontalDpi="300" verticalDpi="300"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DCCC-5854-46D5-B2CF-34E810D37ADD}">
  <sheetPr>
    <tabColor rgb="FFFFFF00"/>
    <pageSetUpPr fitToPage="1"/>
  </sheetPr>
  <dimension ref="A1:Y56"/>
  <sheetViews>
    <sheetView showGridLines="0" showRowColHeaders="0" zoomScaleNormal="100" zoomScaleSheetLayoutView="100" workbookViewId="0">
      <selection sqref="A1:XFD1048576"/>
    </sheetView>
  </sheetViews>
  <sheetFormatPr defaultColWidth="0" defaultRowHeight="15" zeroHeight="1"/>
  <cols>
    <col min="1" max="11" width="8.42578125" style="841" customWidth="1"/>
    <col min="12" max="12" width="7" style="841" customWidth="1"/>
    <col min="13" max="23" width="8.7109375" style="841" customWidth="1"/>
    <col min="24" max="25" width="0" style="841" hidden="1"/>
    <col min="26" max="16384" width="8.7109375" style="841" hidden="1"/>
  </cols>
  <sheetData>
    <row r="1" spans="1:23">
      <c r="A1" s="863"/>
      <c r="B1" s="863"/>
      <c r="C1" s="863"/>
      <c r="D1" s="863"/>
      <c r="E1" s="863"/>
      <c r="F1" s="863"/>
      <c r="G1" s="863"/>
      <c r="H1" s="863"/>
      <c r="I1" s="863"/>
      <c r="J1" s="863"/>
      <c r="K1" s="863"/>
      <c r="L1" s="863"/>
      <c r="M1" s="863"/>
      <c r="N1" s="863"/>
      <c r="O1" s="863"/>
      <c r="P1" s="863"/>
      <c r="Q1" s="863"/>
      <c r="R1" s="863"/>
      <c r="S1" s="863"/>
      <c r="T1" s="863"/>
      <c r="U1" s="863"/>
      <c r="V1" s="863"/>
      <c r="W1" s="863"/>
    </row>
    <row r="2" spans="1:23">
      <c r="A2" s="863"/>
      <c r="B2" s="863"/>
      <c r="C2" s="863"/>
      <c r="D2" s="863"/>
      <c r="E2" s="863"/>
      <c r="F2" s="863"/>
      <c r="G2" s="863"/>
      <c r="H2" s="863"/>
      <c r="I2" s="863"/>
      <c r="J2" s="863"/>
      <c r="K2" s="863"/>
      <c r="L2" s="863"/>
      <c r="M2" s="863"/>
      <c r="N2" s="863"/>
      <c r="O2" s="863"/>
      <c r="P2" s="863"/>
      <c r="Q2" s="863"/>
      <c r="R2" s="863"/>
      <c r="S2" s="863"/>
      <c r="T2" s="863"/>
      <c r="U2" s="863"/>
      <c r="V2" s="863"/>
      <c r="W2" s="863"/>
    </row>
    <row r="3" spans="1:23">
      <c r="A3" s="863"/>
      <c r="B3" s="863"/>
      <c r="C3" s="863"/>
      <c r="D3" s="863"/>
      <c r="E3" s="863"/>
      <c r="F3" s="863"/>
      <c r="G3" s="863"/>
      <c r="H3" s="863"/>
      <c r="I3" s="863"/>
      <c r="J3" s="863"/>
      <c r="K3" s="863"/>
      <c r="L3" s="863"/>
      <c r="M3" s="863"/>
      <c r="N3" s="863"/>
      <c r="O3" s="863"/>
      <c r="P3" s="863"/>
      <c r="Q3" s="863"/>
      <c r="R3" s="863"/>
      <c r="S3" s="863"/>
      <c r="T3" s="863"/>
      <c r="U3" s="863"/>
      <c r="V3" s="863"/>
      <c r="W3" s="863"/>
    </row>
    <row r="4" spans="1:23">
      <c r="A4" s="863"/>
      <c r="B4" s="863"/>
      <c r="C4" s="863"/>
      <c r="D4" s="863"/>
      <c r="E4" s="863"/>
      <c r="F4" s="863"/>
      <c r="G4" s="863"/>
      <c r="H4" s="863"/>
      <c r="I4" s="863"/>
      <c r="J4" s="863"/>
      <c r="K4" s="863"/>
      <c r="L4" s="863"/>
      <c r="M4" s="863"/>
      <c r="N4" s="863"/>
      <c r="O4" s="863"/>
      <c r="P4" s="863"/>
      <c r="Q4" s="863"/>
      <c r="R4" s="863"/>
      <c r="S4" s="863"/>
      <c r="T4" s="863"/>
      <c r="U4" s="863"/>
      <c r="V4" s="863"/>
      <c r="W4" s="863"/>
    </row>
    <row r="5" spans="1:23">
      <c r="A5" s="863"/>
      <c r="B5" s="863"/>
      <c r="C5" s="863"/>
      <c r="D5" s="863"/>
      <c r="E5" s="863"/>
      <c r="F5" s="863"/>
      <c r="G5" s="863"/>
      <c r="H5" s="863"/>
      <c r="I5" s="863"/>
      <c r="J5" s="863"/>
      <c r="K5" s="863"/>
      <c r="L5" s="863"/>
      <c r="M5" s="863"/>
      <c r="N5" s="863"/>
      <c r="O5" s="863"/>
      <c r="P5" s="863"/>
      <c r="Q5" s="863"/>
      <c r="R5" s="863"/>
      <c r="S5" s="863"/>
      <c r="T5" s="863"/>
      <c r="U5" s="863"/>
      <c r="V5" s="863"/>
      <c r="W5" s="863"/>
    </row>
    <row r="6" spans="1:23">
      <c r="A6" s="863"/>
      <c r="B6" s="863"/>
      <c r="C6" s="863"/>
      <c r="D6" s="863"/>
      <c r="E6" s="863"/>
      <c r="F6" s="863"/>
      <c r="G6" s="864"/>
      <c r="H6" s="863"/>
      <c r="I6" s="863"/>
      <c r="J6" s="863"/>
      <c r="K6" s="863"/>
      <c r="L6" s="865"/>
      <c r="M6" s="865"/>
      <c r="N6" s="865"/>
      <c r="O6" s="865"/>
      <c r="P6" s="865"/>
      <c r="Q6" s="865"/>
      <c r="R6" s="863"/>
      <c r="S6" s="863"/>
      <c r="T6" s="863"/>
      <c r="U6" s="863"/>
      <c r="V6" s="863"/>
      <c r="W6" s="863"/>
    </row>
    <row r="7" spans="1:23">
      <c r="A7" s="866"/>
      <c r="B7" s="866"/>
      <c r="C7" s="866"/>
      <c r="D7" s="866"/>
      <c r="E7" s="866"/>
      <c r="F7" s="866"/>
      <c r="G7" s="863"/>
      <c r="H7" s="863"/>
      <c r="I7" s="863"/>
      <c r="J7" s="863"/>
      <c r="K7" s="863"/>
      <c r="L7" s="863"/>
      <c r="M7" s="863"/>
      <c r="N7" s="863"/>
      <c r="O7" s="863"/>
      <c r="P7" s="863"/>
      <c r="Q7" s="863"/>
      <c r="R7" s="863"/>
      <c r="S7" s="863"/>
      <c r="T7" s="863"/>
      <c r="U7" s="863"/>
      <c r="V7" s="863"/>
      <c r="W7" s="863"/>
    </row>
    <row r="8" spans="1:23" ht="15" customHeight="1">
      <c r="A8" s="863"/>
      <c r="B8" s="863"/>
      <c r="C8" s="863"/>
      <c r="D8" s="863"/>
      <c r="E8" s="863"/>
      <c r="F8" s="867"/>
      <c r="G8" s="867"/>
      <c r="H8" s="863"/>
      <c r="I8" s="863"/>
      <c r="J8" s="863"/>
      <c r="K8" s="863"/>
      <c r="L8" s="863"/>
      <c r="M8" s="863"/>
      <c r="N8" s="863"/>
      <c r="O8" s="863"/>
      <c r="P8" s="863"/>
      <c r="Q8" s="863"/>
      <c r="R8" s="863"/>
      <c r="S8" s="863"/>
      <c r="T8" s="863"/>
      <c r="U8" s="863"/>
      <c r="V8" s="863"/>
      <c r="W8" s="863"/>
    </row>
    <row r="9" spans="1:23" ht="15" customHeight="1">
      <c r="A9" s="863"/>
      <c r="B9" s="863"/>
      <c r="C9" s="863"/>
      <c r="D9" s="863"/>
      <c r="E9" s="863"/>
      <c r="F9" s="867"/>
      <c r="G9" s="867"/>
      <c r="H9" s="863"/>
      <c r="I9" s="863"/>
      <c r="J9" s="863"/>
      <c r="K9" s="863"/>
      <c r="L9" s="863"/>
      <c r="M9" s="863"/>
      <c r="N9" s="863"/>
      <c r="O9" s="863"/>
      <c r="P9" s="863"/>
      <c r="Q9" s="863"/>
      <c r="R9" s="863"/>
      <c r="S9" s="863"/>
      <c r="T9" s="863"/>
      <c r="U9" s="863"/>
      <c r="V9" s="863"/>
      <c r="W9" s="863"/>
    </row>
    <row r="10" spans="1:23">
      <c r="A10" s="863"/>
      <c r="B10" s="863"/>
      <c r="C10" s="863"/>
      <c r="D10" s="863"/>
      <c r="E10" s="863"/>
      <c r="F10" s="867"/>
      <c r="G10" s="867"/>
      <c r="H10" s="863"/>
      <c r="I10" s="863"/>
      <c r="J10" s="863"/>
      <c r="K10" s="863"/>
      <c r="L10" s="863"/>
      <c r="M10" s="863"/>
      <c r="N10" s="863"/>
      <c r="O10" s="863"/>
      <c r="P10" s="863"/>
      <c r="Q10" s="863"/>
      <c r="R10" s="863"/>
      <c r="S10" s="863"/>
      <c r="T10" s="863"/>
      <c r="U10" s="863"/>
      <c r="V10" s="863"/>
      <c r="W10" s="863"/>
    </row>
    <row r="11" spans="1:23" ht="15" customHeight="1">
      <c r="A11" s="863"/>
      <c r="B11" s="863"/>
      <c r="C11" s="863"/>
      <c r="D11" s="863"/>
      <c r="E11" s="863"/>
      <c r="F11" s="867"/>
      <c r="G11" s="867"/>
      <c r="H11" s="863"/>
      <c r="I11" s="863"/>
      <c r="J11" s="863"/>
      <c r="K11" s="863"/>
      <c r="L11" s="863"/>
      <c r="M11" s="863"/>
      <c r="N11" s="863"/>
      <c r="O11" s="863"/>
      <c r="P11" s="863"/>
      <c r="Q11" s="863"/>
      <c r="R11" s="863"/>
      <c r="S11" s="863"/>
      <c r="T11" s="863"/>
      <c r="U11" s="863"/>
      <c r="V11" s="863"/>
      <c r="W11" s="863"/>
    </row>
    <row r="12" spans="1:23" ht="15" customHeight="1">
      <c r="A12" s="863"/>
      <c r="B12" s="863"/>
      <c r="C12" s="863"/>
      <c r="D12" s="863"/>
      <c r="E12" s="863"/>
      <c r="F12" s="867"/>
      <c r="G12" s="867"/>
      <c r="H12" s="863"/>
      <c r="I12" s="863"/>
      <c r="J12" s="863"/>
      <c r="K12" s="863"/>
      <c r="L12" s="863"/>
      <c r="M12" s="863"/>
      <c r="N12" s="863"/>
      <c r="O12" s="863"/>
      <c r="P12" s="863"/>
      <c r="Q12" s="863"/>
      <c r="R12" s="863"/>
      <c r="S12" s="863"/>
      <c r="T12" s="863"/>
      <c r="U12" s="863"/>
      <c r="V12" s="863"/>
      <c r="W12" s="863"/>
    </row>
    <row r="13" spans="1:23">
      <c r="A13" s="863"/>
      <c r="B13" s="863"/>
      <c r="C13" s="863"/>
      <c r="D13" s="863"/>
      <c r="E13" s="863"/>
      <c r="F13" s="867"/>
      <c r="G13" s="867"/>
      <c r="H13" s="863"/>
      <c r="I13" s="863"/>
      <c r="J13" s="863"/>
      <c r="K13" s="863"/>
      <c r="L13" s="863"/>
      <c r="M13" s="863"/>
      <c r="N13" s="863"/>
      <c r="O13" s="863"/>
      <c r="P13" s="863"/>
      <c r="Q13" s="863"/>
      <c r="R13" s="863"/>
      <c r="S13" s="863"/>
      <c r="T13" s="863"/>
      <c r="U13" s="863"/>
      <c r="V13" s="863"/>
      <c r="W13" s="863"/>
    </row>
    <row r="14" spans="1:23">
      <c r="A14" s="863"/>
      <c r="B14" s="863"/>
      <c r="C14" s="863"/>
      <c r="D14" s="863"/>
      <c r="E14" s="863"/>
      <c r="F14" s="863"/>
      <c r="G14" s="863"/>
      <c r="H14" s="863"/>
      <c r="I14" s="863"/>
      <c r="J14" s="863"/>
      <c r="K14" s="863"/>
      <c r="L14" s="863"/>
      <c r="M14" s="863"/>
      <c r="N14" s="863"/>
      <c r="O14" s="863"/>
      <c r="P14" s="863"/>
      <c r="Q14" s="863"/>
      <c r="R14" s="863"/>
      <c r="S14" s="863"/>
      <c r="T14" s="863"/>
      <c r="U14" s="863"/>
      <c r="V14" s="863"/>
      <c r="W14" s="863"/>
    </row>
    <row r="15" spans="1:23">
      <c r="A15" s="863"/>
      <c r="B15" s="863"/>
      <c r="C15" s="863"/>
      <c r="D15" s="863"/>
      <c r="E15" s="863"/>
      <c r="F15" s="863"/>
      <c r="G15" s="863"/>
      <c r="H15" s="863"/>
      <c r="I15" s="863"/>
      <c r="J15" s="863"/>
      <c r="K15" s="863"/>
      <c r="L15" s="863"/>
      <c r="M15" s="863"/>
      <c r="N15" s="863"/>
      <c r="O15" s="863"/>
      <c r="P15" s="863"/>
      <c r="Q15" s="863"/>
      <c r="R15" s="863"/>
      <c r="S15" s="863"/>
      <c r="T15" s="863"/>
      <c r="U15" s="863"/>
      <c r="V15" s="863"/>
      <c r="W15" s="863"/>
    </row>
    <row r="16" spans="1:23">
      <c r="A16" s="863"/>
      <c r="B16" s="863"/>
      <c r="C16" s="863"/>
      <c r="D16" s="863"/>
      <c r="E16" s="863"/>
      <c r="F16" s="863"/>
      <c r="G16" s="863"/>
      <c r="H16" s="863"/>
      <c r="I16" s="863"/>
      <c r="J16" s="863"/>
      <c r="K16" s="863"/>
      <c r="L16" s="863"/>
      <c r="M16" s="863"/>
      <c r="N16" s="863"/>
      <c r="O16" s="863"/>
      <c r="P16" s="863"/>
      <c r="Q16" s="863"/>
      <c r="R16" s="863"/>
      <c r="S16" s="863"/>
      <c r="T16" s="863"/>
      <c r="U16" s="863"/>
      <c r="V16" s="863"/>
      <c r="W16" s="863"/>
    </row>
    <row r="17" spans="1:25">
      <c r="A17" s="863"/>
      <c r="B17" s="863"/>
      <c r="C17" s="863"/>
      <c r="D17" s="863"/>
      <c r="E17" s="863"/>
      <c r="F17" s="863"/>
      <c r="G17" s="863"/>
      <c r="H17" s="863"/>
      <c r="I17" s="863"/>
      <c r="J17" s="863"/>
      <c r="K17" s="863"/>
      <c r="L17" s="863"/>
      <c r="M17" s="863"/>
      <c r="N17" s="863"/>
      <c r="O17" s="863"/>
      <c r="P17" s="863"/>
      <c r="Q17" s="863"/>
      <c r="R17" s="863"/>
      <c r="S17" s="863"/>
      <c r="T17" s="863"/>
      <c r="U17" s="863"/>
      <c r="V17" s="863"/>
      <c r="W17" s="863"/>
    </row>
    <row r="18" spans="1:25">
      <c r="A18" s="863"/>
      <c r="B18" s="863"/>
      <c r="C18" s="863"/>
      <c r="D18" s="863"/>
      <c r="E18" s="863"/>
      <c r="F18" s="863"/>
      <c r="G18" s="863"/>
      <c r="H18" s="863"/>
      <c r="I18" s="863"/>
      <c r="J18" s="863"/>
      <c r="K18" s="863"/>
      <c r="L18" s="863"/>
      <c r="M18" s="863"/>
      <c r="N18" s="863"/>
      <c r="O18" s="863"/>
      <c r="P18" s="863"/>
      <c r="Q18" s="863"/>
      <c r="R18" s="863"/>
      <c r="S18" s="863"/>
      <c r="T18" s="863"/>
      <c r="U18" s="863"/>
      <c r="V18" s="863"/>
      <c r="W18" s="863"/>
    </row>
    <row r="19" spans="1:25">
      <c r="A19" s="863"/>
      <c r="B19" s="863"/>
      <c r="C19" s="863"/>
      <c r="D19" s="863"/>
      <c r="E19" s="863"/>
      <c r="F19" s="863"/>
      <c r="G19" s="863"/>
      <c r="H19" s="863"/>
      <c r="I19" s="863"/>
      <c r="J19" s="863"/>
      <c r="K19" s="863"/>
      <c r="L19" s="863"/>
      <c r="M19" s="863"/>
      <c r="N19" s="863"/>
      <c r="O19" s="863"/>
      <c r="P19" s="863"/>
      <c r="Q19" s="863"/>
      <c r="R19" s="863"/>
      <c r="S19" s="863"/>
      <c r="T19" s="863"/>
      <c r="U19" s="863"/>
      <c r="V19" s="863"/>
      <c r="W19" s="863"/>
    </row>
    <row r="20" spans="1:25">
      <c r="A20" s="863"/>
      <c r="B20" s="863"/>
      <c r="C20" s="863"/>
      <c r="D20" s="863"/>
      <c r="E20" s="863"/>
      <c r="F20" s="863"/>
      <c r="G20" s="863"/>
      <c r="H20" s="863"/>
      <c r="I20" s="863"/>
      <c r="J20" s="863"/>
      <c r="K20" s="863"/>
      <c r="L20" s="863"/>
      <c r="M20" s="863"/>
      <c r="N20" s="863"/>
      <c r="O20" s="863"/>
      <c r="P20" s="863"/>
      <c r="Q20" s="863"/>
      <c r="R20" s="863"/>
      <c r="S20" s="863"/>
      <c r="T20" s="863"/>
      <c r="U20" s="863"/>
      <c r="V20" s="863"/>
      <c r="W20" s="863"/>
    </row>
    <row r="21" spans="1:25">
      <c r="A21" s="863"/>
      <c r="B21" s="863"/>
      <c r="C21" s="863"/>
      <c r="D21" s="863"/>
      <c r="E21" s="863"/>
      <c r="F21" s="863"/>
      <c r="G21" s="863"/>
      <c r="H21" s="863"/>
      <c r="I21" s="863"/>
      <c r="J21" s="863"/>
      <c r="K21" s="863"/>
      <c r="L21" s="863"/>
      <c r="M21" s="863"/>
      <c r="N21" s="863"/>
      <c r="O21" s="863"/>
      <c r="P21" s="863"/>
      <c r="Q21" s="863"/>
      <c r="R21" s="863"/>
      <c r="S21" s="863"/>
      <c r="T21" s="863"/>
      <c r="U21" s="863"/>
      <c r="V21" s="863"/>
      <c r="W21" s="863"/>
    </row>
    <row r="22" spans="1:25">
      <c r="A22" s="863"/>
      <c r="B22" s="863"/>
      <c r="C22" s="863"/>
      <c r="D22" s="863"/>
      <c r="E22" s="863"/>
      <c r="F22" s="863"/>
      <c r="G22" s="863"/>
      <c r="H22" s="863"/>
      <c r="I22" s="863"/>
      <c r="J22" s="863"/>
      <c r="K22" s="863"/>
      <c r="L22" s="863"/>
      <c r="M22" s="863"/>
      <c r="N22" s="863"/>
      <c r="O22" s="863"/>
      <c r="P22" s="863"/>
      <c r="Q22" s="863"/>
      <c r="R22" s="863"/>
      <c r="S22" s="863"/>
      <c r="T22" s="863"/>
      <c r="U22" s="863"/>
      <c r="V22" s="863"/>
      <c r="W22" s="863"/>
    </row>
    <row r="23" spans="1:25">
      <c r="A23" s="863"/>
      <c r="B23" s="863"/>
      <c r="C23" s="863"/>
      <c r="D23" s="863"/>
      <c r="E23" s="863"/>
      <c r="F23" s="863"/>
      <c r="G23" s="863"/>
      <c r="H23" s="863"/>
      <c r="I23" s="863"/>
      <c r="J23" s="863"/>
      <c r="K23" s="863"/>
      <c r="L23" s="863"/>
      <c r="M23" s="863"/>
      <c r="N23" s="863"/>
      <c r="O23" s="863"/>
      <c r="P23" s="863"/>
      <c r="Q23" s="863"/>
      <c r="R23" s="863"/>
      <c r="S23" s="863"/>
      <c r="T23" s="863"/>
      <c r="U23" s="863"/>
      <c r="V23" s="863"/>
      <c r="W23" s="863"/>
    </row>
    <row r="24" spans="1:25">
      <c r="A24" s="863"/>
      <c r="B24" s="863"/>
      <c r="C24" s="863"/>
      <c r="D24" s="863"/>
      <c r="E24" s="863"/>
      <c r="F24" s="863"/>
      <c r="G24" s="863"/>
      <c r="H24" s="863"/>
      <c r="I24" s="863"/>
      <c r="J24" s="863"/>
      <c r="K24" s="863"/>
      <c r="L24" s="863"/>
      <c r="M24" s="863"/>
      <c r="N24" s="863"/>
      <c r="O24" s="863"/>
      <c r="P24" s="863"/>
      <c r="Q24" s="863"/>
      <c r="R24" s="863"/>
      <c r="S24" s="863"/>
      <c r="T24" s="863"/>
      <c r="U24" s="863"/>
      <c r="V24" s="863"/>
      <c r="W24" s="863"/>
    </row>
    <row r="25" spans="1:25">
      <c r="A25" s="863"/>
      <c r="B25" s="863"/>
      <c r="C25" s="863"/>
      <c r="D25" s="863"/>
      <c r="E25" s="863"/>
      <c r="F25" s="863"/>
      <c r="G25" s="863"/>
      <c r="H25" s="863"/>
      <c r="I25" s="863"/>
      <c r="J25" s="863"/>
      <c r="K25" s="863"/>
      <c r="L25" s="863"/>
      <c r="M25" s="863"/>
      <c r="N25" s="863"/>
      <c r="O25" s="863"/>
      <c r="P25" s="863"/>
      <c r="Q25" s="863"/>
      <c r="R25" s="863"/>
      <c r="S25" s="863"/>
      <c r="T25" s="863"/>
      <c r="U25" s="863"/>
      <c r="V25" s="863"/>
      <c r="W25" s="863"/>
    </row>
    <row r="26" spans="1:25">
      <c r="A26" s="863"/>
      <c r="B26" s="863"/>
      <c r="C26" s="863"/>
      <c r="D26" s="863"/>
      <c r="E26" s="863"/>
      <c r="F26" s="863"/>
      <c r="G26" s="863"/>
      <c r="H26" s="863"/>
      <c r="I26" s="863"/>
      <c r="J26" s="863"/>
      <c r="K26" s="863"/>
      <c r="L26" s="863"/>
      <c r="M26" s="863"/>
      <c r="N26" s="863"/>
      <c r="O26" s="863"/>
      <c r="P26" s="863"/>
      <c r="Q26" s="863"/>
      <c r="R26" s="863"/>
      <c r="S26" s="863"/>
      <c r="T26" s="863"/>
      <c r="U26" s="863"/>
      <c r="V26" s="863"/>
      <c r="W26" s="863"/>
    </row>
    <row r="27" spans="1:25">
      <c r="A27" s="863"/>
      <c r="B27" s="863"/>
      <c r="C27" s="863"/>
      <c r="D27" s="863"/>
      <c r="E27" s="863"/>
      <c r="F27" s="863"/>
      <c r="G27" s="863"/>
      <c r="H27" s="863"/>
      <c r="I27" s="863"/>
      <c r="J27" s="863"/>
      <c r="K27" s="863"/>
      <c r="L27" s="863"/>
      <c r="M27" s="863"/>
      <c r="N27" s="863"/>
      <c r="O27" s="863"/>
      <c r="P27" s="863"/>
      <c r="Q27" s="863"/>
      <c r="R27" s="863"/>
      <c r="S27" s="863"/>
      <c r="T27" s="863"/>
      <c r="U27" s="863"/>
      <c r="V27" s="863"/>
      <c r="W27" s="863"/>
    </row>
    <row r="28" spans="1:25">
      <c r="A28" s="863"/>
      <c r="B28" s="863"/>
      <c r="C28" s="863"/>
      <c r="D28" s="863"/>
      <c r="E28" s="863"/>
      <c r="F28" s="863"/>
      <c r="G28" s="863"/>
      <c r="H28" s="863"/>
      <c r="I28" s="863"/>
      <c r="J28" s="863"/>
      <c r="K28" s="863"/>
      <c r="L28" s="863"/>
      <c r="M28" s="863"/>
      <c r="N28" s="863"/>
      <c r="O28" s="863"/>
      <c r="P28" s="868"/>
      <c r="Q28" s="868"/>
      <c r="R28" s="868"/>
      <c r="S28" s="868"/>
      <c r="T28" s="868"/>
      <c r="U28" s="868"/>
      <c r="V28" s="868"/>
      <c r="W28" s="868"/>
      <c r="X28" s="842"/>
      <c r="Y28" s="842"/>
    </row>
    <row r="29" spans="1:25">
      <c r="A29" s="863"/>
      <c r="B29" s="863"/>
      <c r="C29" s="863"/>
      <c r="D29" s="863"/>
      <c r="E29" s="863"/>
      <c r="F29" s="863"/>
      <c r="G29" s="863"/>
      <c r="H29" s="863"/>
      <c r="I29" s="863"/>
      <c r="J29" s="863"/>
      <c r="K29" s="863"/>
      <c r="L29" s="863"/>
      <c r="M29" s="863"/>
      <c r="N29" s="863"/>
      <c r="O29" s="863"/>
      <c r="P29" s="869"/>
      <c r="Q29" s="869"/>
      <c r="R29" s="869"/>
      <c r="S29" s="869"/>
      <c r="T29" s="869"/>
      <c r="U29" s="869"/>
      <c r="V29" s="863"/>
      <c r="W29" s="870"/>
      <c r="X29" s="843"/>
      <c r="Y29" s="843"/>
    </row>
    <row r="30" spans="1:25">
      <c r="A30" s="863"/>
      <c r="B30" s="863"/>
      <c r="C30" s="863"/>
      <c r="D30" s="863"/>
      <c r="E30" s="863"/>
      <c r="F30" s="863"/>
      <c r="G30" s="863"/>
      <c r="H30" s="863"/>
      <c r="I30" s="863"/>
      <c r="J30" s="863"/>
      <c r="K30" s="863"/>
      <c r="L30" s="863"/>
      <c r="M30" s="863"/>
      <c r="N30" s="863"/>
      <c r="O30" s="863"/>
      <c r="P30" s="863"/>
      <c r="Q30" s="863"/>
      <c r="R30" s="863"/>
      <c r="S30" s="863"/>
      <c r="T30" s="863"/>
      <c r="U30" s="863"/>
      <c r="V30" s="863"/>
      <c r="W30" s="863"/>
    </row>
    <row r="31" spans="1:25">
      <c r="A31" s="863"/>
      <c r="B31" s="863"/>
      <c r="C31" s="863"/>
      <c r="D31" s="863"/>
      <c r="E31" s="863"/>
      <c r="F31" s="863"/>
      <c r="G31" s="863"/>
      <c r="H31" s="863"/>
      <c r="I31" s="863"/>
      <c r="J31" s="863"/>
      <c r="K31" s="863"/>
      <c r="L31" s="863"/>
      <c r="M31" s="863"/>
      <c r="N31" s="863"/>
      <c r="O31" s="863"/>
      <c r="P31" s="871"/>
      <c r="Q31" s="863"/>
      <c r="R31" s="863"/>
      <c r="S31" s="863"/>
      <c r="T31" s="863"/>
      <c r="U31" s="863"/>
      <c r="V31" s="863"/>
      <c r="W31" s="863"/>
    </row>
    <row r="32" spans="1:25">
      <c r="A32" s="863"/>
      <c r="B32" s="863"/>
      <c r="C32" s="863"/>
      <c r="D32" s="863"/>
      <c r="E32" s="863"/>
      <c r="F32" s="863"/>
      <c r="G32" s="863"/>
      <c r="H32" s="863"/>
      <c r="I32" s="863"/>
      <c r="J32" s="863"/>
      <c r="K32" s="863"/>
      <c r="L32" s="863"/>
      <c r="M32" s="863"/>
      <c r="N32" s="863"/>
      <c r="O32" s="863"/>
      <c r="P32" s="870"/>
      <c r="Q32" s="863"/>
      <c r="R32" s="863"/>
      <c r="S32" s="863"/>
      <c r="T32" s="863"/>
      <c r="U32" s="863"/>
      <c r="V32" s="863"/>
      <c r="W32" s="863"/>
    </row>
    <row r="33" spans="1:23">
      <c r="A33" s="863"/>
      <c r="B33" s="863"/>
      <c r="C33" s="863"/>
      <c r="D33" s="863"/>
      <c r="E33" s="863"/>
      <c r="F33" s="863"/>
      <c r="G33" s="863"/>
      <c r="H33" s="863"/>
      <c r="I33" s="863"/>
      <c r="J33" s="863"/>
      <c r="K33" s="863"/>
      <c r="L33" s="863"/>
      <c r="M33" s="863"/>
      <c r="N33" s="863"/>
      <c r="O33" s="863"/>
      <c r="P33" s="870"/>
      <c r="Q33" s="863"/>
      <c r="R33" s="863"/>
      <c r="S33" s="863"/>
      <c r="T33" s="863"/>
      <c r="U33" s="863"/>
      <c r="V33" s="863"/>
      <c r="W33" s="863"/>
    </row>
    <row r="34" spans="1:23">
      <c r="A34" s="863"/>
      <c r="B34" s="863"/>
      <c r="C34" s="863"/>
      <c r="D34" s="863"/>
      <c r="E34" s="863"/>
      <c r="F34" s="863"/>
      <c r="G34" s="863"/>
      <c r="H34" s="863"/>
      <c r="I34" s="863"/>
      <c r="J34" s="863"/>
      <c r="K34" s="863"/>
      <c r="L34" s="863"/>
      <c r="M34" s="863"/>
      <c r="N34" s="863"/>
      <c r="O34" s="863"/>
      <c r="P34" s="870"/>
      <c r="Q34" s="863"/>
      <c r="R34" s="863"/>
      <c r="S34" s="863"/>
      <c r="T34" s="863"/>
      <c r="U34" s="863"/>
      <c r="V34" s="863"/>
      <c r="W34" s="863"/>
    </row>
    <row r="35" spans="1:23">
      <c r="A35" s="863"/>
      <c r="B35" s="863"/>
      <c r="C35" s="863"/>
      <c r="D35" s="863"/>
      <c r="E35" s="863"/>
      <c r="F35" s="863"/>
      <c r="G35" s="863"/>
      <c r="H35" s="872"/>
      <c r="I35" s="863"/>
      <c r="J35" s="871"/>
      <c r="K35" s="863"/>
      <c r="L35" s="863"/>
      <c r="M35" s="870"/>
      <c r="N35" s="870"/>
      <c r="O35" s="870"/>
      <c r="P35" s="870"/>
      <c r="Q35" s="863"/>
      <c r="R35" s="863"/>
      <c r="S35" s="863"/>
      <c r="T35" s="863"/>
      <c r="U35" s="863"/>
      <c r="V35" s="863"/>
      <c r="W35" s="863"/>
    </row>
    <row r="36" spans="1:23">
      <c r="A36" s="863"/>
      <c r="B36" s="863"/>
      <c r="C36" s="863"/>
      <c r="D36" s="863"/>
      <c r="E36" s="863"/>
      <c r="F36" s="863"/>
      <c r="G36" s="863"/>
      <c r="H36" s="872"/>
      <c r="I36" s="863"/>
      <c r="J36" s="871"/>
      <c r="K36" s="863"/>
      <c r="L36" s="863"/>
      <c r="M36" s="870"/>
      <c r="N36" s="870"/>
      <c r="O36" s="870"/>
      <c r="P36" s="870"/>
      <c r="Q36" s="863"/>
      <c r="R36" s="863"/>
      <c r="S36" s="863"/>
      <c r="T36" s="863"/>
      <c r="U36" s="863"/>
      <c r="V36" s="863"/>
      <c r="W36" s="863"/>
    </row>
    <row r="37" spans="1:23">
      <c r="A37" s="863"/>
      <c r="B37" s="863"/>
      <c r="C37" s="863"/>
      <c r="D37" s="863"/>
      <c r="E37" s="863"/>
      <c r="F37" s="863"/>
      <c r="G37" s="863"/>
      <c r="H37" s="863"/>
      <c r="I37" s="863"/>
      <c r="J37" s="871"/>
      <c r="K37" s="863"/>
      <c r="L37" s="863"/>
      <c r="M37" s="873"/>
      <c r="N37" s="872"/>
      <c r="O37" s="870"/>
      <c r="P37" s="870"/>
      <c r="Q37" s="863"/>
      <c r="R37" s="863"/>
      <c r="S37" s="863"/>
      <c r="T37" s="863"/>
      <c r="U37" s="863"/>
      <c r="V37" s="863"/>
      <c r="W37" s="863"/>
    </row>
    <row r="38" spans="1:23">
      <c r="A38" s="863"/>
      <c r="B38" s="863"/>
      <c r="C38" s="863"/>
      <c r="D38" s="863"/>
      <c r="E38" s="863"/>
      <c r="F38" s="863"/>
      <c r="G38" s="863"/>
      <c r="H38" s="872"/>
      <c r="I38" s="863"/>
      <c r="J38" s="871"/>
      <c r="K38" s="863"/>
      <c r="L38" s="863"/>
      <c r="M38" s="870"/>
      <c r="N38" s="870"/>
      <c r="O38" s="870"/>
      <c r="P38" s="870"/>
      <c r="Q38" s="863"/>
      <c r="R38" s="863"/>
      <c r="S38" s="863"/>
      <c r="T38" s="863"/>
      <c r="U38" s="863"/>
      <c r="V38" s="863"/>
      <c r="W38" s="863"/>
    </row>
    <row r="39" spans="1:23">
      <c r="A39" s="863"/>
      <c r="B39" s="863"/>
      <c r="C39" s="863"/>
      <c r="D39" s="863"/>
      <c r="E39" s="863"/>
      <c r="F39" s="863"/>
      <c r="G39" s="863"/>
      <c r="H39" s="871"/>
      <c r="I39" s="871"/>
      <c r="J39" s="871"/>
      <c r="K39" s="863"/>
      <c r="L39" s="870"/>
      <c r="M39" s="870"/>
      <c r="N39" s="870"/>
      <c r="O39" s="870"/>
      <c r="P39" s="870"/>
      <c r="Q39" s="863"/>
      <c r="R39" s="863"/>
      <c r="S39" s="863"/>
      <c r="T39" s="863"/>
      <c r="U39" s="863"/>
      <c r="V39" s="863"/>
      <c r="W39" s="863"/>
    </row>
    <row r="40" spans="1:23">
      <c r="A40" s="863"/>
      <c r="B40" s="863"/>
      <c r="C40" s="863"/>
      <c r="D40" s="863"/>
      <c r="E40" s="863"/>
      <c r="F40" s="863"/>
      <c r="G40" s="870"/>
      <c r="H40" s="870"/>
      <c r="I40" s="870"/>
      <c r="J40" s="870"/>
      <c r="K40" s="870"/>
      <c r="L40" s="870"/>
      <c r="M40" s="870"/>
      <c r="N40" s="870"/>
      <c r="O40" s="870"/>
      <c r="P40" s="870"/>
      <c r="Q40" s="863"/>
      <c r="R40" s="863"/>
      <c r="S40" s="863"/>
      <c r="T40" s="863"/>
      <c r="U40" s="863"/>
      <c r="V40" s="863"/>
      <c r="W40" s="863"/>
    </row>
    <row r="41" spans="1:23">
      <c r="A41" s="863"/>
      <c r="B41" s="863"/>
      <c r="C41" s="863"/>
      <c r="D41" s="863"/>
      <c r="E41" s="863"/>
      <c r="F41" s="863"/>
      <c r="G41" s="870"/>
      <c r="H41" s="870"/>
      <c r="I41" s="870"/>
      <c r="J41" s="870"/>
      <c r="K41" s="870"/>
      <c r="L41" s="870"/>
      <c r="M41" s="870"/>
      <c r="N41" s="870"/>
      <c r="O41" s="870"/>
      <c r="P41" s="870"/>
      <c r="Q41" s="863"/>
      <c r="R41" s="863"/>
      <c r="S41" s="863"/>
      <c r="T41" s="863"/>
      <c r="U41" s="863"/>
      <c r="V41" s="863"/>
      <c r="W41" s="863"/>
    </row>
    <row r="42" spans="1:23">
      <c r="A42" s="863"/>
      <c r="B42" s="863"/>
      <c r="C42" s="863"/>
      <c r="D42" s="863"/>
      <c r="E42" s="863"/>
      <c r="F42" s="863"/>
      <c r="G42" s="870"/>
      <c r="H42" s="870"/>
      <c r="I42" s="870"/>
      <c r="J42" s="870"/>
      <c r="K42" s="870"/>
      <c r="L42" s="870"/>
      <c r="M42" s="870"/>
      <c r="N42" s="870"/>
      <c r="O42" s="870"/>
      <c r="P42" s="870"/>
      <c r="Q42" s="863"/>
      <c r="R42" s="863"/>
      <c r="S42" s="863"/>
      <c r="T42" s="863"/>
      <c r="U42" s="863"/>
      <c r="V42" s="863"/>
      <c r="W42" s="863"/>
    </row>
    <row r="43" spans="1:23">
      <c r="A43" s="863"/>
      <c r="B43" s="863"/>
      <c r="C43" s="863"/>
      <c r="D43" s="863"/>
      <c r="E43" s="863"/>
      <c r="F43" s="863"/>
      <c r="G43" s="870"/>
      <c r="H43" s="870"/>
      <c r="I43" s="870"/>
      <c r="J43" s="870"/>
      <c r="K43" s="870"/>
      <c r="L43" s="870"/>
      <c r="M43" s="870"/>
      <c r="N43" s="870"/>
      <c r="O43" s="870"/>
      <c r="P43" s="870"/>
      <c r="Q43" s="863"/>
      <c r="R43" s="863"/>
      <c r="S43" s="863"/>
      <c r="T43" s="863"/>
      <c r="U43" s="863"/>
      <c r="V43" s="863"/>
      <c r="W43" s="863"/>
    </row>
    <row r="44" spans="1:23">
      <c r="A44" s="863"/>
      <c r="B44" s="863"/>
      <c r="C44" s="863"/>
      <c r="D44" s="863"/>
      <c r="E44" s="863"/>
      <c r="F44" s="863"/>
      <c r="G44" s="870"/>
      <c r="H44" s="870"/>
      <c r="I44" s="870"/>
      <c r="J44" s="870"/>
      <c r="K44" s="870"/>
      <c r="L44" s="870"/>
      <c r="M44" s="870"/>
      <c r="N44" s="870"/>
      <c r="O44" s="870"/>
      <c r="P44" s="870"/>
      <c r="Q44" s="863"/>
      <c r="R44" s="863"/>
      <c r="S44" s="863"/>
      <c r="T44" s="863"/>
      <c r="U44" s="863"/>
      <c r="V44" s="863"/>
      <c r="W44" s="863"/>
    </row>
    <row r="45" spans="1:23">
      <c r="A45" s="863"/>
      <c r="B45" s="863"/>
      <c r="C45" s="863"/>
      <c r="D45" s="863"/>
      <c r="E45" s="863"/>
      <c r="F45" s="863"/>
      <c r="G45" s="870"/>
      <c r="H45" s="870"/>
      <c r="I45" s="870"/>
      <c r="J45" s="870"/>
      <c r="K45" s="870"/>
      <c r="L45" s="870"/>
      <c r="M45" s="874"/>
      <c r="N45" s="870"/>
      <c r="O45" s="870"/>
      <c r="P45" s="875"/>
      <c r="Q45" s="875"/>
      <c r="R45" s="863"/>
      <c r="S45" s="863"/>
      <c r="T45" s="863"/>
      <c r="U45" s="863"/>
      <c r="V45" s="863"/>
      <c r="W45" s="863"/>
    </row>
    <row r="46" spans="1:23">
      <c r="A46" s="863"/>
      <c r="B46" s="863"/>
      <c r="C46" s="863"/>
      <c r="D46" s="863"/>
      <c r="E46" s="863"/>
      <c r="F46" s="863"/>
      <c r="G46" s="870"/>
      <c r="H46" s="870"/>
      <c r="I46" s="870"/>
      <c r="J46" s="870"/>
      <c r="K46" s="870"/>
      <c r="L46" s="870"/>
      <c r="M46" s="870"/>
      <c r="N46" s="870"/>
      <c r="O46" s="870"/>
      <c r="P46" s="870"/>
      <c r="Q46" s="863"/>
      <c r="R46" s="863"/>
      <c r="S46" s="863"/>
      <c r="T46" s="863"/>
      <c r="U46" s="863"/>
      <c r="V46" s="863"/>
      <c r="W46" s="863"/>
    </row>
    <row r="47" spans="1:23">
      <c r="A47" s="863"/>
      <c r="B47" s="863"/>
      <c r="C47" s="863"/>
      <c r="D47" s="863"/>
      <c r="E47" s="863"/>
      <c r="F47" s="863"/>
      <c r="G47" s="870"/>
      <c r="H47" s="870"/>
      <c r="I47" s="870"/>
      <c r="J47" s="870"/>
      <c r="K47" s="870"/>
      <c r="L47" s="870"/>
      <c r="M47" s="870"/>
      <c r="N47" s="870"/>
      <c r="O47" s="870"/>
      <c r="P47" s="870"/>
      <c r="Q47" s="863"/>
      <c r="R47" s="863"/>
      <c r="S47" s="863"/>
      <c r="T47" s="863"/>
      <c r="U47" s="863"/>
      <c r="V47" s="863"/>
      <c r="W47" s="863"/>
    </row>
    <row r="48" spans="1:23">
      <c r="A48" s="863"/>
      <c r="B48" s="863"/>
      <c r="C48" s="863"/>
      <c r="D48" s="863"/>
      <c r="E48" s="863"/>
      <c r="F48" s="863"/>
      <c r="G48" s="870"/>
      <c r="H48" s="870"/>
      <c r="I48" s="870"/>
      <c r="J48" s="870"/>
      <c r="K48" s="870"/>
      <c r="L48" s="870"/>
      <c r="M48" s="870"/>
      <c r="N48" s="870"/>
      <c r="O48" s="870"/>
      <c r="P48" s="870"/>
      <c r="Q48" s="863"/>
      <c r="R48" s="863"/>
      <c r="S48" s="863"/>
      <c r="T48" s="863"/>
      <c r="U48" s="863"/>
      <c r="V48" s="863"/>
      <c r="W48" s="863"/>
    </row>
    <row r="49" spans="1:25">
      <c r="A49" s="863"/>
      <c r="B49" s="863"/>
      <c r="C49" s="863"/>
      <c r="D49" s="863"/>
      <c r="E49" s="863"/>
      <c r="F49" s="863"/>
      <c r="G49" s="870"/>
      <c r="H49" s="870"/>
      <c r="I49" s="870"/>
      <c r="J49" s="870"/>
      <c r="K49" s="870"/>
      <c r="L49" s="876"/>
      <c r="M49" s="876"/>
      <c r="N49" s="876"/>
      <c r="O49" s="876"/>
      <c r="P49" s="870"/>
      <c r="Q49" s="870"/>
      <c r="R49" s="870"/>
      <c r="S49" s="870"/>
      <c r="T49" s="870"/>
      <c r="U49" s="870"/>
      <c r="V49" s="870"/>
      <c r="W49" s="870"/>
      <c r="X49" s="843"/>
      <c r="Y49" s="843"/>
    </row>
    <row r="50" spans="1:25">
      <c r="A50" s="863"/>
      <c r="B50" s="863"/>
      <c r="C50" s="863"/>
      <c r="D50" s="863"/>
      <c r="E50" s="863"/>
      <c r="F50" s="863"/>
      <c r="G50" s="870"/>
      <c r="H50" s="870"/>
      <c r="I50" s="870"/>
      <c r="J50" s="870"/>
      <c r="K50" s="870"/>
      <c r="L50" s="870"/>
      <c r="M50" s="870"/>
      <c r="N50" s="870"/>
      <c r="O50" s="870"/>
      <c r="P50" s="870"/>
      <c r="Q50" s="870"/>
      <c r="R50" s="870"/>
      <c r="S50" s="870"/>
      <c r="T50" s="870"/>
      <c r="U50" s="870"/>
      <c r="V50" s="870"/>
      <c r="W50" s="870"/>
      <c r="X50" s="843"/>
      <c r="Y50" s="843"/>
    </row>
    <row r="51" spans="1:25">
      <c r="A51" s="863"/>
      <c r="B51" s="863"/>
      <c r="C51" s="863"/>
      <c r="D51" s="863"/>
      <c r="E51" s="863"/>
      <c r="F51" s="863"/>
      <c r="G51" s="870"/>
      <c r="H51" s="870"/>
      <c r="I51" s="870"/>
      <c r="J51" s="870"/>
      <c r="K51" s="870"/>
      <c r="L51" s="870"/>
      <c r="M51" s="870"/>
      <c r="N51" s="870"/>
      <c r="O51" s="870"/>
      <c r="P51" s="863"/>
      <c r="Q51" s="863"/>
      <c r="R51" s="863"/>
      <c r="S51" s="863"/>
      <c r="T51" s="863"/>
      <c r="U51" s="863"/>
      <c r="V51" s="863"/>
      <c r="W51" s="863"/>
    </row>
    <row r="52" spans="1:25">
      <c r="A52" s="863"/>
      <c r="B52" s="863"/>
      <c r="C52" s="863"/>
      <c r="D52" s="863"/>
      <c r="E52" s="863"/>
      <c r="F52" s="863"/>
      <c r="G52" s="863"/>
      <c r="H52" s="863"/>
      <c r="I52" s="863"/>
      <c r="J52" s="863"/>
      <c r="K52" s="863"/>
      <c r="L52" s="863"/>
      <c r="M52" s="863"/>
      <c r="N52" s="863"/>
      <c r="O52" s="863"/>
      <c r="P52" s="863"/>
      <c r="Q52" s="863"/>
      <c r="R52" s="863"/>
      <c r="S52" s="863"/>
      <c r="T52" s="863"/>
      <c r="U52" s="863"/>
      <c r="V52" s="863"/>
      <c r="W52" s="863"/>
    </row>
    <row r="53" spans="1:25">
      <c r="A53" s="863"/>
      <c r="B53" s="863"/>
      <c r="C53" s="863"/>
      <c r="D53" s="863"/>
      <c r="E53" s="863"/>
      <c r="F53" s="863"/>
      <c r="G53" s="863"/>
      <c r="H53" s="863"/>
      <c r="I53" s="863"/>
      <c r="J53" s="863"/>
      <c r="K53" s="863"/>
      <c r="L53" s="863"/>
      <c r="M53" s="863"/>
      <c r="N53" s="863"/>
      <c r="O53" s="863"/>
      <c r="P53" s="863"/>
      <c r="Q53" s="863"/>
      <c r="R53" s="863"/>
      <c r="S53" s="863"/>
      <c r="T53" s="863"/>
      <c r="U53" s="863"/>
      <c r="V53" s="863"/>
      <c r="W53" s="863"/>
    </row>
    <row r="54" spans="1:25"/>
    <row r="55" spans="1:25" hidden="1">
      <c r="J55" s="846"/>
      <c r="R55" s="846"/>
    </row>
    <row r="56" spans="1:25" hidden="1">
      <c r="R56" s="846"/>
    </row>
  </sheetData>
  <sheetProtection algorithmName="SHA-512" hashValue="VeWSoRLWSCRxBuYhIIM+EfpqXqYhRojhY0rTapKwLs0xBq6sbHNqO03trKOeqREKgcL2v3NtWfrlbarLjyuf2w==" saltValue="GKglKALqQnLYGtcddKMLyw==" spinCount="100000" sheet="1" objects="1" scenarios="1" selectLockedCells="1" selectUnlockedCells="1"/>
  <printOptions horizontalCentered="1" verticalCentered="1"/>
  <pageMargins left="0.19685039370078741" right="0.19685039370078741" top="0.19685039370078741" bottom="0.19685039370078741" header="0.19685039370078741" footer="0.19685039370078741"/>
  <pageSetup paperSize="9" scale="73"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4" r:id="rId4" name="Drop Down 2">
              <controlPr defaultSize="0" autoLine="0" autoPict="0">
                <anchor moveWithCells="1">
                  <from>
                    <xdr:col>18</xdr:col>
                    <xdr:colOff>95250</xdr:colOff>
                    <xdr:row>35</xdr:row>
                    <xdr:rowOff>95250</xdr:rowOff>
                  </from>
                  <to>
                    <xdr:col>19</xdr:col>
                    <xdr:colOff>323850</xdr:colOff>
                    <xdr:row>36</xdr:row>
                    <xdr:rowOff>142875</xdr:rowOff>
                  </to>
                </anchor>
              </controlPr>
            </control>
          </mc:Choice>
        </mc:AlternateContent>
      </controls>
    </mc:Choice>
  </mc:AlternateContent>
  <extLst>
    <ext xmlns:x14="http://schemas.microsoft.com/office/spreadsheetml/2009/9/main" uri="{A8765BA9-456A-4dab-B4F3-ACF838C121DE}">
      <x14:slicerList>
        <x14:slicer r:id="rId5"/>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82</vt:i4>
      </vt:variant>
      <vt:variant>
        <vt:lpstr>Intervalos com Nome</vt:lpstr>
      </vt:variant>
      <vt:variant>
        <vt:i4>62</vt:i4>
      </vt:variant>
    </vt:vector>
  </HeadingPairs>
  <TitlesOfParts>
    <vt:vector size="144" baseType="lpstr">
      <vt:lpstr>Capa_Serie</vt:lpstr>
      <vt:lpstr>Capa_Indice</vt:lpstr>
      <vt:lpstr>Introdução e Metainformação</vt:lpstr>
      <vt:lpstr>ficha técnica</vt:lpstr>
      <vt:lpstr>índice de quadros</vt:lpstr>
      <vt:lpstr>Introdução</vt:lpstr>
      <vt:lpstr>Estrutura Empresarial_Sep</vt:lpstr>
      <vt:lpstr>Estrutura Empresarial</vt:lpstr>
      <vt:lpstr>Estrutura Empresarial_Rem</vt:lpstr>
      <vt:lpstr>Distritos</vt:lpstr>
      <vt:lpstr>NUTS 2024</vt:lpstr>
      <vt:lpstr>Caracteristicas TCO_1</vt:lpstr>
      <vt:lpstr>Caracteristicas TCO_2</vt:lpstr>
      <vt:lpstr>Desigualdade_Contratacao</vt:lpstr>
      <vt:lpstr>q1_q2_q5_q6_Fig</vt:lpstr>
      <vt:lpstr>q11_q13_q15_q17_Fig</vt:lpstr>
      <vt:lpstr>q22_q23_q33_q34_Fig</vt:lpstr>
      <vt:lpstr>q23_q34_Fig</vt:lpstr>
      <vt:lpstr>q22_q33_Fig</vt:lpstr>
      <vt:lpstr>q14a</vt:lpstr>
      <vt:lpstr>q23_Aux</vt:lpstr>
      <vt:lpstr>q34_Aux</vt:lpstr>
      <vt:lpstr>q3_q7_q11_q15_q24_q35_Fig</vt:lpstr>
      <vt:lpstr>q4_8_12_16_25_36_Fig</vt:lpstr>
      <vt:lpstr>Imagem - Legenda</vt:lpstr>
      <vt:lpstr>q19_q28_q29_q39_Fig</vt:lpstr>
      <vt:lpstr>q17_a_q19_q26_a_q29_q37_q40_Fig</vt:lpstr>
      <vt:lpstr>q17a</vt:lpstr>
      <vt:lpstr>q26_Aux</vt:lpstr>
      <vt:lpstr>q37_Aux</vt:lpstr>
      <vt:lpstr>q21_q31_Fig</vt:lpstr>
      <vt:lpstr>q20_q30_q41_Fig</vt:lpstr>
      <vt:lpstr>q32_Fig</vt:lpstr>
      <vt:lpstr>Aux</vt:lpstr>
      <vt:lpstr>COMBO BOX</vt:lpstr>
      <vt:lpstr>q1</vt:lpstr>
      <vt:lpstr>q2</vt:lpstr>
      <vt:lpstr>q3</vt:lpstr>
      <vt:lpstr>q4</vt:lpstr>
      <vt:lpstr>q5</vt:lpstr>
      <vt:lpstr>q6</vt:lpstr>
      <vt:lpstr>q7</vt:lpstr>
      <vt:lpstr>q8</vt:lpstr>
      <vt:lpstr>Emprego</vt:lpstr>
      <vt:lpstr>q9</vt:lpstr>
      <vt:lpstr>q10</vt:lpstr>
      <vt:lpstr>q11</vt:lpstr>
      <vt:lpstr>q12</vt:lpstr>
      <vt:lpstr>q13</vt:lpstr>
      <vt:lpstr>q14</vt:lpstr>
      <vt:lpstr>q15</vt:lpstr>
      <vt:lpstr>q16</vt:lpstr>
      <vt:lpstr>q17</vt:lpstr>
      <vt:lpstr>q18</vt:lpstr>
      <vt:lpstr>q19</vt:lpstr>
      <vt:lpstr>q20</vt:lpstr>
      <vt:lpstr>Remunerações</vt:lpstr>
      <vt:lpstr>q21</vt:lpstr>
      <vt:lpstr>q22</vt:lpstr>
      <vt:lpstr>q23</vt:lpstr>
      <vt:lpstr>q24</vt:lpstr>
      <vt:lpstr>q25</vt:lpstr>
      <vt:lpstr>q26</vt:lpstr>
      <vt:lpstr>q27</vt:lpstr>
      <vt:lpstr>q28</vt:lpstr>
      <vt:lpstr>q29</vt:lpstr>
      <vt:lpstr>q30</vt:lpstr>
      <vt:lpstr>q31</vt:lpstr>
      <vt:lpstr>q32 </vt:lpstr>
      <vt:lpstr>q33</vt:lpstr>
      <vt:lpstr>q34</vt:lpstr>
      <vt:lpstr>q35</vt:lpstr>
      <vt:lpstr>q36</vt:lpstr>
      <vt:lpstr>q37</vt:lpstr>
      <vt:lpstr>q38</vt:lpstr>
      <vt:lpstr>q39</vt:lpstr>
      <vt:lpstr>q40</vt:lpstr>
      <vt:lpstr>q41</vt:lpstr>
      <vt:lpstr>Conceitos e nomenclaturas</vt:lpstr>
      <vt:lpstr>Conceitos1</vt:lpstr>
      <vt:lpstr>Conceitos2</vt:lpstr>
      <vt:lpstr>Nomenclaturas</vt:lpstr>
      <vt:lpstr>Capa_Indice!Área_de_Impressão</vt:lpstr>
      <vt:lpstr>Capa_Serie!Área_de_Impressão</vt:lpstr>
      <vt:lpstr>'Caracteristicas TCO_1'!Área_de_Impressão</vt:lpstr>
      <vt:lpstr>'Caracteristicas TCO_2'!Área_de_Impressão</vt:lpstr>
      <vt:lpstr>Conceitos1!Área_de_Impressão</vt:lpstr>
      <vt:lpstr>Conceitos2!Área_de_Impressão</vt:lpstr>
      <vt:lpstr>Desigualdade_Contratacao!Área_de_Impressão</vt:lpstr>
      <vt:lpstr>Distritos!Área_de_Impressão</vt:lpstr>
      <vt:lpstr>'Estrutura Empresarial'!Área_de_Impressão</vt:lpstr>
      <vt:lpstr>'Estrutura Empresarial_Rem'!Área_de_Impressão</vt:lpstr>
      <vt:lpstr>'índice de quadros'!Área_de_Impressão</vt:lpstr>
      <vt:lpstr>Introdução!Área_de_Impressão</vt:lpstr>
      <vt:lpstr>'Introdução e Metainformação'!Área_de_Impressão</vt:lpstr>
      <vt:lpstr>Nomenclaturas!Área_de_Impressão</vt:lpstr>
      <vt:lpstr>'NUTS 2024'!Área_de_Impressão</vt:lpstr>
      <vt:lpstr>'q1'!Área_de_Impressão</vt:lpstr>
      <vt:lpstr>'q10'!Área_de_Impressão</vt:lpstr>
      <vt:lpstr>'q11'!Área_de_Impressão</vt:lpstr>
      <vt:lpstr>'q12'!Área_de_Impressão</vt:lpstr>
      <vt:lpstr>'q13'!Área_de_Impressão</vt:lpstr>
      <vt:lpstr>'q14'!Área_de_Impressão</vt:lpstr>
      <vt:lpstr>q14a!Área_de_Impressão</vt:lpstr>
      <vt:lpstr>'q15'!Área_de_Impressão</vt:lpstr>
      <vt:lpstr>'q16'!Área_de_Impressão</vt:lpstr>
      <vt:lpstr>'q17'!Área_de_Impressão</vt:lpstr>
      <vt:lpstr>q17a!Área_de_Impressão</vt:lpstr>
      <vt:lpstr>'q18'!Área_de_Impressão</vt:lpstr>
      <vt:lpstr>'q19'!Área_de_Impressão</vt:lpstr>
      <vt:lpstr>'q2'!Área_de_Impressão</vt:lpstr>
      <vt:lpstr>'q20'!Área_de_Impressão</vt:lpstr>
      <vt:lpstr>'q21'!Área_de_Impressão</vt:lpstr>
      <vt:lpstr>'q22'!Área_de_Impressão</vt:lpstr>
      <vt:lpstr>'q23'!Área_de_Impressão</vt:lpstr>
      <vt:lpstr>q23_Aux!Área_de_Impressão</vt:lpstr>
      <vt:lpstr>'q24'!Área_de_Impressão</vt:lpstr>
      <vt:lpstr>'q25'!Área_de_Impressão</vt:lpstr>
      <vt:lpstr>'q26'!Área_de_Impressão</vt:lpstr>
      <vt:lpstr>q26_Aux!Área_de_Impressão</vt:lpstr>
      <vt:lpstr>'q27'!Área_de_Impressão</vt:lpstr>
      <vt:lpstr>'q28'!Área_de_Impressão</vt:lpstr>
      <vt:lpstr>'q29'!Área_de_Impressão</vt:lpstr>
      <vt:lpstr>'q3'!Área_de_Impressão</vt:lpstr>
      <vt:lpstr>'q30'!Área_de_Impressão</vt:lpstr>
      <vt:lpstr>'q31'!Área_de_Impressão</vt:lpstr>
      <vt:lpstr>'q32 '!Área_de_Impressão</vt:lpstr>
      <vt:lpstr>'q33'!Área_de_Impressão</vt:lpstr>
      <vt:lpstr>'q34'!Área_de_Impressão</vt:lpstr>
      <vt:lpstr>q34_Aux!Área_de_Impressão</vt:lpstr>
      <vt:lpstr>'q35'!Área_de_Impressão</vt:lpstr>
      <vt:lpstr>'q36'!Área_de_Impressão</vt:lpstr>
      <vt:lpstr>'q37'!Área_de_Impressão</vt:lpstr>
      <vt:lpstr>q37_Aux!Área_de_Impressão</vt:lpstr>
      <vt:lpstr>'q38'!Área_de_Impressão</vt:lpstr>
      <vt:lpstr>'q39'!Área_de_Impressão</vt:lpstr>
      <vt:lpstr>'q4'!Área_de_Impressão</vt:lpstr>
      <vt:lpstr>'q40'!Área_de_Impressão</vt:lpstr>
      <vt:lpstr>'q41'!Área_de_Impressão</vt:lpstr>
      <vt:lpstr>'q5'!Área_de_Impressão</vt:lpstr>
      <vt:lpstr>'q6'!Área_de_Impressão</vt:lpstr>
      <vt:lpstr>'q7'!Área_de_Impressão</vt:lpstr>
      <vt:lpstr>'q8'!Área_de_Impressão</vt:lpstr>
      <vt:lpstr>'q9'!Área_de_Impressão</vt:lpstr>
    </vt:vector>
  </TitlesOfParts>
  <Company>GEP/MTSS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Sérires Cronológicas - Quadros de Pessoal 1991-2006</dc:title>
  <dc:subject>Estrutura Empresarial; Emprego e Remunerações</dc:subject>
  <dc:creator>ESIIE/Gabinete de Estratégia e Planeamento (GEP), MTSS</dc:creator>
  <cp:keywords>Empresas, Estabelecimentos; Pessoas ao serviço, Trabalhadores por conta de outrem; Remunerações; Remuneração Base; Ganho</cp:keywords>
  <cp:lastModifiedBy>Lina.G.Rafael</cp:lastModifiedBy>
  <cp:lastPrinted>2025-05-16T15:50:37Z</cp:lastPrinted>
  <dcterms:created xsi:type="dcterms:W3CDTF">2009-06-01T13:56:07Z</dcterms:created>
  <dcterms:modified xsi:type="dcterms:W3CDTF">2025-05-16T16:04:04Z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ta de conclusão">
    <vt:lpwstr>Agosto 2009</vt:lpwstr>
  </property>
</Properties>
</file>